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0B9C6836-B0DA-C749-BDF2-5B93BD14742B}"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T50"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T114"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T217" i="1"/>
  <c r="BT218" i="1"/>
  <c r="BT219" i="1"/>
  <c r="BT220"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T538" i="1"/>
  <c r="BF539" i="1"/>
  <c r="BT539" i="1"/>
  <c r="BF540" i="1"/>
  <c r="BT540" i="1"/>
  <c r="BF541" i="1"/>
  <c r="BT541" i="1"/>
  <c r="BF542" i="1"/>
  <c r="BT542" i="1"/>
  <c r="BF543" i="1"/>
  <c r="BT543" i="1"/>
  <c r="BF544" i="1"/>
  <c r="BT544"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<sst xmlns="http://schemas.openxmlformats.org/spreadsheetml/2006/main" count="59878" uniqueCount="18953">
  <si>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</si>
  <si>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</si>
  <si>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</si>
  <si>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</si>
  <si>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</si>
  <si>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</si>
  <si>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</si>
  <si>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</si>
  <si>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</si>
  <si>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</si>
  <si>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</si>
  <si>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</si>
  <si>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</si>
  <si>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</si>
  <si>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</si>
  <si>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</si>
  <si>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</si>
  <si>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</si>
  <si>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</si>
  <si>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</si>
  <si>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</si>
  <si>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</si>
  <si>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</si>
  <si>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</si>
  <si>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</si>
  <si>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</si>
  <si>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</si>
  <si>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</si>
  <si>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</si>
  <si>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</si>
  <si>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</si>
  <si>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</si>
  <si>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</si>
  <si>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</si>
  <si>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</si>
  <si>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</si>
  <si>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</si>
  <si>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</si>
  <si>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</si>
  <si>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</si>
  <si>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</si>
  <si>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</si>
  <si>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</si>
  <si>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</si>
  <si>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</si>
  <si>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</si>
  <si>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</si>
  <si>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</si>
  <si>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</si>
  <si>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</si>
  <si>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</si>
  <si>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</si>
  <si>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</si>
  <si>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</si>
  <si>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</si>
  <si>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</si>
  <si>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</si>
  <si>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</si>
  <si>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</si>
  <si>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</si>
  <si>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</si>
  <si>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</si>
  <si>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</si>
  <si>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</si>
  <si>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</si>
  <si>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</si>
  <si>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</si>
  <si>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</si>
  <si>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</si>
  <si>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</si>
  <si>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</si>
  <si>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</si>
  <si>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</si>
  <si>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Wege, M; Bornemann, H; Bester, MN</t>
  </si>
  <si>
    <t/>
  </si>
  <si>
    <t>Wege, Mia; Bornemann, Horst; Bester, Marthan Nieuwoudt</t>
  </si>
  <si>
    <t>The nightlife of a Ross seal: diving and haul-out behaviour from the eastern Weddell Sea</t>
  </si>
  <si>
    <t>ANTARCTIC SCIENCE</t>
  </si>
  <si>
    <t>English</t>
  </si>
  <si>
    <t>Article</t>
  </si>
  <si>
    <t>Antarctica; biologging; breeding season; diurnal behaviour; Queen Maud Land; Southern Ocean</t>
  </si>
  <si>
    <t>OMMATOPHOCA-ROSSII; PATTERNS; DENSITY; ECOLOGY; COAST; ICE</t>
  </si>
  <si>
    <t>Ross seals (Ommatophoca rossii) travel away from the pack ice and spend most of their year foraging pelagically. Here, we augment the few existing records of Ross seal diving and haul-out behaviour, providing novel insights into how these are influenced diurnally and seasonally. We used biologging devices that recorded the dive behaviour (n = 5) and/or haul-out behaviour (n = 9) of Ross seals in the eastern Weddell Sea (2016-2019). Ross seals mostly dived between 100 and 200 m deep, often &gt; 300 m, and for 5-12 min in duration, often &gt; 20 min. During March-July, when Ross seals forage pelagically, diving metrics varied diurnally. The seals dived deeper during twilight and shallowest at night, while the number of dives and diving duration did not follow a clear diurnal pattern. Consequently, diving effort was highest during the night. Ross seals preferentially hauled out in the middle of the day during September, October, February and December, but not during the rest of the year. Three females that entered the pack ice during breeding season were hauled out continuously for 5-7 days, punctuated by water entries for 1-3 h during and/or after such continuous haul-outs over the breeding season. This behaviour might suggest that Ross seals alternate between capital and facultative income breeding.</t>
  </si>
  <si>
    <t>[Wege, Mia; Bester, Marthan Nieuwoudt] Univ Pretoria, Mammal Res Inst, Dept Zool &amp; Entomol, ZA-0002 Pretoria, South Africa; [Wege, Mia; Bornemann, Horst] Alfred Wegener Inst, Helmholtz Zent Polar &amp; Meeresforschung, Bremerhaven, Germany</t>
  </si>
  <si>
    <t>University of Pretoria; Helmholtz Association; Alfred Wegener Institute, Helmholtz Centre for Polar &amp; Marine Research</t>
  </si>
  <si>
    <t>Wege, M (corresponding author), Univ Pretoria, Mammal Res Inst, Dept Zool &amp; Entomol, ZA-0002 Pretoria, South Africa.;Wege, M (corresponding author), Alfred Wegener Inst, Helmholtz Zent Polar &amp; Meeresforschung, Bremerhaven, Germany.</t>
  </si>
  <si>
    <t>mia.wege@gmail.com</t>
  </si>
  <si>
    <t>Wege, Mia/B-1103-2016</t>
  </si>
  <si>
    <t>Wege, Mia/0000-0002-9022-3069</t>
  </si>
  <si>
    <t>South African National Antarctic Programme (SANAP); Department of Science and Technology (DST), through the National Research Foundation (NRF); NRF; Alfred Wegener Institute for Polar and Marine Research [93088]; Alfred-Wegener-Institut Helmholtz-Zentrum fuer Polar- und Meeresforschung [AWI_PS111_00]</t>
  </si>
  <si>
    <t>South African National Antarctic Programme (SANAP); Department of Science and Technology (DST), through the National Research Foundation (NRF)(Department of Science &amp; Technology (India)Department of Science &amp; Technology (DOST), Philippines); NRF; Alfred Wegener Institute for Polar and Marine Research; Alfred-Wegener-Institut Helmholtz-Zentrum fuer Polar- und Meeresforschung</t>
  </si>
  <si>
    <t>The Department of Forestry Fisheries and the Environment (DFFE) is thanked for logistical support within the South African National Antarctic Programme (SANAP), and the Department of Science and Technology (DST), through the National Research Foundation (NRF), is thanked for funding this project. This work is based on research supported by the NRF (Grant Number 93088). The Alfred Wegener Institute for Polar and Marine Research provided support through the Helmholtz Association Research Programme 'Changing Earth Sustaining our Future', Topic 6, Subtopic 6.1. The work on board RV Polarstern benefitted from Grant-No. AWI_PS111_00. We acknowledge support from the Open Access Publication Funds of the Alfred-Wegener-Institut Helmholtz-Zentrum fuer Polar- und Meeresforschung.</t>
  </si>
  <si>
    <t>CAMBRIDGE UNIV PRESS</t>
  </si>
  <si>
    <t>NEW YORK</t>
  </si>
  <si>
    <t>32 AVENUE OF THE AMERICAS, NEW YORK, NY 10013-2473 USA</t>
  </si>
  <si>
    <t>0954-1020</t>
  </si>
  <si>
    <t>1365-2079</t>
  </si>
  <si>
    <t>ANTARCT SCI</t>
  </si>
  <si>
    <t>Antarct. Sci.</t>
  </si>
  <si>
    <t>FEB</t>
  </si>
  <si>
    <t>PII S0954102022000438</t>
  </si>
  <si>
    <t>10.1017/S0954102022000438</t>
  </si>
  <si>
    <t>JAN 2023</t>
  </si>
  <si>
    <t>Environmental Sciences; Geography, Physical; Geosciences, Multidisciplinary</t>
  </si>
  <si>
    <t>Science Citation Index Expanded (SCI-EXPANDED)</t>
  </si>
  <si>
    <t>Environmental Sciences &amp; Ecology; Physical Geography; Geology</t>
  </si>
  <si>
    <t>E2ZS5</t>
  </si>
  <si>
    <t>hybrid, Green Published</t>
  </si>
  <si>
    <t>2024-04-21</t>
  </si>
  <si>
    <t>WOS:000908324800001</t>
  </si>
  <si>
    <t>Leger, TPM; Hein, AS; Rodés, A; Bingham, RG; Schimmelpfennig, I; Fabel, D; Tapia, P</t>
  </si>
  <si>
    <t>Leger, Tancrede P. M.; Hein, Andrew S.; Rodes, Angel; Bingham, Robert G.; Schimmelpfennig, Irene; Fabel, Derek; Tapia, Pablo</t>
  </si>
  <si>
    <t>ASTER Team</t>
  </si>
  <si>
    <t>A cosmogenic nuclide-derived chronology of pre-Last Glacial Cycleglaciations during MIS 8 and MIS 6 in northern Patagonia</t>
  </si>
  <si>
    <t>CLIMATE OF THE PAST</t>
  </si>
  <si>
    <t>MIDDLE PLEISTOCENE GLACIATION; BE-10 PRODUCTION-RATE; LAGO BUENOS-AIRES; EXPOSURE AGES; ANTARCTIC TEMPERATURE; PRODUCTION-RATES; ATMOSPHERIC CO2; SOUTHERN-OCEAN; SEA-LEVEL; MAXIMUM</t>
  </si>
  <si>
    <t>The precise environmental mechanisms control-ling Quaternary glacial cycles remain ambiguous. To address this problem, it is critical to better comprehend the drivers of spatio-temporal variability in ice-sheet evolution by establishing reliable chronologies of former outlet-glacier advances. When spanning multiple glacial cycles, such chronologies have the capacity to contribute to knowledge on the topic of interhemispheric phasing of glaciations and climate events. In southern Argentina, reconstructions of this kind are achievable, as Quaternary expansions of the Patagonian Ice Sheet have emplaced a well-preserved geomorphological record covering several glacial cycles. More-over, robust ice-sheet reconstructions from Patagonia are powerful barometers of former climate change, as Patagonian glaciers are influenced by the Southern Westerly Winds and the Antarctic Circumpolar Current coupled to them. It is essential to better constrain former shifts in these circulation mechanisms as they may have played a critical role in pacing regional and possibly global Quaternary climate change. Here, we present a new set of cosmogenic 10Be and 26Al exposure ages from pre-Last Glacial Cycle moraine boulder, glaciofluvial outwash cobble, and bedrock samples. This dataset constitutes the first direct chronology dating pre-Last Glacial Maximum (LGM) glacier advances in northern Patagonia and completes our effort to date the entire pre-served moraine record of the Rio Corcovado valley system (43 degrees S, 71 degrees W). We find that the outermost margins of the study site depict at least three distinct pre-Last Glacial Cycle stadials occurring around 290-270, 270-245, and 130- 150 ka. Combined with the local LGM chronology, we dis-cover that a minimum of four distinct Pleistocene stadials occurred during Marine Isotope Stages 8, 6, and 2 in northern Patagonia. Evidence for Marine Isotope Stage 4 and 3 deposits were not found at the study site. This may illustrate former longitudinal and latitudinal asynchronies in the Patagonian Ice Sheet mass balance during these Marine Isotope Stages. We find that the most extensive middle-to-late Pleistocene expansions of the Patagonian Ice Sheet appear to be out of phase with local summer insolation intensity but synchronous with orbitally controlled periods of longer and colder winters. Our findings thus enable the exploration of the potential roles of seasonality and seasonal duration in driving the southern mid-latitude ice-sheet mass balance, and they facilitate novel glacio-geomorphological interpretations for the study region. They also provide empirical constraints on former ice-sheet extent and dynamics that are essential for calibrating numerical ice-sheet and glacial isostatic adjustment models.</t>
  </si>
  <si>
    <t>[Leger, Tancrede P. M.; Hein, Andrew S.; Bingham, Robert G.] Univ Edinburgh, Sch GeoSci, Drummond St, Edinburgh EH8 9XP, Midlothian, Scotland; [Rodes, Angel; Fabel, Derek] Scottish Univ Environm Res Ctr, Scottish Enterprise Technol Pk, Glasgow G75 OQF, Lanark, Scotland; [Schimmelpfennig, Irene] Aix Marseille Univ, CEREGE, INRAE, CNRS,IRD, Aix En Provence, France; [Tapia, Pablo] Pontificia Univ Catolica Chile, Inst Geog, Fac Hist Geog &amp; Ciencia Polit, Santiago, Chile</t>
  </si>
  <si>
    <t>University of Edinburgh; Centre National de la Recherche Scientifique (CNRS); INRAE; Aix-Marseille Universite; Institut de Recherche pour le Developpement (IRD); Pontificia Universidad Catolica de Chile</t>
  </si>
  <si>
    <t>Leger, TPM (corresponding author), Univ Edinburgh, Sch GeoSci, Drummond St, Edinburgh EH8 9XP, Midlothian, Scotland.</t>
  </si>
  <si>
    <t>tancrede.leger@ed.ac.uk</t>
  </si>
  <si>
    <t>Hein, Andrew/JWO-3756-2024; Rodes, Angel/C-9228-2011; Bingham, Robert G/G-3576-2017; Leger, Tancrède P.M./AAU-1088-2021; Fabel, Derek/A-2999-2010</t>
  </si>
  <si>
    <t>Rodes, Angel/0000-0001-8488-7689; Leger, Tancrède P.M./0000-0001-9098-8312; Fabel, Derek/0000-0003-2859-3293</t>
  </si>
  <si>
    <t>Natural Environment Research Council (NERC); University of Edinburgh School of GeoSciences [NE/L002558/1]; Crowd-funding campaign; BritishSociety for Geomorphology Postgraduate Research Grant award; NERC National Environmental Isotope Facility (NEIF) [BSG-2019-04]; [2245-0320]</t>
  </si>
  <si>
    <t>Natural Environment Research Council (NERC)(UK Research &amp; Innovation (UKRI)Natural Environment Research Council (NERC)); University of Edinburgh School of GeoSciences; Crowd-funding campaign; BritishSociety for Geomorphology Postgraduate Research Grant award; NERC National Environmental Isotope Facility (NEIF);</t>
  </si>
  <si>
    <t>This study was conducted within the contextof a University of Edinburgh E3Doctoral Training PartnershipPh.D. studentship (award code: NE/L002558/1) awarded by theNatural Environment Research Council (NERC) and the Univer-sity of Edinburgh School of GeoSciences to Tancrede P. M. LegerFieldwork (1 February 2020) was partly supported by a crowd-funding campaign through the Crowd.Science fundraising platform(https://crowd.science, last access: 29 March 2022) and a BritishSociety for Geomorphology Postgraduate Research Grant award(BSG-2019-04) awarded to Tancrede P. M. Leger. TCN exposuredating laboratory analysis and AMS measurements were fundedby a NERC National Environmental Isotope Facility (NEIF) grant(2245-0320) awarded to Andrew S. Hein and Tancrede P. M. Legerin July 2020. For the purpose of open access, the author has ap-plied a creative commons attribution (CC BY) licence to any authoraccepted manuscript version arising.</t>
  </si>
  <si>
    <t>COPERNICUS GESELLSCHAFT MBH</t>
  </si>
  <si>
    <t>GOTTINGEN</t>
  </si>
  <si>
    <t>BAHNHOFSALLEE 1E, GOTTINGEN, 37081, GERMANY</t>
  </si>
  <si>
    <t>1814-9324</t>
  </si>
  <si>
    <t>1814-9332</t>
  </si>
  <si>
    <t>CLIM PAST</t>
  </si>
  <si>
    <t>Clim. Past.</t>
  </si>
  <si>
    <t>JAN 6</t>
  </si>
  <si>
    <t>10.5194/cp-19-35-2023</t>
  </si>
  <si>
    <t>Geosciences, Multidisciplinary; Meteorology &amp; Atmospheric Sciences</t>
  </si>
  <si>
    <t>Geology; Meteorology &amp; Atmospheric Sciences</t>
  </si>
  <si>
    <t>7Q6MK</t>
  </si>
  <si>
    <t>gold, Green Submitted, Green Accepted</t>
  </si>
  <si>
    <t>WOS:000909503000001</t>
  </si>
  <si>
    <t>Xu, ZQ; Tang, TP; Qian, YY; Si, FQ</t>
  </si>
  <si>
    <t>Xu, Zi-Qiang; Tang, Tai-Ping; Qian, Yuan-Yuan; Si, Fu-Qi</t>
  </si>
  <si>
    <t>Analysis of vertical distribution differences of global stratospheric ozone based on weighted multiplication algebraic algorithm br</t>
  </si>
  <si>
    <t>ACTA PHYSICA SINICA</t>
  </si>
  <si>
    <t>ozone global stratification; Limb satellites; weighted multiply algebra; wavelength pairing</t>
  </si>
  <si>
    <t>RETRIEVAL; PROFILES; DENSITY</t>
  </si>
  <si>
    <t>Global climate change and the formation of the Antarctic ozone hole have prompted people to payattention to the changes in atmospheric ozone content. The global continuous observation of ozone is achievedby retrieving the global total column concentration from nadir satellite data. In this work, the weightedmultiplication algebraic algorithm is combined with the radiative transfer model SCIATRAN, by using the 2011Chappuis-Wulf band SCIAMACHY limb radiation data to retrieve the stratospheric ozone profile between15- and 40 km altitude, solving the ozone global stratified observation problems. In the ozone globalstratification map, the whole process of the global transmission of ozone formed in low latitude regions to highlatitude regions is observed, which is directly related to the Brewer-Dobson circulation. During the most severeperiod of the Antarctic ozone hole from September to October, the Antarctic polar vortex has an obvioushindering effect on ozone transmission, and the polar vortex has a transparent wall effect. On the one hand, itis difficult to transfer ozone from the equatorial region to the Antarctic region for replenishment. On the otherhand, the retention of ozone-depleting substances over the Antarctic region leads to the acceleration of ozonedepletion, and the combination of low replenishment and high depletion contributes to the Antarctic ozone hole.Compared with the global total column concentration of ozone, the observation of global ozone stratification isvery valuable for scientific research and will promote the detailed study of the whole process of ozone formation, transmission, and consumption</t>
  </si>
  <si>
    <t>[Xu, Zi-Qiang; Tang, Tai-Ping; Qian, Yuan-Yuan; Si, Fu-Qi] Chinese Acad Sci, Anhui Inst Opt &amp; Fine Mech, Hefei Inst Phys Sci, Key Lab Environm Opt &amp; Technol, Hefei 230031, Peoples R China; [Xu, Zi-Qiang; Qian, Yuan-Yuan] Univ Sci &amp; Technol China, Hefei 230026, Anhui, Peoples R China</t>
  </si>
  <si>
    <t>Chinese Academy of Sciences; Hefei Institutes of Physical Science, CAS; Anhui Institute of Optics &amp; Fine Mechanics (AIOFM), CAS; Chinese Academy of Sciences; University of Science &amp; Technology of China, CAS</t>
  </si>
  <si>
    <t>Si, FQ (corresponding author), Chinese Acad Sci, Anhui Inst Opt &amp; Fine Mech, Hefei Inst Phys Sci, Key Lab Environm Opt &amp; Technol, Hefei 230031, Peoples R China.</t>
  </si>
  <si>
    <t>sifuqi@aiofm.ac.cn</t>
  </si>
  <si>
    <t>National Key Research and Development Program of China [2019YFC0214702]; National Natural Science Foundation of China [41705016]</t>
  </si>
  <si>
    <t>National Key Research and Development Program of China; National Natural Science Foundation of China(National Natural Science Foundation of China (NSFC))</t>
  </si>
  <si>
    <t>Project supported by the National Key Research and Development Program of China (Grant No. 2019YFC0214702) , and the National Natural Science Foundation of China (Grant No. 41705016)</t>
  </si>
  <si>
    <t>CHINESE PHYSICAL SOC</t>
  </si>
  <si>
    <t>BEIJING</t>
  </si>
  <si>
    <t>P O BOX 603, BEIJING 100080, PEOPLES R CHINA</t>
  </si>
  <si>
    <t>1000-3290</t>
  </si>
  <si>
    <t>ACTA PHYS SIN-CH ED</t>
  </si>
  <si>
    <t>Acta Phys. Sin.</t>
  </si>
  <si>
    <t>JAN 5</t>
  </si>
  <si>
    <t>10.7498/aps.72.20221290</t>
  </si>
  <si>
    <t>Physics, Multidisciplinary</t>
  </si>
  <si>
    <t>Physics</t>
  </si>
  <si>
    <t>I4FW1</t>
  </si>
  <si>
    <t>gold</t>
  </si>
  <si>
    <t>WOS:001002363600005</t>
  </si>
  <si>
    <t>Guglielmin, M; Azzaro, M; Buzzini, P; Battistel, D; Roman, M; Ponti, S; Turchetti, B; Sannino, C; Borruso, L; Papale, M; Lo Giudice, A</t>
  </si>
  <si>
    <t>Guglielmin, M.; Azzaro, M.; Buzzini, P.; Battistel, D.; Roman, M.; Ponti, S.; Turchetti, B.; Sannino, C.; Borruso, L.; Papale, M.; Lo Giudice, A.</t>
  </si>
  <si>
    <t>A possible unique ecosystem in the endoglacial hypersaline brines in Antarctica</t>
  </si>
  <si>
    <t>SCIENTIFIC REPORTS</t>
  </si>
  <si>
    <t>MCMURDO DRY VALLEYS; SP NOV.; VICTORIA LAND; GLACIAL MELTWATER; TAYLOR GLACIER; ICE STREAM; LAKE VANDA; WATER; GEOCHEMISTRY; HISTORY</t>
  </si>
  <si>
    <t>Here, we present the results related to a new unique terrestrial ecosystem found in an englacial hypersaline brine found in Northern Victoria Land (Antarctica). Both the geochemistry and microbial (prokaryotic and fungal) diversity revealed an unicity with respect to all the other known Antarctic brines and suggested a probable ancient origin mainly due a progressive cryoconcentration of seawater. The prokaryotic community presented some peculiarities, such as the occurrence of sequences of Patescibacteria (which can thrive in nutrient-limited water environments) or few Spirochaeta, and the presence of archaeal sequences of Methanomicrobia closely related to Methanoculleus, a methanogen commonly detected in marine and estuarine environments. The high percentage (35%) of unassigned fungal taxa suggested the presence of a high degree of undiscovered diversity within a structured fungal community (including both yeast and filamentous life forms) and reinforce the hypothesis of a high degree of biological uniqueness of the habitat under study.</t>
  </si>
  <si>
    <t>[Guglielmin, M.; Ponti, S.] Insubria Univ, Dept Theoret &amp; Appl Sci, Via Dunant 3, I-21100 Varese, Italy; [Azzaro, M.; Battistel, D.; Papale, M.; Lo Giudice, A.] CNR, Inst Polar Sci, Spianata S Raineri 86, I-98122 Messina, Italy; [Buzzini, P.; Turchetti, B.; Sannino, C.] Univ Perugia, Dept Agr Food &amp; Environm Sci, Borgo XX Giugno 74, I-06121 Perugia, Italy; [Battistel, D.; Roman, M.] Univ Ca Foscari Venice, Dept Environm Sci Informat &amp; Stat, Via Torino 155, I-30172 Venice, VE, Italy; [Borruso, L.] Free Univ Bozen Bolzano, Fac Sci &amp; Technol, Piazza Univ 5, I-9100 Bozen Bolzano, Italy; [Guglielmin, M.] Insubria Univ, Climate Change Res Ctr, Via Regina Teodolinda 37, I-22100 Como, Italy</t>
  </si>
  <si>
    <t>University of Insubria; Consiglio Nazionale delle Ricerche (CNR); Istituto di Scienze Polari (ISP-CNR); University of Perugia; Universita Ca Foscari Venezia; Free University of Bozen-Bolzano; University of Insubria</t>
  </si>
  <si>
    <t>Guglielmin, M (corresponding author), Insubria Univ, Dept Theoret &amp; Appl Sci, Via Dunant 3, I-21100 Varese, Italy.;Guglielmin, M (corresponding author), Insubria Univ, Climate Change Res Ctr, Via Regina Teodolinda 37, I-22100 Como, Italy.</t>
  </si>
  <si>
    <t>mauro.guglielmin@uninsubria.it</t>
  </si>
  <si>
    <t>azzaro, Maurizio/AAE-6784-2019; Ponti, Stefano/AAB-3484-2021</t>
  </si>
  <si>
    <t>azzaro, Maurizio/0000-0001-7885-2340; Ponti, Stefano/0000-0002-4718-165X; Roman, Marco/0000-0003-1289-8236</t>
  </si>
  <si>
    <t>Programma nazionale di ricerca in Antartide [PNRA18_00186-E]</t>
  </si>
  <si>
    <t>Programma nazionale di ricerca in Antartide</t>
  </si>
  <si>
    <t>This article was funded by Programma nazionale di ricerca in Antartide (Grant no. PNRA18_00186-E).</t>
  </si>
  <si>
    <t>NATURE PORTFOLIO</t>
  </si>
  <si>
    <t>BERLIN</t>
  </si>
  <si>
    <t>HEIDELBERGER PLATZ 3, BERLIN, 14197, GERMANY</t>
  </si>
  <si>
    <t>2045-2322</t>
  </si>
  <si>
    <t>SCI REP-UK</t>
  </si>
  <si>
    <t>Sci Rep</t>
  </si>
  <si>
    <t>10.1038/s41598-022-27219-2</t>
  </si>
  <si>
    <t>Multidisciplinary Sciences</t>
  </si>
  <si>
    <t>Science &amp; Technology - Other Topics</t>
  </si>
  <si>
    <t>8Y5IZ</t>
  </si>
  <si>
    <t>gold, Green Published</t>
  </si>
  <si>
    <t>WOS:000932732000045</t>
  </si>
  <si>
    <t>Inoue, M; Mitsunushi, H; Mashita, K; Matsunaka, T; Inomata, Y; Hayashi, M; Archer, S; Nagao, S</t>
  </si>
  <si>
    <t>Inoue, Mutsuo; Mitsunushi, Hayata; Mashita, Kaisei; Matsunaka, Tetsuya; Inomata, Yayoi; Hayashi, Masahiko; Archer, Stephen; Nagao, Seiya</t>
  </si>
  <si>
    <t>Origin of surface water in the Southern Ocean: Implications of soluble radionuclide distributions</t>
  </si>
  <si>
    <t>JOURNAL OF ENVIRONMENTAL RADIOACTIVITY</t>
  </si>
  <si>
    <t>ANTARCTIC INTERMEDIATE WATER; INDIAN OCEANS; FUKUSHIMA ACCIDENT; PACIFIC-OCEAN; CS-137; PB-210; RA-226; SEA; CIRCULATION; RADIUM</t>
  </si>
  <si>
    <t>Concentration data of soluble radionuclides in the southern South Indian Ocean and Southern Ocean transition zone are rare or insufficient for the study of its current system. We examined the lateral surface variations in soluble natural (Ra-226 and Ra-228) and anthropogenic (Cs-134 and Cs-137) radionuclide activity concentrations in the surface waters in this area from November 2021 to March 2022. The surface distributions of Ra-226 and Cs-137 concentrations were classified into Subantarctic Mode Water-, Antarctic Intermediate Water-, and Upper Circumpolar Deep Water (UCDW)-dominated areas along latitudinal band (40 degrees S-65 degrees S, 110 degrees E-120 degrees E). Notably, the highest Ra-226 concentrations occurred along the longitudinal band (60 degrees S-65 degrees S, 40 degrees E-120 degrees E). Significantly lower Cs-137 concentrations in the Southern Ocean than those in surface waters in other global oceans were observed along with depletion of Ra-228. Additionally, Ra-226 and Cs-137 concentrations appeared to show small variations between eastern and western areas (2.5-3.0 mBq/L and 0.06-0.03 mBq/L, respectively). Lateral profiles in the Southern Ocean are governed by a large contribution from deep/old waters (e.g., UCDW), with a small effect from southward transport of Subantarctic Mode Water.</t>
  </si>
  <si>
    <t>[Inoue, Mutsuo; Mitsunushi, Hayata; Mashita, Kaisei; Matsunaka, Tetsuya; Nagao, Seiya] Kanazawa Univ, Inst Nat &amp; Environm Technol, Low Level Radioact Lab, Wake O-24, Nomi, Ishikawa 9231224, Japan; [Inomata, Yayoi] Kanazawa Univ, Inst Nat &amp; Environm Technol, Div Atmospher Environm Studies, Kakuma machi, Kanazawa, Ishikawa 9201192, Japan; [Hayashi, Masahiko] Fukuoka Univ, Fac Sci, Dept Earth Syst Sci, 8-19-1 Nanakuma, Jonan ku, Fukuoka 8140180, Japan; [Archer, Stephen] Auckland Univ Technol, Sch Sci, St Paul St, Auckland 1010, New Zealand</t>
  </si>
  <si>
    <t>Kanazawa University; Kanazawa University; Fukuoka University; Auckland University of Technology</t>
  </si>
  <si>
    <t>Inoue, M (corresponding author), Kanazawa Univ, Inst Nat &amp; Environm Technol, Low Level Radioact Lab, Wake O-24, Nomi, Ishikawa 9231224, Japan.</t>
  </si>
  <si>
    <t>i247811@staff.kanazawa-u.ac.jp</t>
  </si>
  <si>
    <t>Japan Society for the Promotion of Science (JSPS) KAKENHI [JP18K11615]; Cooperative Research Program of the Institute of Na- ture and Environmental Technology at Kanazawa University [18037]; Grants-in-Aid for Scientific Research [20K19977] Funding Source: KAKEN</t>
  </si>
  <si>
    <t>Japan Society for the Promotion of Science (JSPS) KAKENHI(Ministry of Education, Culture, Sports, Science and Technology, Japan (MEXT)Japan Society for the Promotion of ScienceGrants-in-Aid for Scientific Research (KAKENHI)); Cooperative Research Program of the Institute of Na- ture and Environmental Technology at Kanazawa University; Grants-in-Aid for Scientific Research(Ministry of Education, Culture, Sports, Science and Technology, Japan (MEXT)Japan Society for the Promotion of ScienceGrants-in-Aid for Scientific Research (KAKENHI))</t>
  </si>
  <si>
    <t>We are grateful to the researchers, captain, and crew onboard the icebreaker Shirase for their assistance during sampling. This research was partly supported by the Japan Society for the Promotion of Science (JSPS) KAKENHI (grant no. JP18K11615) . This study was partially supported by the Cooperative Research Program of the Institute of Na- ture and Environmental Technology at Kanazawa University (grant no. 18037) . The map was drawn using Ocean Data View ver. 5.5.1 (http://o dv.awi.de) .</t>
  </si>
  <si>
    <t>ELSEVIER SCI LTD</t>
  </si>
  <si>
    <t>OXFORD</t>
  </si>
  <si>
    <t>THE BOULEVARD, LANGFORD LANE, KIDLINGTON, OXFORD OX5 1GB, OXON, ENGLAND</t>
  </si>
  <si>
    <t>0265-931X</t>
  </si>
  <si>
    <t>1879-1700</t>
  </si>
  <si>
    <t>J ENVIRON RADIOACTIV</t>
  </si>
  <si>
    <t>J. Environ. Radioact.</t>
  </si>
  <si>
    <t>MAR</t>
  </si>
  <si>
    <t>10.1016/j.jenvrad.2022.107106</t>
  </si>
  <si>
    <t>Environmental Sciences</t>
  </si>
  <si>
    <t>Environmental Sciences &amp; Ecology</t>
  </si>
  <si>
    <t>9H2YH</t>
  </si>
  <si>
    <t>hybrid</t>
  </si>
  <si>
    <t>WOS:000938702200001</t>
  </si>
  <si>
    <t>Olsson, J; Andersson, ML; Bergstro, U; Arlinghaus, R; Audzijonyte, A; Berg, S; Briekmane, L; Dainys, J; Ravn, HD; Droll, J; Dziemian, L; Fey, DP; van Gemert, R; Greszkiewicz, M; Grochowski, A; Jakubaviciute, E; Lozys, L; Lejk, AM; Mustama, N; Naddafi, R; Olin, M; Saks, L; Skov, C; Smolinski, S; Svirgsden, R; Tiainen, J; Ostman, O</t>
  </si>
  <si>
    <t>Olsson, Jens; Andersson, Matilda L.; Bergstro, Ulf; Arlinghaus, Robert; Audzijonyte, Asta; Berg, Soren; Briekmane, Laura; Dainys, Justas; Ravn, Henrik Dalby; Droll, Jan; Dziemian, Lukasz; Fey, Dariusz P.; van Gemert, Rob; Greszkiewicz, Martyna; Grochowski, Adam; Jakubaviciute, Egle; Lozys, Linas; Lejk, Adam M.; Mustama, Noora; Naddafi, Rahmat; Olin, Mikko; Saks, Lauri; Skov, Christian; Smolinski, Szymon; Svirgsden, Roland; Tiainen, Joni; Ostman, Orjan</t>
  </si>
  <si>
    <t>A pan-Baltic assessment of temporal trends in coastal pike populations</t>
  </si>
  <si>
    <t>FISHERIES RESEARCH</t>
  </si>
  <si>
    <t>Population status; Predatory fish; Commercial landings; Fisheries independent monitoring; Recreational fisheries</t>
  </si>
  <si>
    <t>NORTHERN PIKE; ESOX-LUCIUS; TROPHIC CASCADES; FISH INDICATORS; PREDATORY FISH; SEA; ECOSYSTEM; RECRUITMENT; REPRODUCTION; DEGRADATION</t>
  </si>
  <si>
    <t>The northern pike (Esox lucius) is an iconic predatory fish species of significant recreational value and ecological role in the Baltic Sea. Some earlier studies indicate local declines of pike in the region, but a thorough spatial evaluation of regional population trends of pike in the Baltic Sea is lacking. In this study, we collate data from 59 unique time-series from fisheries landings and fishery-independent monitoring programs to address temporal trends in pike populations since the mid-2000 ' s in eight countries surrounding the Baltic Sea. In a common analysis considering all time-series in concert, we found indications of an overall regional temporal decline of pike in the Baltic Sea, but trends differed among countries. Individual negative trends in time-series were moreover found in several regions of the Baltic Sea, but predominantly so in the central and southern parts, while positive trends were only found in Estonia and northern Finland. The mix of data used in this study is inherently noisy and to some extent of uncertain quality, but as a result of the overall negative trends, together with the socioeconomic and ecological importance of pike in coastal areas of the Baltic Sea, we suggest that actions should be taken to protect and restore pike populations. Management measures should be performed in combination with improved fishery-independent monitoring programs to provide data of better quality and development of citizen-science approaches as a data source for population estimates. Possible measures that could strengthen pike populations include harvest regulations (including size limits, no-take areas and spawning closures), habitat protection and restoration, and an ecosystem-based approach to management considering also the impact of natural predators.</t>
  </si>
  <si>
    <t>[Olsson, Jens; Andersson, Matilda L.; Bergstro, Ulf; van Gemert, Rob; Mustama, Noora; Naddafi, Rahmat; Ostman, Orjan] Swedish Univ Agr Sci, Dept Aquat Resources, Umea, Sweden; [Andersson, Matilda L.] Swedish Univ Agr Sci, Dept Aquat Sci &amp; Assessment, Umea, Sweden; [Arlinghaus, Robert; Droll, Jan] Leibniz Inst Freshwater Ecol &amp; Inland Fisheries, Dept Fish Biol Fisheries &amp; Aquaculture, Berlin, Germany; [Arlinghaus, Robert; Droll, Jan] Humboldt Univ, Fac Life Sci, Div Integrat Fisheries Management, Berlin, Germany; [Audzijonyte, Asta; Dainys, Justas; Jakubaviciute, Egle; Lozys, Linas] Nat Res Ctr, Vilnius, Lithuania; [Audzijonyte, Asta] Univ Tasmania, Inst Marine &amp; Antarctic Studies, Hobart, Australia; [Berg, Soren; Ravn, Henrik Dalby; Skov, Christian] Tech Univ Denmark, Natl Inst Aquat Resources, Sect Freshwater Fisheries &amp; Ecol, Lyngby, Denmark; [Briekmane, Laura] Inst Food Safety Anim Hlth &amp; Environm BIOR, Fish Resources Res Dept, Riga, Latvia; [Dziemian, Lukasz; Grochowski, Adam; Lejk, Adam M.] Natl Marine Fisheries Res Inst, Dept Logist &amp; Monitoring, Gdynia, Poland; [Fey, Dariusz P.; Greszkiewicz, Martyna] Natl Marine Fisheries Res Inst, Dept Fisheries Oceanog &amp; Marine Ecol, Gdynia, Poland; [Olin, Mikko; Tiainen, Joni] Nat Resources Inst Finland Luke, Helsinki, Finland; [Saks, Lauri; Svirgsden, Roland] Univ Tartu, Estonian Marine Inst, Tartu, Estonia; [Smolinski, Szymon] Natl Marine Fisheries Res Inst, Dept Fisheries Resources, Gdynia, Poland</t>
  </si>
  <si>
    <t>Swedish University of Agricultural Sciences; Swedish University of Agricultural Sciences; Leibniz Institut fur Gewasserokologie und Binnenfischerei (IGB); Humboldt University of Berlin; Nature Research Center - Lithuania; University of Tasmania; Technical University of Denmark; Institute of Food Safety, Animal Health &amp; Environment BIOR; National Marine Fisheries Research Institute; National Marine Fisheries Research Institute; Natural Resources Institute Finland (Luke); University of Tartu; Estonian Marine Institute; National Marine Fisheries Research Institute</t>
  </si>
  <si>
    <t>Olsson, J (corresponding author), Swedish Univ Agr Sci, Dept Aquat Resources, Umea, Sweden.</t>
  </si>
  <si>
    <t>jens.olsson@slu.se</t>
  </si>
  <si>
    <t>Smoliński, Szymon/IQT-1286-2023; Skov, Christian/X-6511-2019; Smoliński, Szymon/AAZ-1088-2020</t>
  </si>
  <si>
    <t>Smoliński, Szymon/0000-0003-2715-984X; Skov, Christian/0000-0002-8547-6520; Ravn, Henrik/0000-0002-5723-2385; Arlinghaus, Robert/0000-0003-2861-527X; Greszkiewicz, Martyna/0000-0001-9806-2661; van Gemert, Rob/0000-0001-9395-4740; Ostman, Orjan/0000-0002-1930-0148; Lejk, Adam/0000-0002-1648-4308; Berg, Soren/0000-0001-8772-0921</t>
  </si>
  <si>
    <t>Swedish Agency for Marine and Water Management [HaV dnr 00735-20, 1067-22]; European Maritime Fisheries Fund; State of MV [MV-I.18-LM-004, B730117000069]; European Regional Development Fund [01.2.2-LMT-K-718- 02-0006]; Research Council of Lithuania (LMTLT); Danish Rod and Net Fish License funds</t>
  </si>
  <si>
    <t>Swedish Agency for Marine and Water Management; European Maritime Fisheries Fund; State of MV; European Regional Development Fund(European Union (EU)); Research Council of Lithuania (LMTLT)(Research Council of Lithuania (LMTLT)); Danish Rod and Net Fish License funds</t>
  </si>
  <si>
    <t>We are grateful to all people helping out collecting the data that serves as the basis for this study. Especially so Thomas Schaarschmidt, Thomas Richter and other staff at LALFF for collecting the landings data for Germany. This work was supported by the Swedish Agency for Marine and Water Management (HaV dnr 00735-20 and 1067-22) , European Maritime Fisheries Fund and the State of MV (Grant/Award numbers MV-I.18-LM-004 and B730117000069; BODDENHECHT) , the European Regional Development Fund (project No 01.2.2-LMT-K-718- 02-0006) under grant agreement with the Research Council of Lithuania (LMTLT) and the Danish Rod and Net Fish License funds.</t>
  </si>
  <si>
    <t>ELSEVIER</t>
  </si>
  <si>
    <t>AMSTERDAM</t>
  </si>
  <si>
    <t>RADARWEG 29, 1043 NX AMSTERDAM, NETHERLANDS</t>
  </si>
  <si>
    <t>0165-7836</t>
  </si>
  <si>
    <t>1872-6763</t>
  </si>
  <si>
    <t>FISH RES</t>
  </si>
  <si>
    <t>Fish Res.</t>
  </si>
  <si>
    <t>APR</t>
  </si>
  <si>
    <t>10.1016/j.fishres.2022.106594</t>
  </si>
  <si>
    <t>Fisheries</t>
  </si>
  <si>
    <t>8N1OP</t>
  </si>
  <si>
    <t>Green Published, hybrid</t>
  </si>
  <si>
    <t>Y</t>
  </si>
  <si>
    <t>N</t>
  </si>
  <si>
    <t>WOS:000924921300001</t>
  </si>
  <si>
    <t>van Oosten-Hawle, P; Backe, SJ; Ben-Zvi, A; Bourboulia, D; Brancaccio, M; Brodsky, J; Clark, M; Colombo, G; Cox, MB; de los Rios, P; Echtenkamp, F; Edkins, A; Freeman, B; Goloubinoff, P; Houry, W; Johnson, J; LaPointe, P; Li, W; Mezger, V; Neckers, L; Nillegoda, NB; Prahlad, V; Reitzel, A; Scherz-Shouval, R; Sistonen, L; Tsai, FTF; Woodford, MR; Mollapour, M; Truman, AW</t>
  </si>
  <si>
    <t>van Oosten-Hawle, Patricija; Backe, Sarah J.; Ben-Zvi, Anat; Bourboulia, Dimitra; Brancaccio, Mara; Brodsky, Jeff; Clark, Melody; Colombo, Giorgio; Cox, Marc B.; de los Rios, Paolo; Echtenkamp, Frank; Edkins, Adrienne; Freeman, Brian; Goloubinoff, Pierre; Houry, Walid; Johnson, Jill; LaPointe, Paul; Li, Wei; Mezger, Valerie; Neckers, Len; Nillegoda, Nadinath B.; Prahlad, Veena; Reitzel, Adam; Scherz-Shouval, Ruth; Sistonen, Lea; Tsai, Francis T. F.; Woodford, Mark R.; Mollapour, Mehdi; Truman, Andrew W.</t>
  </si>
  <si>
    <t>Second Virtual International Symposium on Cellular and Organismal Stress Responses, September 8-9, 2022</t>
  </si>
  <si>
    <t>CELL STRESS &amp; CHAPERONES</t>
  </si>
  <si>
    <t>Review</t>
  </si>
  <si>
    <t>CSSI symposium; Chaperones; Cancer biology; Heat shock proteins; Hsp70; Hsp90; Proteostasis; Stress responses; Chaperone code</t>
  </si>
  <si>
    <t>CHAPERONE; HSP90</t>
  </si>
  <si>
    <t>The Second International Symposium on Cellular and Organismal Stress Responses took place virtually on September 8-9, 2022. This meeting was supported by the Cell Stress Society International (CSSI) and organized by Patricija Van OostenHawle and Andrew Truman (University of North Carolina at Charlotte, USA) and Mehdi Mollapour (SUNY Upstate Medical University, USA). The goal of this symposium was to continue the theme from the initial meeting in 2020 by providing a platform for established researchers, new investigators, postdoctoral fellows, and students to present and exchange ideas on various topics on cellular stress and chaperones. We will summarize the highlights of the meeting here and recognize those that received recognition from the CSSI.</t>
  </si>
  <si>
    <t>[van Oosten-Hawle, Patricija; Reitzel, Adam; Truman, Andrew W.] Univ North Carolina Charlotte, Dept Biol Sci, Charlotte, NC 28223 USA; [Backe, Sarah J.; Bourboulia, Dimitra; Woodford, Mark R.; Mollapour, Mehdi] SUNY Upstate Med Univ, Dept Urol, Syracuse, NY 13210 USA; [Backe, Sarah J.; Bourboulia, Dimitra; Woodford, Mark R.; Mollapour, Mehdi] SUNY Upstate Med Univ, Dept Biochem &amp; Mol Biol, Syracuse, NY 13210 USA; [Backe, Sarah J.; Bourboulia, Dimitra; Woodford, Mark R.; Mollapour, Mehdi] SUNY Upstate Med Univ, Upstate Canc Ctr, Syracuse, NY 13210 USA; [Ben-Zvi, Anat] Bengurion Univ Negev, Dept Life Sci, Beer Sheva, Israel; [Brancaccio, Mara] Univ Torino, Dept Mol Biotechnol &amp; Hlth Sci, Turin, Italy; [Brodsky, Jeff] Univ Pittsburgh, Dept Biol Sci, Pittsburgh, PA 15260 USA; [Clark, Melody] British Antarctic Survey, High Cross, Madingley Rd, Cambridge CB3 0ET, England; [Colombo, Giorgio] Univ Pavia, Dept Chem, Via Taramelli 12, I-27100 Pavia, Italy; [Cox, Marc B.] Univ Texas El Paso, Border Biomed Res Ctr, Dept Pharmaceut Sci, El Paso, TX 79968 USA; [Cox, Marc B.] Univ Texas El Paso, Dept Biol Sci, El Paso, TX 79968 USA; [de los Rios, Paolo] Ecole Polytech Fed Lausanne EPFL, Inst Phys &amp; Inst Bioengn, Lausanne 20520, Switzerland; [Echtenkamp, Frank; Neckers, Len] NCI, Ctr Canc Res, Urol Oncol Branch, Mol Virol &amp; Microbiol, Bethesda, MD 20892 USA; [Edkins, Adrienne] Rhodes Univ, Dept Biochem &amp; Microbiol, Biomed Biotechnol Res Unit, ZA-6140 Grahamstown, South Africa; [Edkins, Adrienne] Rhodes Univ, Ctr Chem and Biomed Res, ZA-6140 Grahamstown, South Africa; [Freeman, Brian] Univ Illinois, Dept Cell &amp; Dev Biol, Urbana, IL 61801 USA; [Goloubinoff, Pierre] Tel Aviv Univ, Sch Plant Sci &amp; Food Secur, Tel Aviv, Israel; [Houry, Walid] Univ Toronto, Temerty Fac Med, Dept Biochem, Toronto M5G 1M1, ON, Canada; [Johnson, Jill] Univ Idaho, Dept Biol Sci, Moscow, ID 83844 USA; [Johnson, Jill] Univ Idaho, Ctr Reprod Biol, Moscow, ID 83844 USA; [LaPointe, Paul] Univ Alberta, Fac Med &amp; Dent, Dept Cell Biol, Edmonton, AB, Canada; [Li, Wei] USC Norris Comprehens Canc Ctr, Dept Dermatol, Los Angeles, CA USA; [Li, Wei] USC Norris Comprehens Canc Ctr, Los Angeles, CA USA; [Li, Wei] Univ Southern Calif Los Angeles, Keck Med Ctr, Los Angeles, CA 90089 USA; [Mezger, Valerie] Univ Paris Cite, CNRS, Paris, France; [Mezger, Valerie] Univ Paris Cite, Epigenet &amp; Cell Fate Ctr, Paris, France; [Nillegoda, Nadinath B.] Monash Univ, Australian Regenerat Med Inst, Clayton, Vic, Australia; [Nillegoda, Nadinath B.] Monash Univ, Brain Repair Australian Regenerat Med Inst, Ctr Dementia, Melbourne, Vic, Australia; [Prahlad, Veena] Univ Iowa, Dept Biol Aging Mind &amp; Brain Initiat, Iowa City, IA 52242 USA; [Prahlad, Veena] Univ Iowa, Iowa Neurosci Inst, Iowa City, IA 52242 USA; [Scherz-Shouval, Ruth] Weizmann Inst Sci, Dept Biomol Sci, Rehovot, Israel</t>
  </si>
  <si>
    <t>University of North Carolina; University of North Carolina Charlotte; State University of New York (SUNY) System; State University of New York (SUNY) Upstate Medical Center; State University of New York (SUNY) System; State University of New York (SUNY) Upstate Medical Center; State University of New York (SUNY) System; State University of New York (SUNY) Upstate Medical Center; Ben Gurion University; University of Turin; Pennsylvania Commonwealth System of Higher Education (PCSHE); University of Pittsburgh; UK Research &amp; Innovation (UKRI); Natural Environment Research Council (NERC); NERC British Antarctic Survey; University of Pavia; University of Texas System; University of Texas El Paso; University of Texas System; University of Texas El Paso; Swiss Federal Institutes of Technology Domain; Ecole Polytechnique Federale de Lausanne; National Institutes of Health (NIH) - USA; NIH National Cancer Institute (NCI); Rhodes University; Rhodes University; University of Illinois System; University of Illinois Urbana-Champaign; Tel Aviv University; University of Toronto; Idaho; University of Idaho; Idaho; University of Idaho; University of Alberta; University of Southern California; University of Southern California; Universite Paris Cite; Centre National de la Recherche Scientifique (CNRS); Universite Paris Cite; Monash University; Australian Regenerative Medicine Institute; Melbourne Genomics Health Alliance; Monash University; University of Iowa; University of Iowa; Weizmann Institute of Science</t>
  </si>
  <si>
    <t>van Oosten-Hawle, P; Truman, AW (corresponding author), Univ North Carolina Charlotte, Dept Biol Sci, Charlotte, NC 28223 USA.;Mollapour, M (corresponding author), SUNY Upstate Med Univ, Dept Urol, Syracuse, NY 13210 USA.;Mollapour, M (corresponding author), SUNY Upstate Med Univ, Dept Biochem &amp; Mol Biol, Syracuse, NY 13210 USA.;Mollapour, M (corresponding author), SUNY Upstate Med Univ, Upstate Canc Ctr, Syracuse, NY 13210 USA.</t>
  </si>
  <si>
    <t>pvanoost@uncc.edu; mollapom@upstate.edu; atruman1@uncc.edu</t>
  </si>
  <si>
    <t>Edkins, Adrienne L/C-8704-2012; van Oosten-Hawle, Patricija/GVS-1791-2022; Sistonen, Lea/JXW-7845-2024; De Los Rios, Paolo/B-2456-2010</t>
  </si>
  <si>
    <t>Edkins, Adrienne L/0000-0002-3615-6651; Sistonen, Lea/0000-0003-1341-2867; Nillegoda, Nadinath/0000-0002-9980-3991; BOURBOULIA, DIMITRA/0000-0002-8567-2775</t>
  </si>
  <si>
    <t>Cell Stress Society International; Springer Nature; Italian Association for Cancer Research [AIRC IG24930]; Regione Piemonte (Digital Technology For Lung Cancer Treatment (DEFLeCT)); National Institute of General Medical Sciences of the National Institutes of Health [R35GM139584, R35GM131732, R35GMGM136660, R01GM139932, R15GM139059, R01GM139885]; Cancer Prevention and Research Institute of Texas [RP110444-P2]; Department of Defense (DOD) Prostate Cancer Research Program (PCRP) [W81XWH-17-1-0435]; Lizanell and Colbert Coldwell Foundation; NIH [2G12MD007592]; National Institutes on Minority Health and Health Disparities (NIMHD); Alberta Cancer Foundation [27364]; Academy of Finland; Sigrid Juselius Foundation; Cancer Foundation Finland; Abo Akademi University Foundation; Agence Nationale de la Recherche [ANR-13-SAMA-0008-01, ANR-19-CE16-0030]; Fondation de la recherche Medicale (FRM Equipe labellisee) [Eq.201903007924]; Transversal Projects of Labex hrough the Universite Paris Cite IdEx - French Government through its Investments for the Future program [ANR-18-IDEX-0001]; Centre National de la Recherche Scientifique (CNRS); CNRS; South Africa Research Chairs (SARChI) initiative of the National Research Foundation (NRF); Department of Science and Innovation (DSI) [98566]; Rhodes University; Israel Science Foundation (ISF) [278/18]; Carlsberg Foundation; Independent Research Fund Denmark (Danmarks Frie Forskningsfond) (DFF) [7027-00060B]; Marie Sklodowska-Curie Individual Fellowship (IF) [797387]; Aage V. Jensens Fond (Aage V. Jensens Foundation); ISF [395/21]; ERC [754320]; Canadian Institutes of Health Research [PJT-173491]; National Health and Medical Research Council of Australia [APP1197021]; Fondazione AIRC (Associazione Italiana Ricerca Sul Cancro) [IG 20019]; PRIN grant [20209KYCH9]; NERC-UKRI; French Ministere de l'Enseignement Superieur, de la Recherche et de l'Innovation (MESRI); EUR G.E.N.E. [ANR-17-EURE-0013]; Department of Urology and Information Management Technology; Agence Nationale de la Recherche (ANR) [ANR-19-CE16-0030, ANR-13-SAMA-0008] Funding Source: Agence Nationale de la Recherche (ANR); European Research Council (ERC) [754320] Funding Source: European Research Council (ERC); Marie Curie Actions (MSCA) [797387] Funding Source: Marie Curie Actions (MSCA)</t>
  </si>
  <si>
    <t>Cell Stress Society International; Springer Nature; Italian Association for Cancer Research(Fondazione AIRC per la ricerca sul cancro); Regione Piemonte (Digital Technology For Lung Cancer Treatment (DEFLeCT)); National Institute of General Medical Sciences of the National Institutes of Health(United States Department of Health &amp; Human ServicesNational Institutes of Health (NIH) - USANIH National Institute of General Medical Sciences (NIGMS)); Cancer Prevention and Research Institute of Texas(Cancer Prevention &amp; Research Institute of Texas); Department of Defense (DOD) Prostate Cancer Research Program (PCRP)(United States Department of Defense); Lizanell and Colbert Coldwell Foundation; NIH(United States Department of Health &amp; Human ServicesNational Institutes of Health (NIH) - USA); National Institutes on Minority Health and Health Disparities (NIMHD); Alberta Cancer Foundation; Academy of Finland(Research Council of Finland); Sigrid Juselius Foundation(Sigrid Juselius Foundation); Cancer Foundation Finland; Abo Akademi University Foundation; Agence Nationale de la Recherche(Agence Nationale de la Recherche (ANR)); Fondation de la recherche Medicale (FRM Equipe labellisee); Transversal Projects of Labex hrough the Universite Paris Cite IdEx - French Government through its Investments for the Future program; Centre National de la Recherche Scientifique (CNRS)(Centre National de la Recherche Scientifique (CNRS)); CNRS(Centre National de la Recherche Scientifique (CNRS)); South Africa Research Chairs (SARChI) initiative of the National Research Foundation (NRF); Department of Science and Innovation (DSI); Rhodes University; Israel Science Foundation (ISF)(Israel Science Foundation); Carlsberg Foundation(Carlsberg Foundation); Independent Research Fund Denmark (Danmarks Frie Forskningsfond) (DFF)(Det Frie Forskningsrad (DFF)); Marie Sklodowska-Curie Individual Fellowship (IF); Aage V. Jensens Fond (Aage V. Jensens Foundation); ISF(Israel Science Foundation); ERC(European Research Council (ERC)); Canadian Institutes of Health Research(Canadian Institutes of Health Research (CIHR)); National Health and Medical Research Council of Australia(National Health &amp; Medical Research Council (NHMRC) of Australia); Fondazione AIRC (Associazione Italiana Ricerca Sul Cancro)(Fondazione AIRC per la ricerca sul cancro); PRIN grant(Ministry of Education, Universities and Research (MIUR)Research Projects of National Relevance (PRIN)); NERC-UKRI; French Ministere de l'Enseignement Superieur, de la Recherche et de l'Innovation (MESRI); EUR G.E.N.E.; Department of Urology and Information Management Technology; Agence Nationale de la Recherche (ANR)(Agence Nationale de la Recherche (ANR)); European Research Council (ERC)(European Research Council (ERC)Spanish Government); Marie Curie Actions (MSCA)(Marie Curie Actions)</t>
  </si>
  <si>
    <t>We wish to thank our sponsoring organizations including the Cell Stress Society International, Springer Nature, Department of Urology and Information Management &amp; Technology Rachael A. Kim at SUNY Upstate Medical University for their continued support without which this symposium would not have been possible. A special thanks to CSSI General Secretary Helen Neumann who handled all of the details of meeting organization. The work presented here was supported by Italian Association for Cancer Research (AIRC IG24930) and by Regione Piemonte (Digital Technology For Lung Cancer Treatment (DEFLeCT)) (M.B.), the National Institute of General Medical Sciences of the National Institutes of Health under Award Number, R35GM139584 (M.M.), R35GM131732 (J.B.), R35GMGM136660 (B.F.), R01GM139932 (D.B.), R15GM139059, and R01GM139885 to (A.W.T); Cancer Prevention and Research Institute of Texas grant number RP110444-P2 (M.B.C), Department of Defense (DOD) Prostate Cancer Research Program (PCRP) grant number W81XWH-17-1-0435 (M.B.C), funding from the Lizanell and Colbert Coldwell Foundation (M.B.C), and partial support from NIH grant 2G12MD007592 to the Border Biomedical Research Center (BBRC) (MBC), from the National Institutes on Minority Health and Health Disparities (NIMHD) (M.B.C). Alberta Cancer Foundation-27364 (P.L.) Academy of Finland, Sigrid Juselius Foundation, Cancer Foundation Finland, and Abo Akademi University Foundation (L.S.); Agence Nationale de la Recherche: HSF-EPISAME, SAMENTA ANR-13-SAMA-0008-01 and RUBINeuroStress ANR-19-CE16-0030; Fondation de la recherche Medicale (FRM Equipe labellisee Eq. 201903007924); Transversal Projects of Labex hrough the Universite Paris Cite IdEx #ANR-18-IDEX-0001, funded by the French Government through its Investments for the Future program; and Centre National de la Recherche Scientifique (CNRS). Doctoral Fellowships were funded by the French Ministere de l'Enseignement Superieur, de la Recherche et de l'Innovation (MESRI), the EUR G.E.N.E. (ANR-17-EURE-0013), and the CNRS (V.M.); South Africa Research Chairs (SARChI) initiative of the National Research Foundation (NRF) and Department of Science and Innovation (DSI) (grant number 98566) and Rhodes University (RGG grant) (A.E.); and Israel Science Foundation (ISF) grant 278/18 (A.B.-Z.). The Carlsberg Foundation, the Independent Research Fund Denmark (Danmarks Frie Forskningsfond) (DFF-International Post-doc; case no. 7027-00060B), a Marie Sklodowska-Curie Individual Fellowship (IF) under contract number 797387 and Aage V. Jensens Fond (Aage V. Jensens Foundation) and NERC-UKRI core funding to the British Antarctic Survey (M.C.), ISF grant 395/21, ERC grant 754320 (R.S.-S.), and Canadian Institutes of Health Research (PJT-173491) (W.H.); National Health and Medical Research Council of Australia Investigator Grant APP1197021 (N.B.N); and Fondazione AIRC (Associazione Italiana Ricerca Sul Cancro) grant IG 20019, PRIN grant 20209KYCH9 (G.C.).</t>
  </si>
  <si>
    <t>SPRINGER</t>
  </si>
  <si>
    <t>DORDRECHT</t>
  </si>
  <si>
    <t>VAN GODEWIJCKSTRAAT 30, 3311 GZ DORDRECHT, NETHERLANDS</t>
  </si>
  <si>
    <t>1355-8145</t>
  </si>
  <si>
    <t>1466-1268</t>
  </si>
  <si>
    <t>CELL STRESS CHAPERON</t>
  </si>
  <si>
    <t>Cell Stress Chaperones</t>
  </si>
  <si>
    <t>JAN</t>
  </si>
  <si>
    <t>10.1007/s12192-022-01318-5</t>
  </si>
  <si>
    <t>Cell Biology</t>
  </si>
  <si>
    <t>8K0UD</t>
  </si>
  <si>
    <t>WOS:000909525900001</t>
  </si>
  <si>
    <t>Mayer-Pinto, M; Bugnot, AB; Johnston, EL; Potts, J; Airoldi, L; Glasby, TM; Strain, EMA; Scanes, P; Ushiama, S; Dafforn, KA</t>
  </si>
  <si>
    <t>Mayer-Pinto, Mariana; Bugnot, Ana B.; Johnston, Emma L.; Potts, Jaimie; Airoldi, Laura; Glasby, Tim M.; Strain, Elisabeth M. A.; Scanes, Peter; Ushiama, Shinjiro; Dafforn, Katherine A.</t>
  </si>
  <si>
    <t>Physical and biogenic complexity mediates ecosystem functions in urban sessile marine communities</t>
  </si>
  <si>
    <t>JOURNAL OF APPLIED ECOLOGY</t>
  </si>
  <si>
    <t>artificial structures; coastal management; coastal systems; eco-engineering; ecosystem functioning; habitat complexity; habitat-formers; urban infrastructure</t>
  </si>
  <si>
    <t>HABITAT COMPLEXITY; STRUCTURAL COMPLEXITY; SPECIES-DIVERSITY; OYSTER REEFS; BIODIVERSITY; RESTORATION; NUTRIENT; URBANIZATION; ASSEMBLAGES; COMPETITION</t>
  </si>
  <si>
    <t>1. The influence of habitat complexity on biodiversity is a central theme in ecology, with many studies reporting positive relationships. Reconciliation approaches in urbanised areas, such as eco-engineering, have increasingly focused on 're-building' the complexity of degraded and/or homogenised habitats to support biodiversity. Yet, the effects of increasing complexity and biodiversity on ecological functions are rarely measured. 2. We assessed how increasing the physical and/or biogenic complexity of habitats affects the net primary productivity (NPP) and gross primary productivity (GPP), community respiration and nutrient cycling (specifically dissolved inorganic phosphorus and nitrogen) of intertidal sessile marine communities at three sites. We manipulated physical complexity using two types of settlement tiles: 'complex', with crevices and ridges, and 'flat'. We increased biogenic complexity on half the replicates of each tile type by seeding with oysters. 3. Increased physical and biogenic complexity resulted in greater sessile species richness at all sites. Although many variables assessed varied with sites and time of measurements, overall, GPP and NPP were greater on flat tiles than on complex ones. These patterns were not explained by differences in the total surface area of tiles. 4.Daily flux rates of dissolved inorganic phosphorus had a significant positive relationship with biogenic complexity. There were no effects of biogenic or physical complexity on the net fluxes of dissolved inorganic nitrogen. 5. Effects of habitat complexity on the productivity and nutrient cycling of marine sessile communities were largely unrelated to diversity measures, such as richness or abundance of key taxa and functional groups. 6. Synthesis and applications. Eco-engineering practices that manipulate habitat complexity might benefit from explicit functional targets that also consider associated ecosystem services, as we found that under some conditions there is a trade-off between biodiversity and functional targets. Our results suggest that increasing habitat complexity has a positive effect on sessile species richness, but not necessarily on productivity (GPP and NPP). The species pool available as well as light availability is likely to mediate effects of complexity on assemblages, so local environment needs to be a key consideration when designing interventions.</t>
  </si>
  <si>
    <t>[Mayer-Pinto, Mariana; Johnston, Emma L.; Glasby, Tim M.; Ushiama, Shinjiro] Univ New South Wales, Ctr Marine Sci &amp; Innovat, Evolut &amp; Ecol Res Ctr, Sch Biol Earth &amp; Environm Sci, Sydney, NSW, Australia; [Mayer-Pinto, Mariana; Bugnot, Ana B.; Johnston, Emma L.; Dafforn, Katherine A.] Sydney Inst Marine Sci, Mosman, NSW, Australia; [Bugnot, Ana B.] Univ Sydney, Sch Life &amp; Environm Sci, Sydney, NSW, Australia; [Potts, Jaimie; Scanes, Peter] NSW Dept Planning &amp; Environm, EES Labs, Lidcombe, NSW, Australia; [Airoldi, Laura] Univ Padua, Dept Biol, Chioggia Hydrobiol Stn Umberto DAncona, UO CoNISMa, Chioggia, Italy; [Airoldi, Laura] Univ Bologna, Dept Cultural Heritage, Bologna, Italy; [Airoldi, Laura] Univ Bologna, CIRSA, Bologna, Italy; [Glasby, Tim M.] Port Stephens Fisheries Inst, NSW Dept Primary Ind, Taylors Beach, NSW, Australia; [Strain, Elisabeth M. A.] Univ Tasmania, Inst Marine &amp; Antarctic Sci, Hobart, Tas, Australia; [Strain, Elisabeth M. A.] Univ Tasmania, Ctr Marine Socioecol, Hobart, Tas, Australia; [Dafforn, Katherine A.] Macquarie Univ, Sch Nat Sci, Sydney, NSW, Australia</t>
  </si>
  <si>
    <t>University of New South Wales Sydney; Sydney Institute of Marine Science; University of Sydney; University of Padua; University of Bologna; University of Bologna; NSW Department of Primary Industries; University of Tasmania; University of Tasmania; Macquarie University</t>
  </si>
  <si>
    <t>Mayer-Pinto, M (corresponding author), Univ New South Wales, Ctr Marine Sci &amp; Innovat, Evolut &amp; Ecol Res Ctr, Sch Biol Earth &amp; Environm Sci, Sydney, NSW, Australia.;Mayer-Pinto, M (corresponding author), Sydney Inst Marine Sci, Mosman, NSW, Australia.</t>
  </si>
  <si>
    <t>m.mayerpinto@unsw.edu.au</t>
  </si>
  <si>
    <t>Johnston, Emma/AAC-2878-2022; Strain, Elisabeth/U-3520-2017; Airoldi, Laura/I-3553-2019; Bugnot, Ana/GQA-3017-2022; Pinto, Mariana/JZT-3004-2024; Glasby, Tim M/Q-3670-2016; Dafforn, Katherine/J-9647-2013</t>
  </si>
  <si>
    <t>Johnston, Emma/0000-0002-2117-366X; Airoldi, Laura/0000-0001-5046-0871; Bugnot, Ana/0000-0001-6451-0307; Dafforn, Katherine/0000-0001-8848-377X; Mayer-Pinto, Mariana/0000-0001-9679-7023</t>
  </si>
  <si>
    <t>Australian Research Council [LP140100753]; NSW DPI; Macquarie University</t>
  </si>
  <si>
    <t>Australian Research Council(Australian Research Council); NSW DPI; Macquarie University</t>
  </si>
  <si>
    <t>Australian Research Council, Grant/Award Number: LP140100753; NSW DPI; Macquarie University</t>
  </si>
  <si>
    <t>WILEY</t>
  </si>
  <si>
    <t>HOBOKEN</t>
  </si>
  <si>
    <t>111 RIVER ST, HOBOKEN 07030-5774, NJ USA</t>
  </si>
  <si>
    <t>0021-8901</t>
  </si>
  <si>
    <t>1365-2664</t>
  </si>
  <si>
    <t>J APPL ECOL</t>
  </si>
  <si>
    <t>J. Appl. Ecol.</t>
  </si>
  <si>
    <t>10.1111/1365-2664.14347</t>
  </si>
  <si>
    <t>Biodiversity Conservation; Ecology</t>
  </si>
  <si>
    <t>Biodiversity &amp; Conservation; Environmental Sciences &amp; Ecology</t>
  </si>
  <si>
    <t>D9FV5</t>
  </si>
  <si>
    <t>WOS:000908040600001</t>
  </si>
  <si>
    <t>Amin, M; Adams, MB; Burke, CM; Bolch, CJS</t>
  </si>
  <si>
    <t>Amin, Muhamad; Adams, Mark B.; Burke, Christopher M.; Bolch, Christopher J. S.</t>
  </si>
  <si>
    <t>Screening and activity of potential gastrointestinal probiotic lactic acid bacteria against Yersinia ruckeri O1b</t>
  </si>
  <si>
    <t>JOURNAL OF FISH DISEASES</t>
  </si>
  <si>
    <t>anti-Yersinia; BLIS; LAB; probiont; Yersinia_ruckeri O1b</t>
  </si>
  <si>
    <t>TROUT ONCORHYNCHUS-MYKISS; RAINBOW-TROUT; HYDROGEN-PEROXIDE; ATLANTIC SALMON; IN-VITRO; INTESTINE; INFECTION; SELECTION; ADHESION; WALBAUM</t>
  </si>
  <si>
    <t>Yersiniosis of cultured Atlantic salmon is a recurrent fish health management challenge in many continents. The causative organism, Yersinia ruckeri, can reside latently in the gut and lead to acute infection and disease during hatchery and sea-transfer stages. One potential prevention approach is the administration of probiotic bacteria to suppress gut colonization of Y. ruckeri. Our study aimed to isolate and identify anti-Yersinia activity among lactic acid bacteria (LAB) isolated from the gastrointestinal tract (GIT) of aquatic animals. Of the 186 aquatic GIT isolates examined, three strains showed diffusible antimicrobial activity towards Y. ruckeri O1b. Analysis of 16 s rRNA gene sequences indicated the three bacterial strains were Enterococci, related to Enterococcus sp. (99%), Enterococcus thailandicus (99%), and Enterococcus durans (99%). Anti-Yersinia activity was maintained at neutral pH (similar to 6.5-7.0), and in-vitro environmental tolerance assays showed the three strains could withstand simulated salmonids gastrointestinal tract conditions of: low pH (3.4) and 3% bile salt content. All three Enterococci strains showed higher adhesion to the intestinal mucus of Atlantic salmon than Y. ruckeri O1b (E. durans 24%, E. enterococcus sp. 25% and E. thailandicus 98%, compared to Y. ruckeri O1b 5%). However, only Enterococcus sp. and E. thailandicus were able to grow in the salmon intestinal mucus broth while E. durans showed no growth. Anti-Yersinia activity was completely inactivated by proteinase-K treatment, suggesting that the active compound/s are proteinaceous and may be bacteriocin-like inhibitory substances (BLIS). Our data indicate that Enterococcus sp. MA176 and E. thailandicus MA122 are potential probionts for the prevention of yersiniosis in salmonids. Further in-vivo studies are required to determine whether these bacteria reduce the incidence of yersiniosis in Atlantic salmon.</t>
  </si>
  <si>
    <t>[Amin, Muhamad; Adams, Mark B.; Burke, Christopher M.; Bolch, Christopher J. S.] Univ Tasmania, Inst Marine &amp; Antarctic Studies IMAS, Launceston, Tas, Australia; [Amin, Muhamad] Univ Airlangga, Fac Fisheries &amp; Marine, Dept Aquaculture, Surabaya, Indonesia; [Amin, Muhamad] Univ Airlangga, Fac Fisheries &amp; Marine, Jl Mulyosari, Surabaya 60113, Indonesia</t>
  </si>
  <si>
    <t>University of Tasmania; Airlangga University; Airlangga University</t>
  </si>
  <si>
    <t>Amin, M (corresponding author), Univ Airlangga, Fac Fisheries &amp; Marine, Jl Mulyosari, Surabaya 60113, Indonesia.</t>
  </si>
  <si>
    <t>muhamad.amin@fpk.unair.ac.id</t>
  </si>
  <si>
    <t>Amin, muhamad/IQU-3321-2023; Bolch, Christopher J/J-7619-2014</t>
  </si>
  <si>
    <t>Amin, muhamad/0000-0002-7633-8388;</t>
  </si>
  <si>
    <t>Institute for Marine and Antarctic Studies (IMAS) Launceston, University of Tasmania</t>
  </si>
  <si>
    <t>Institute for Marine and Antarctic Studies (IMAS) Launceston, University of Tasmania,</t>
  </si>
  <si>
    <t>0140-7775</t>
  </si>
  <si>
    <t>1365-2761</t>
  </si>
  <si>
    <t>J FISH DIS</t>
  </si>
  <si>
    <t>J. Fish Dis.</t>
  </si>
  <si>
    <t>10.1111/jfd.13750</t>
  </si>
  <si>
    <t>Fisheries; Marine &amp; Freshwater Biology; Veterinary Sciences</t>
  </si>
  <si>
    <t>9S1GX</t>
  </si>
  <si>
    <t>WOS:000907935500001</t>
  </si>
  <si>
    <t>Liu, T; Chen, D; Yang, L; Meng, J; Wang, ZCL; Ludescher, J; Fan, JF; Yang, SN; Chen, DL; Kurths, J; Chen, XS; Havlin, S; Schellnhuber, HJ</t>
  </si>
  <si>
    <t>Liu, Teng; Chen, Dean; Yang, Lan; Meng, Jun; Wang, Zanchenling; Ludescher, Josef; Fan, Jingfang; Yang, Saini; Chen, Deliang; Kurths, Juergen; Chen, Xiaosong; Havlin, Shlomo; Schellnhuber, Hans Joachim</t>
  </si>
  <si>
    <t>Teleconnections among tipping elements in the Earth system</t>
  </si>
  <si>
    <t>NATURE CLIMATE CHANGE</t>
  </si>
  <si>
    <t>CLIMATE</t>
  </si>
  <si>
    <t>Tipping elements are components of the Earth system that may shift abruptly and irreversibly from one state to another at specific thresholds. It is not well understood to what degree tipping of one system can influence other regions or tipping elements. Here, we propose a climate network approach to analyse the global impacts of a prominent tipping element, the Amazon Rainforest Area (ARA). We find that the ARA exhibits strong correlations with regions such as the Tibetan Plateau (TP) and West Antarctic ice sheet. Models show that the identified teleconnection propagation path between the ARA and the TP is robust under climate change. In addition, we detect that TP snow cover extent has been losing stability since 2008. We further uncover that various climate extremes between the ARA and the TP are synchronized under climate change. Our framework highlights that tipping elements can be linked and also the potential predictability of cascading tipping dynamics.</t>
  </si>
  <si>
    <t>[Liu, Teng; Chen, Dean; Yang, Lan; Fan, Jingfang; Chen, Xiaosong] Beijing Normal Univ, Inst Nonequilibrium Syst, Sch Syst Sci, Beijing, Peoples R China; [Chen, Dean] Univ Helsinki, Inst Atmospher &amp; Earth Syst Res Phys, Fac Sci, Helsinki, Finland; [Meng, Jun] Beijing Univ Posts &amp; Telecommun, Sch Sci, Beijing, Peoples R China; [Meng, Jun; Ludescher, Josef; Fan, Jingfang; Kurths, Juergen; Schellnhuber, Hans Joachim] Potsdam Inst Climate Impact Res, Potsdam, Germany; [Wang, Zanchenling] Peking Univ, Yuanpei Coll, Beijing, Peoples R China; [Yang, Saini] Beijing Normal Univ, State Key Lab Earth Surface Proc &amp; Resource Ecol, Beijing, Peoples R China; [Yang, Saini] Beijing Normal Univ, Sch Natl Safety &amp; Emergency Management, Beijing, Peoples R China; [Chen, Deliang] Univ Gothenburg, Dept Earth Sci, Gothenburg, Sweden; [Kurths, Juergen] Humboldt Univ, Dept Phys, Berlin, Germany; [Havlin, Shlomo] Bar Ilan Univ, Dept Phys, Ramat Gan, Israel</t>
  </si>
  <si>
    <t>Beijing Normal University; University of Helsinki; Beijing University of Posts &amp; Telecommunications; Potsdam Institut fur Klimafolgenforschung; Peking University; Beijing Normal University; Beijing Normal University; University of Gothenburg; Humboldt University of Berlin; Bar Ilan University</t>
  </si>
  <si>
    <t>Fan, JF; Chen, XS (corresponding author), Beijing Normal Univ, Inst Nonequilibrium Syst, Sch Syst Sci, Beijing, Peoples R China.;Fan, JF (corresponding author), Potsdam Inst Climate Impact Res, Potsdam, Germany.;Yang, SN (corresponding author), Beijing Normal Univ, State Key Lab Earth Surface Proc &amp; Resource Ecol, Beijing, Peoples R China.;Yang, SN (corresponding author), Beijing Normal Univ, Sch Natl Safety &amp; Emergency Management, Beijing, Peoples R China.</t>
  </si>
  <si>
    <t>jingfang@bnu.edu.cn; yangsaini@bnu.edu.cn; chenxs@bnu.edu.cn</t>
  </si>
  <si>
    <t>Fan, JIngfang/JRW-3253-2023; Schellnhuber, Hans Joachim/B-2607-2012; Chen, Deliang/A-5107-2013; Liu, Teng/JWO-3804-2024</t>
  </si>
  <si>
    <t>Chen, Deliang/0000-0003-0288-5618; Liu, Teng/0000-0003-4971-1703; Fan, Jingfang/0000-0003-1954-4641; Kurths, Juergen/0000-0002-5926-4276; Wang, Zanchenling/0000-0003-4117-5221</t>
  </si>
  <si>
    <t>National Natural Science Foundation of China [12135003, 12275020, 12205025]; Ministry of Science and Technology of China [2019QZKK0906]; Swedish strategic research area MERGE; Germany BMBF [01LP1902A]</t>
  </si>
  <si>
    <t>National Natural Science Foundation of China(National Natural Science Foundation of China (NSFC)); Ministry of Science and Technology of China(Ministry of Science and Technology, China); Swedish strategic research area MERGE; Germany BMBF(Federal Ministry of Education &amp; Research (BMBF))</t>
  </si>
  <si>
    <t>We wish to thank Y. Ashkenazy for his helpful suggestions. This work is supported by the National Natural Science Foundation of China (12135003) and the Ministry of Science and Technology of China (2019QZKK0906). J.F. acknowledges the support received from the National Natural Science Foundation of China (12275020). J.M. acknowledges the support received from the National Natural Science Foundation of China (12205025). D.C. is supported by the Swedish strategic research area MERGE. J.K. received support from the Germany BMBF grant 01LP1902A.</t>
  </si>
  <si>
    <t>1758-678X</t>
  </si>
  <si>
    <t>1758-6798</t>
  </si>
  <si>
    <t>NAT CLIM CHANGE</t>
  </si>
  <si>
    <t>Nat. Clim. Chang.</t>
  </si>
  <si>
    <t>+</t>
  </si>
  <si>
    <t>10.1038/s41558-022-01558-4</t>
  </si>
  <si>
    <t>Environmental Sciences; Environmental Studies; Meteorology &amp; Atmospheric Sciences</t>
  </si>
  <si>
    <t>Science Citation Index Expanded (SCI-EXPANDED); Social Science Citation Index (SSCI)</t>
  </si>
  <si>
    <t>Environmental Sciences &amp; Ecology; Meteorology &amp; Atmospheric Sciences</t>
  </si>
  <si>
    <t>7T8QB</t>
  </si>
  <si>
    <t>Green Published, Green Submitted, hybrid</t>
  </si>
  <si>
    <t>WOS:000909420200001</t>
  </si>
  <si>
    <t>Andersen, JL; Newall, JC; Fredin, O; Glasser, NF; Lifton, NA; Stuart, FM; Fabel, D; Caffee, M; Pedersen, VK; Koester, AJ; Suganuma, Y; Harbor, JM; Stroeven, AP</t>
  </si>
  <si>
    <t>Andersen, Jane L.; Newall, Jennifer C.; Fredin, Ola; Glasser, Neil F.; Lifton, Nathaniel A.; Stuart, Finlay M.; Fabel, Derek; Caffee, Marc; Pedersen, Vivi K.; Koester, Alexandria J.; Suganuma, Yusuke; Harbor, Jonathan M.; Stroeven, Arjen P.</t>
  </si>
  <si>
    <t>A topographic hinge-zone divides coastal and inland ice dynamic regimes in East Antarctica</t>
  </si>
  <si>
    <t>COMMUNICATIONS EARTH &amp; ENVIRONMENT</t>
  </si>
  <si>
    <t>DRONNING-MAUD LAND; SITU COSMOGENIC BE-10; EROSION RATES; GLACIAL GEOMORPHOLOGY; VICTORIA LAND; SHEET; LANDSCAPE; WESTERN; AL-26; SURFACE</t>
  </si>
  <si>
    <t>The impact of late Cenozoic climate on the East Antarctic Ice Sheet is uncertain. Poorly constrained patterns of relative ice thinning and thickening impair the reconstruction of past ice-sheet dynamics and global sea-level budgets. Here we quantify long-term ice cover of mountains protruding the ice-sheet surface in western Dronning Maud Land, using cosmogenic Chlorine-36, Aluminium-26, Beryllium-10, and Neon-21 from bedrock in an inverse modeling approach. We find that near-coastal sites experienced ice burial up to 75-97% of time since 1 Ma, while interior sites only experienced brief periods of ice burial, generally &lt; 20% of time since 1 Ma. Based on these results, we suggest that the escarpment in Dronning Maud Land acts as a hinge-zone, where ice-dynamic changes driven by grounding-line migration are attenuated inland from the coastal portions of the East Antarctic Ice Sheet, and where precipitation-controlled ice-thickness variations on the polar plateau taper off towards the coast.</t>
  </si>
  <si>
    <t>[Andersen, Jane L.; Pedersen, Vivi K.] Aarhus Univ, Dept Geosci, Aarhus, Denmark; [Andersen, Jane L.; Newall, Jennifer C.; Harbor, Jonathan M.; Stroeven, Arjen P.] Stockholm Univ, Dept Phys Geog, Geomorphol &amp; Glaciol, Stockholm, Sweden; [Newall, Jennifer C.; Stroeven, Arjen P.] Stockholm Univ, Bolin Ctr Climate Res, Stockholm, Sweden; [Newall, Jennifer C.; Lifton, Nathaniel A.; Koester, Alexandria J.; Harbor, Jonathan M.] Purdue Univ, Dept Earth Atmospher &amp; Planetary Sci, W Lafayette, IN USA; [Fredin, Ola] Norwegian Univ Sci &amp; Technol, Dept Geosci &amp; Petr, Trondheim, Norway; [Glasser, Neil F.] Aberystwyth Univ, Ctr Glaciol, Dept Geog &amp; Earth Sci, Aberystwyth, Wales; [Lifton, Nathaniel A.; Caffee, Marc] Purdue Univ, Dept Phys &amp; Astron, W Lafayette, IN USA; [Lifton, Nathaniel A.; Caffee, Marc] Purdue Univ, Purdue Rare Isotope Measurement Lab PRIME Lab, W Lafayette, IN USA; [Stuart, Finlay M.; Fabel, Derek] Scottish Univ Environm Res Ctr, Glasgow, Scotland; [Suganuma, Yusuke] Natl Inst Polar Res, Tachikawa, IN, Japan</t>
  </si>
  <si>
    <t>Aarhus University; Stockholm University; Purdue University System; Purdue University; Norwegian University of Science &amp; Technology (NTNU); Aberystwyth University; Purdue University System; Purdue University; Purdue University System; Purdue University; Scottish Universities Research &amp; Reactor Center; Research Organization of Information &amp; Systems (ROIS); National Institute of Polar Research (NIPR) - Japan</t>
  </si>
  <si>
    <t>Andersen, JL (corresponding author), Aarhus Univ, Dept Geosci, Aarhus, Denmark.;Andersen, JL (corresponding author), Stockholm Univ, Dept Phys Geog, Geomorphol &amp; Glaciol, Stockholm, Sweden.</t>
  </si>
  <si>
    <t>jane.lund@geo.au.dk</t>
  </si>
  <si>
    <t>Andersen, Jane Lund/R-6518-2017; Stroeven, Arjen P/I-7330-2013; Stuart, Finlay M/E-7417-2010; Lifton, Nathaniel/M-2017-2015; Fabel, Derek/A-2999-2010; Pedersen, Vivi Kathrine/H-7865-2016</t>
  </si>
  <si>
    <t>Andersen, Jane Lund/0000-0003-2829-6352; Lifton, Nathaniel/0000-0002-6976-3298; Fredin, Ola/0000-0002-0803-3312; Fabel, Derek/0000-0003-2859-3293; Glasser, Neil/0000-0002-8245-2670; Pedersen, Vivi Kathrine/0000-0002-5004-8438</t>
  </si>
  <si>
    <t>Stockholm University; Grants-in-Aid for Scientific Research [21KK0246] Funding Source: KAKEN</t>
  </si>
  <si>
    <t>Stockholm University; Grants-in-Aid for Scientific Research(Ministry of Education, Culture, Sports, Science and Technology, Japan (MEXT)Japan Society for the Promotion of ScienceGrants-in-Aid for Scientific Research (KAKENHI))</t>
  </si>
  <si>
    <t>Open access funding provided by Stockholm University.</t>
  </si>
  <si>
    <t>SPRINGERNATURE</t>
  </si>
  <si>
    <t>LONDON</t>
  </si>
  <si>
    <t>CAMPUS, 4 CRINAN ST, LONDON, N1 9XW, ENGLAND</t>
  </si>
  <si>
    <t>2662-4435</t>
  </si>
  <si>
    <t>COMMUN EARTH ENVIRON</t>
  </si>
  <si>
    <t>Commun. Earth Environ.</t>
  </si>
  <si>
    <t>10.1038/s43247-022-00673-6</t>
  </si>
  <si>
    <t>Environmental Sciences; Geosciences, Multidisciplinary; Meteorology &amp; Atmospheric Sciences</t>
  </si>
  <si>
    <t>Environmental Sciences &amp; Ecology; Geology; Meteorology &amp; Atmospheric Sciences</t>
  </si>
  <si>
    <t>7Q6PB</t>
  </si>
  <si>
    <t>Green Accepted, gold, Green Submitted, Green Published</t>
  </si>
  <si>
    <t>WOS:000909510000002</t>
  </si>
  <si>
    <t>Liu, S; Jing, XY; Chen, XR; Wang, HJ</t>
  </si>
  <si>
    <t>Liu, Shan; Jing, Xueyi; Chen, Xingrong; Wang, Huijun</t>
  </si>
  <si>
    <t>An assessment of the subduction rate in the CMIP6 historical experiment</t>
  </si>
  <si>
    <t>ACTA OCEANOLOGICA SINICA</t>
  </si>
  <si>
    <t>subduction rate; CMIP6; climatology; long-term trend</t>
  </si>
  <si>
    <t>SUBTROPICAL MODE WATER; MIXED-LAYER; CIRCULATION; VARIABILITY; BIAS</t>
  </si>
  <si>
    <t>Subduction process is a dynamical bridge for the exchanges of heat between the atmosphere and subsurface ocean water, which is regarded as a central proxy for the ocean climate studies. Given its key indicator in climate signals, it is of importance to examine the ability of a model to simulate the global subduction rate before investigating the climate dynamics. In this paper, we evaluated the ability of 21 climate models from Coupled Model Intercomparison Project Phase 6 (CMIP6) in simulating the subduction rate. In general, the simulation ability of the models to the subduction climatology is better than that to the long-term variation trend. Based on the comprehensive analysis of climatology distribution and long-term trend of the subduction rate, GISS-E2-1-G performs better in reproducing the subduction rate climatology and IPSL-CM6A-LR can simulate positive long-term trend for both the global mean subduction rate and the lateral induction term in the Antarctic Circumpolar Current (ACC) region. However, it is still challenging to capture both the distribution characteristics of the subduction climatology and the long-term temporal trend for the 21 CMIP6 models. In addition, the model results demonstrate that, the ACC area is the major region contributing to the long-term trend of the global mean subduction rate. The analysis in this paper indicates that the poor simulation ability of reproducing the long-term trend of global mean subduction rate might be attributed to the ocean dynamics, for example, the zonal velocity at the bottom mixed layer and zonal gradient of mixed layer depth.</t>
  </si>
  <si>
    <t>[Liu, Shan; Chen, Xingrong] Minist Nat Resources, Natl Marine Environm Forecasting Ctr, Beijing 100081, Peoples R China; [Jing, Xueyi] Natl Supercomp Ctr Wuxi, Wuxi 214315, Peoples R China; [Wang, Huijun] Nanjing Univ Informat Sci &amp; Technol, Collaborat Innovat Ctr Forecast &amp; Evaluat Meteorol, Nanjing 210044, Peoples R China; [Wang, Huijun] Chinese Acad Sci, Inst Atmospher Phys, Nansen Zhu Int Res Ctr, Beijing 100029, Peoples R China</t>
  </si>
  <si>
    <t>Ministry of Natural Resources of the People's Republic of China; National Marine Environmental Forecasting Center; Nanjing University of Information Science &amp; Technology; Chinese Academy of Sciences; Institute of Atmospheric Physics, CAS</t>
  </si>
  <si>
    <t>Chen, XR (corresponding author), Minist Nat Resources, Natl Marine Environm Forecasting Ctr, Beijing 100081, Peoples R China.</t>
  </si>
  <si>
    <t>luckychen@nmefc.cn</t>
  </si>
  <si>
    <t>ONE NEW YORK PLAZA, SUITE 4600, NEW YORK, NY, UNITED STATES</t>
  </si>
  <si>
    <t>0253-505X</t>
  </si>
  <si>
    <t>1869-1099</t>
  </si>
  <si>
    <t>ACTA OCEANOL SIN</t>
  </si>
  <si>
    <t>Acta Oceanol. Sin.</t>
  </si>
  <si>
    <t>10.1007/s13131-022-2108-z</t>
  </si>
  <si>
    <t>Oceanography</t>
  </si>
  <si>
    <t>9O3LP</t>
  </si>
  <si>
    <t>WOS:000909518300001</t>
  </si>
  <si>
    <t>Jiao, JS; Pan, YJ; Zhang, XH; Shum, CK; Zhang, Y; Ding, H</t>
  </si>
  <si>
    <t>Jiao, Jiashuang; Pan, Yuanjin; Zhang, Xiaohong; Shum, C. K.; Zhang, Yu; Ding, Hao</t>
  </si>
  <si>
    <t>Spatially heterogeneous nonlinear signal in Antarctic ice-sheet mass loss revealed by GRACE and GPS</t>
  </si>
  <si>
    <t>GEOPHYSICAL JOURNAL INTERNATIONAL</t>
  </si>
  <si>
    <t>Glaciology; Global change from geodesy; Satellite geodesy; Satellite gravity; Time variable gravity; Antarctica</t>
  </si>
  <si>
    <t>GLACIAL ISOSTATIC-ADJUSTMENT; EARTH; GREENLAND; BALANCE; MODEL; ACCELERATION; DEFORMATION; GRAVIMETRY; SHELVES; TRENDS</t>
  </si>
  <si>
    <t>Nonlinear trends (i.e. quadratic trends, usually defined as accelerations) in Antarctic ice mass loss due primarily to the complex climate warming forcing regimes have induced large uncertainty to future sea level projection. Here, we quantify the nonlinear and spatially varying mass losses in the Antarctic ice sheet during the last two decades using the satellite gravimetry data collected by Gravity Recovery And Climate Experiment (GRACE) and its successor GRACE Follow-On. We use a regional inversion methodology to generate the mass change time-series over Antarctica. Our findings reveal that seven regions have evidenced significant nonlinear mass change. These regions are all concentrated along the coast of Antarctica and show spatially heterogeneous mass balance nonlinear trend patterns. Among them, the Amundsen Sea Embayment (ASE) and the Dronning Maud Land (DML) are found to be particularly sensitive to short-term climate variability. The GRACE-inferred nonlinear mass balance signal can be confirmed by independent Global Positioning System (GPS) observations, and the difference between the nonlinear vertical deformation trends estimated by GRACE and GPS, especially in ASE, is likely due to the imperfect correction of the glacial isostatic adjustment (GIA) effect. For Antarctic ice sheet as a whole, GRACE satellite gravimetry indicates an ice mass loss of -101.3 +/- 18.0 Gt yr(-1), with an accelerated loss of -6.4 +/- 1.3 Gt yr(-2) during 2002-2021.</t>
  </si>
  <si>
    <t>[Jiao, Jiashuang; Pan, Yuanjin; Ding, Hao] Wuhan Univ, Sch Geodesy &amp; Geomat, Wuhan 430079, Peoples R China; [Zhang, Xiaohong] Wuhan Univ, Chinese Antarct Ctr Surveying &amp; Mapping, Wuhan 430079, Peoples R China; [Shum, C. K.; Zhang, Yu] Ohio State Univ, Sch Earth Sci, Div Geodet Sci, Columbus, OH 43210 USA; [Shum, C. K.] Chinese Acad Sci, Innovat Acad Precis Measurement Sci &amp; Technol, Wuhan 430077, Peoples R China; [Ding, Hao] Hubei Luojia Lab, Wuhan 430079, Peoples R China</t>
  </si>
  <si>
    <t>Wuhan University; Wuhan University; University System of Ohio; Ohio State University; Chinese Academy of Sciences; Innovation Academy for Precision Measurement Science &amp; Technology, CAS</t>
  </si>
  <si>
    <t>Pan, YJ (corresponding author), Wuhan Univ, Sch Geodesy &amp; Geomat, Wuhan 430079, Peoples R China.</t>
  </si>
  <si>
    <t>yjpan@whu.edu.cn; dhaosgg@sgg.whu.edu.cn</t>
  </si>
  <si>
    <t>Zhang, Xiaohong/A-3060-2015</t>
  </si>
  <si>
    <t>Pan, Yuanjin/0000-0002-9496-346X; Jiao, Jiashuang/0000-0002-7915-0575; Ding, Hao/0000-0002-3058-8197</t>
  </si>
  <si>
    <t>Fundamental Research Funds for Central Universities [2042022kf1197]; National Natural Science Foundation of China [42274033, 41904012]; China Postdoctoral Science Foundation [2020T130482, 2018M630879]; Open Fund of Hubei Luojia Laboratory [2201000049]; Key Laboratory of Geospace Environment and Geodesy, Ministry of Education, Wuhan University [21-02-03]</t>
  </si>
  <si>
    <t>Fundamental Research Funds for Central Universities(Fundamental Research Funds for the Central Universities); National Natural Science Foundation of China(National Natural Science Foundation of China (NSFC)); China Postdoctoral Science Foundation(China Postdoctoral Science Foundation); Open Fund of Hubei Luojia Laboratory; Key Laboratory of Geospace Environment and Geodesy, Ministry of Education, Wuhan University</t>
  </si>
  <si>
    <t>This work is funded by the Fundamental Research Funds for Central Universities (2042022kf1197), the National Natural Science Foundation of China (42274033 and 41904012), the China Postdoctoral Science Foundation (2020T130482 and 2018M630879), the Open Fund of Hubei Luojia Laboratory (2201000049), and the Key Laboratory of Geospace Environment and Geodesy, Ministry of Education, Wuhan University (21-02-03). We thank Christoph Kittel for providing MAR SMB data (Kittel et al. 2021), and Ingo Sasgen for providing GIA model REGINA (Sasgen et al. 2017, 2018). Special gratitude goes to the Editor and two reviewers for their insightful comments and suggestions.</t>
  </si>
  <si>
    <t>OXFORD UNIV PRESS</t>
  </si>
  <si>
    <t>GREAT CLARENDON ST, OXFORD OX2 6DP, ENGLAND</t>
  </si>
  <si>
    <t>0956-540X</t>
  </si>
  <si>
    <t>1365-246X</t>
  </si>
  <si>
    <t>GEOPHYS J INT</t>
  </si>
  <si>
    <t>Geophys. J. Int.</t>
  </si>
  <si>
    <t>JAN 4</t>
  </si>
  <si>
    <t>10.1093/gji/ggac485</t>
  </si>
  <si>
    <t>Geochemistry &amp; Geophysics</t>
  </si>
  <si>
    <t>N6WK7</t>
  </si>
  <si>
    <t>WOS:001038389500003</t>
  </si>
  <si>
    <t>Barión, PAH; Strelin, JA; Roberts, SJ; Spiegel, C; Wacker, L; Niedermann, S; Bentley, MJ; Pearson, EJ; Czalbowski, NTM; Davies, SJ; Schnetger, B; Grosjean, M; Arcusa, S; Perren, B; Hocking, EP; Kuhn, G</t>
  </si>
  <si>
    <t>Heredia Barion, Pablo A. A.; Strelin, Jorge A. A.; Roberts, Stephen J. J.; Spiegel, Cornelia; Wacker, Lukas; Niedermann, Samuel; Bentley, Michael J. J.; Pearson, Emma J. J.; Czalbowski, Nadia T. Manograsso; Davies, Sarah J. J.; Schnetger, Bernhard; Grosjean, Martin; Arcusa, Stephanie; Perren, Bianca; Hocking, Emma P. P.; Kuhn, Gerhard</t>
  </si>
  <si>
    <t>The impact of Holocene deglaciation and glacial dynamics on the landscapes and geomorphology of Potter Peninsula, King George Island (Isla 25 Mayo), NW Antarctic Peninsula</t>
  </si>
  <si>
    <t>FRONTIERS IN EARTH SCIENCE</t>
  </si>
  <si>
    <t>deglaciation; geomorphological mapping; radiocarbon dating; South Shetland islands; stratigraphy; glacier readvance</t>
  </si>
  <si>
    <t>SOUTH-SHETLAND-ISLANDS; HEMISPHERE WESTERLY WINDS; NUCLIDE PRODUCTION-RATES; HIGH-RESOLUTION PIGMENT; SEA-LEVEL CHANGE; ICE CAP; LIVINGSTON-ISLAND; BYERS PENINSULA; ANNULAR MODE; PENGUIN POPULATIONS</t>
  </si>
  <si>
    <t>The timing and impact of deglaciation and Holocene readvances on the terrestrial continental margins of the Antarctic Peninsula (AP) have been well-studied but are still debated. Potter Peninsula on King George Island (KGI) (Isla 25 de Mayo), South Shetland Islands (SSI), NW Antarctic Peninsula, has a detailed assemblage of glacial landforms and stratigraphic exposures for constraining deglacial landscape development and glacier readvances. We undertook new morphostratigraphic mapping of the deglaciated foreland of the Warszawa Icefield, an outlet of the Bellingshausen (Collins) Ice Cap on Potter Peninsula, using satellite imagery and new lithofacies recognition and interpretations, combined with new chronostratigraphic analysis of stratigraphic sections, lake sediments, and moraine deposits. Results show that the deglaciation on Potter Peninsula began before c. 8.2 ka. Around c. 7.0 ka, the Warszawa Icefield and the marine-facing Fourcade Glacier readvanced across Potter Peninsula and to the outer part of Potter Cove. Evidence of further readvances on Potter Peninsula was absent until the Warszawa Icefield margin was landward of its present position on three occasions: c. 1.7-1.4 ka, after c. 0.7 ka (most likely c. 0.5-0.1 ka), and by 1956 CE. The timing of Holocene deglaciation and glacier fluctuations on Potter Peninsula are broadly coeval with other glacier- and ice-free areas on the SSI and the northern AP and likely driven by interactions between millennial-centennial-scale changes in solar insolation and irradiance, the southern westerlies, and the Southern Annular Mode.</t>
  </si>
  <si>
    <t>[Heredia Barion, Pablo A. A.; Kuhn, Gerhard] Helmholtz Zent Polar Meeresforschung, Alfred Wegener Inst, Geosci Div, Bremerhaven, Germany; [Heredia Barion, Pablo A. A.; Spiegel, Cornelia; Kuhn, Gerhard] Univ Bremen, Dept Geosci, Bremen, Germany; [Heredia Barion, Pablo A. A.; Strelin, Jorge A. A.] UNC, CONICET, Ctr Invest Ciencias Tierra, Cordoba, Argentina; [Strelin, Jorge A. A.] Univ Nacl Cordoba, Inst Antartico Argentino, Convenio MREC, Cordoba, Argentina; [Roberts, Stephen J. J.; Perren, Bianca] Nat Environm Res Council NERC, British Antarctic Survey BAS, Cambridge, England; [Wacker, Lukas] Swiss Fed Inst Technol, Lab Ion Beam Phys, Zurich, Switzerland; [Niedermann, Samuel] Deutsch GeoForsch Zentrum GFZ, Potsdam, Germany; [Bentley, Michael J. J.] Univ Durham, Dept Geog, Durham, England; [Pearson, Emma J. J.] Newcastle Univ, Sch Geog Polit &amp; Sociol, Newcastle Upon Tyne, England; [Czalbowski, Nadia T. Manograsso; Davies, Sarah J. J.] Aberystwyth Univ, Dept Geog &amp; Earth Sci, Aberystwyth, Wales; [Schnetger, Bernhard] Inst Chem &amp; Biol Marine Environm ICBM, Oldenburg, Germany; [Grosjean, Martin; Arcusa, Stephanie] Univ Bern, Inst Geog, Bern, Switzerland; [Grosjean, Martin; Arcusa, Stephanie] Univ Bern, Oeschger Ctr Climate Change Res, Bern, Switzerland; [Hocking, Emma P. P.] Northumbria Univ, Dept Geog, Newcastle Upon Tyne, Prov Buenos Air, England</t>
  </si>
  <si>
    <t>Helmholtz Association; Alfred Wegener Institute, Helmholtz Centre for Polar &amp; Marine Research; University of Bremen; Consejo Nacional de Investigaciones Cientificas y Tecnicas (CONICET); National University of Cordoba; Instituto Antartico Argentino; National University of Cordoba; UK Research &amp; Innovation (UKRI); Natural Environment Research Council (NERC); Swiss Federal Institutes of Technology Domain; ETH Zurich; Helmholtz Association; Helmholtz-Center Potsdam GFZ German Research Center for Geosciences; Durham University; Newcastle University - UK; Aberystwyth University; University of Bern; University of Bern; Northumbria University</t>
  </si>
  <si>
    <t>Roberts, SJ (corresponding author), Nat Environm Res Council NERC, British Antarctic Survey BAS, Cambridge, England.</t>
  </si>
  <si>
    <t>sjro@bas.ac.uk</t>
  </si>
  <si>
    <t>Spiegel, Cornelia/0000-0002-1432-3447</t>
  </si>
  <si>
    <t>Centro de Investigaciones en Ciencias de la Tierra (CICTERRA), the Direccion Nacional del Antartico/Instituto Antartico Argentino (DNA/IAA); Alfred Wegener Institute (AWI) research program Polar Regions and Coasts in a Changing Earth System (PACES II); Natural Environment Research Council (NERC/BAS-CGS Grant) [81]; NERC/BAS science programme CACHE-PEP: Natural climate variability-extending the Americas palaeoclimate transect through the Antarctic Peninsula to the pole; NERC/BAS science programme GRADES-QWAD: Quaternary West Antarctic Deglaciations</t>
  </si>
  <si>
    <t>Centro de Investigaciones en Ciencias de la Tierra (CICTERRA), the Direccion Nacional del Antartico/Instituto Antartico Argentino (DNA/IAA); Alfred Wegener Institute (AWI) research program Polar Regions and Coasts in a Changing Earth System (PACES II); Natural Environment Research Council (NERC/BAS-CGS Grant); NERC/BAS science programme CACHE-PEP: Natural climate variability-extending the Americas palaeoclimate transect through the Antarctic Peninsula to the pole; NERC/BAS science programme GRADES-QWAD: Quaternary West Antarctic Deglaciations</t>
  </si>
  <si>
    <t>This study was funded by Centro de Investigaciones en Ciencias de la Tierra (CICTERRA), the Direccion Nacional del Antartico/Instituto Antartico Argentino (DNA/IAA), in the framework of the Project PICTA, 2011 - 0102, IAA Geomorfologia y Geologia Glaciar del Archipielago James Ross e Islas Shetland del Sur, Sector Norte de la Peninsula Antartica, and the Alfred Wegener Institute (AWI) research program Polar Regions and Coasts in a Changing Earth System (PACES II). PHB, GK, JS, SR, EP, and TMC were funded IMCONet (FP7 IRSES, action no. 318718) led by Doris Abele (AWI). EP and SR received additional funding from the Natural Environment Research Council (NERC/BAS-CGS Grant no.81). SR and MB were funded by the NERC/BAS science programmes CACHE-PEP: Natural climate variability-extending the Americas palaeoclimate transect through the Antarctic Peninsula to the pole and GRADES-QWAD: Quaternary West Antarctic Deglaciations.</t>
  </si>
  <si>
    <t>FRONTIERS MEDIA SA</t>
  </si>
  <si>
    <t>LAUSANNE</t>
  </si>
  <si>
    <t>AVENUE DU TRIBUNAL FEDERAL 34, LAUSANNE, CH-1015, SWITZERLAND</t>
  </si>
  <si>
    <t>2296-6463</t>
  </si>
  <si>
    <t>FRONT EARTH SC-SWITZ</t>
  </si>
  <si>
    <t>Front. Earth Sci.</t>
  </si>
  <si>
    <t>10.3389/feart.2022.1073075</t>
  </si>
  <si>
    <t>Geosciences, Multidisciplinary</t>
  </si>
  <si>
    <t>Geology</t>
  </si>
  <si>
    <t>8B8LU</t>
  </si>
  <si>
    <t>WOS:000917173200001</t>
  </si>
  <si>
    <t>Ruggiero, L; Sciarra, A; Mazzini, A; Florindo, F; Wilson, G; Tartarello, MC; Mazzoli, C; Anderson, JTH; Romano, V; Worthington, R; Bigi, S; Sassi, R; Ciotoli, G</t>
  </si>
  <si>
    <t>Ruggiero, L.; Sciarra, A.; Mazzini, A.; Florindo, F.; Wilson, G.; Tartarello, M. C.; Mazzoli, C.; Anderson, J. T. H.; Romano, V.; Worthington, R.; Bigi, S.; Sassi, R.; Ciotoli, G.</t>
  </si>
  <si>
    <t>Antarctic permafrost degassing in Taylor Valley by extensive soil gas investigation</t>
  </si>
  <si>
    <t>SCIENCE OF THE TOTAL ENVIRONMENT</t>
  </si>
  <si>
    <t>Permafrost; Soil gas survey; CO2 output; McMurdo Dry Valleys; Antarctica</t>
  </si>
  <si>
    <t>MCMURDO DRY VALLEYS; CARBON-DIOXIDE; CLIMATE-CHANGE; VICTORIA LAND; CO2; METHANE; FLUXES; GEOCHEMISTRY; BIODIVERSITY; THRESHOLD</t>
  </si>
  <si>
    <t>Ongoing studies conducted in northern polar regions reveal that permafrost stability plays a key role in the modern carbon cycle as it potentially stores considerable quantities of greenhouse gases. Rapid and recent warming of the Arc-tic permafrost is resulting in significant greenhouse gas emissions, both from physical and microbial processes. The po-tential impact of greenhouse gas release from the Antarctic region has not, to date, been investigated. In Antarctica, the McMurdo Dry Valleys comprise 10 % of the ice-free soil surface areas in Antarctica and like the northern polar regions are also warming albeit at a slower rate.The work presented herein examines a comprehensive sample suite of soil gas (e.g., CO2, CH4 and He) concentrations and CO2 flux measurements conducted in Taylor Valley during austral summer 2019/2020. Analytical results reveal the presence of significant concentrations of CO2, CH4 and He (up to 3.44 vol%, 18,447 ppmv and 6.49 ppmv, respec-tively) at the base of the active layer. When compared with the few previously obtained measurements, we observe increased CO2 flux rates (estimated CO2 emissions in the study area of 21.6 km2 approximate to 15 tons day-1). We suggest that the gas source is connected with the deep brines migrating from inland (potentially from beneath the Antarctic Ice Sheet) towards the coast beneath the permafrost layer. These data provide a baseline for future investigations aimed at monitoring the changing rate of greenhouse gas emissions from Antarctic permafrost, and the potential origin of gases, as the southern polar region warms.</t>
  </si>
  <si>
    <t>[Ruggiero, L.; Sciarra, A.; Mazzini, A.; Florindo, F.; Ciotoli, G.] Ist Nazl Geo Fis &amp; Vulcanol, Sez Roma, Via Vigna Murata 605, I-00143 Rome, Italy; [Mazzini, A.] Univ Oslo, Ctr Earth Evolut &amp; Dynam, Sem Saelandsvei 2A, N-0371 Oslo, Norway; [Wilson, G.] GNS Sci, Lower Hutt 5040, New Zealand; [Wilson, G.; Anderson, J. T. H.; Worthington, R.] Univ Otago, Dept Marine Sci, Dunedin 9054, New Zealand; [Tartarello, M. C.; Romano, V.; Bigi, S.] Sapienza Univ Rome, Earth Sci Dept, Piazzale Aldo Moro 5, I-00185 Rome, Italy; [Mazzoli, C.; Sassi, R.] Univ Padua, Dept Geosci, Via Gradenigo 6, I-35131 Padua, Italy; [Ciotoli, G.] CNR, Inst Environm Geol &amp; Geoengn, Natl Res Council, IGAG, Area Ric Roma 1-Str Prov, 5d, 9, I-00010 Montelibretti, Rome, Italy</t>
  </si>
  <si>
    <t>University of Oslo; GNS Science - New Zealand; University of Otago; Sapienza University Rome; University of Padua; Consiglio Nazionale delle Ricerche (CNR); Istituto di Geologia Ambientale e Geoingegneria (IGAG-CNR)</t>
  </si>
  <si>
    <t>Sciarra, A (corresponding author), Ist Nazl Geo Fis &amp; Vulcanol, Sez Roma, Via Vigna Murata 605, I-00143 Rome, Italy.</t>
  </si>
  <si>
    <t>alessandra.sciarra@ingv.it</t>
  </si>
  <si>
    <t>Ruggiero, Livio/ISA-6104-2023; Ciotoli, Giancarlo/ISB-0904-2023; Mazzoli, Claudio/H-9651-2015; Florindo, Fabio/F-4119-2010; Sciarra, Alessandra/J-4752-2017</t>
  </si>
  <si>
    <t>Ruggiero, Livio/0000-0002-0779-7214; Ciotoli, Giancarlo/0000-0002-9496-3021; Mazzoli, Claudio/0000-0002-0374-8415; Florindo, Fabio/0000-0002-6058-9748; Sciarra, Alessandra/0000-0003-3767-3105; Anderson, Jacob/0000-0002-4329-4200; Worthington, Rachel/0000-0002-0164-126X</t>
  </si>
  <si>
    <t>PNRA SENECA project [73633/2019]; CNR (PNRA 2018, SENECA PROJECT: Source and origin of greenhouses gases in Antarctica); Research Council of Norway (NFR) through the HOTMUD project and its Centres of Excellence funding scheme (CEED) [2018/D3.01, 00253]; [288299]; [223272]</t>
  </si>
  <si>
    <t>PNRA SENECA project(Fundacion Seneca); CNR (PNRA 2018, SENECA PROJECT: Source and origin of greenhouses gases in Antarctica); Research Council of Norway (NFR) through the HOTMUD project and its Centres of Excellence funding scheme (CEED); ;</t>
  </si>
  <si>
    <t>This work is part of the PNRA 2018/D3.01 SENECA project and was financially supported by CNR (PNRA 2018 no 00253 linea D, prot.73633/2019, SENECA PROJECT: Source and origin of greenhouses gases in Antarctica). All the data were collected during the XXXV Italian expedition in Antarctica, we thank PNRA and UTA ENEA for the logistic support. SENECA is a joint project of international cooperation between Italy, New Zealand and Norway. We thank the Antarctica New Zealand for the scientific, logistical and technical support and the Scott Base personnel for hosting our research team. We acknowledge the support of the Research Council of Norway (NFR) through the HOTMUD project number 288299 and its Centres of Excellence funding scheme, project number 223272 (CEED). Finally, we thank the two anonymous reviewers and Chris McKay for constructive comments that improved this manuscript.</t>
  </si>
  <si>
    <t>0048-9697</t>
  </si>
  <si>
    <t>1879-1026</t>
  </si>
  <si>
    <t>SCI TOTAL ENVIRON</t>
  </si>
  <si>
    <t>Sci. Total Environ.</t>
  </si>
  <si>
    <t>MAR 25</t>
  </si>
  <si>
    <t>10.1016/j.scitotenv.2022.161345</t>
  </si>
  <si>
    <t>8H7BI</t>
  </si>
  <si>
    <t>WOS:000921184700001</t>
  </si>
  <si>
    <t>Jin, H; Yu, J; Kaleku, J; Lee, Y; Park, E; Lee, H; Kim, H; Lee, J</t>
  </si>
  <si>
    <t>Jin, Hongshi; Yu, Jihyeon; Kaleku, Jesse; Lee, Yelim; Park, Eunsook; Lee, Hyoungseok; Kim, Han-Woo; Lee, Jungeun</t>
  </si>
  <si>
    <t>High-Quality Genome Resource of a Novel Venturiaceae sp. KMAF11, Isolated from Diseased Colobanthus quitensis, an Antarctic Flowering Plant</t>
  </si>
  <si>
    <t>PLANT DISEASE</t>
  </si>
  <si>
    <t>Antarctica; Colobanthus quitensis; genome; pathogenic fungi; Venturiaceae</t>
  </si>
  <si>
    <t>GENE PREDICTION; ANNOTATION; TOOL</t>
  </si>
  <si>
    <t>[Jin, Hongshi; Yu, Jihyeon; Lee, Yelim; Lee, Hyoungseok; Kim, Han-Woo; Lee, Jungeun] Korea Polar Res Inst, Div Life Sci, Incheon 21990, South Korea; [Kaleku, Jesse; Park, Eunsook] Univ Wyoming, Dept Mol Biol, Laramie, WY 82071 USA; [Lee, Hyoungseok] Univ Sci &amp; Technol, Polar Sci, Incheon 21990, South Korea</t>
  </si>
  <si>
    <t>Korea Polar Research Institute (KOPRI); University of Wyoming</t>
  </si>
  <si>
    <t>Lee, J (corresponding author), Korea Polar Res Inst, Div Life Sci, Incheon 21990, South Korea.</t>
  </si>
  <si>
    <t>jelee@kopri.re.kr</t>
  </si>
  <si>
    <t>Yu, Jihyeon/U-4150-2019; Lee, Yelim/IAR-3844-2023</t>
  </si>
  <si>
    <t>Yu, Jihyeon/0000-0003-0247-7753;</t>
  </si>
  <si>
    <t>Korea Polar Research Institute - Ministry of Oceans and Fisheries; [PE22160]; [PE22140]</t>
  </si>
  <si>
    <t>Korea Polar Research Institute - Ministry of Oceans and Fisheries; ;</t>
  </si>
  <si>
    <t>This work was supported by a grant from the Korea Polar Research Institute (PE22160 and PE22140) funded by the Ministry of Oceans and Fisheries.</t>
  </si>
  <si>
    <t>AMER PHYTOPATHOLOGICAL SOC</t>
  </si>
  <si>
    <t>ST PAUL</t>
  </si>
  <si>
    <t>3340 PILOT KNOB ROAD, ST PAUL, MN 55121 USA</t>
  </si>
  <si>
    <t>0191-2917</t>
  </si>
  <si>
    <t>1943-7692</t>
  </si>
  <si>
    <t>PLANT DIS</t>
  </si>
  <si>
    <t>PLANT DIS.</t>
  </si>
  <si>
    <t>MAR 1</t>
  </si>
  <si>
    <t>10.1094/PDIS-03-22-0706-A</t>
  </si>
  <si>
    <t>Plant Sciences</t>
  </si>
  <si>
    <t>C1UN2</t>
  </si>
  <si>
    <t>WOS:000907805200004</t>
  </si>
  <si>
    <t>Casagrande, F; Stachelski, L; de Souza, RB</t>
  </si>
  <si>
    <t>Casagrande, Fernanda; Stachelski, Leticia; de Souza, Ronald Buss</t>
  </si>
  <si>
    <t>Assessment of Antarctic sea ice area and concentration in Coupled Model Intercomparison Project Phase 5 and Phase 6 models</t>
  </si>
  <si>
    <t>INTERNATIONAL JOURNAL OF CLIMATOLOGY</t>
  </si>
  <si>
    <t>Antarctica; climate change; climate modelling; sea ice area; sea ice concentration</t>
  </si>
  <si>
    <t>EARTH SYSTEM MODEL; SOUTHERN-OCEAN; FRESH-WATER; INTERNAL VARIABILITY; CMIP5; TRENDS; FUTURE; EXTENT; SENSITIVITY; IMPACTS</t>
  </si>
  <si>
    <t>Sea ice is an important and complex component of the Earth system and is considered a sensitive indicator of climate change. The seasonal sea ice cycle regulates the exchange of heat and salinity, altering the energy balance between high and low latitudes as well as the ocean and atmospheric circulation. The accurate representation of Antarctic sea ice has been considered a hot topic in the climate modelling community and lacks conclusive answers. In this paper, we evaluated the ability of 11 climate models from Coupled Model Intercomparison Project Phase 5 (CMIP5) and Phase 6 (CMIP6) to simulate the sea ice seasonal cycle in Antarctica in terms of area (SIA) and concentration (SIC), as well as the improvements in the most recent models' version, submitted to CMIP6. The results indicated that all models are able to accurately capture the seasonal cycle of the Antarctic SIA, with the minimum (maximum) occurring in February (September). In the Weddell Sea, Amundsen Sea, Bellingshausen Sea, and the Ross Sea, the simulated sea ice concentration revealed a large and systematic bias in February when compared to observations. In September, a large and systematic bias was found nearby the Southern Ocean's northern limit in the Polar Front. Several CMIP6 models exhibited slight improvements on the SIA and SIC estimate over the previous version (CMIP5). All models indicated a significant sea ice loss in the coming years as a response to CO2 forcing. Despite the advancements in the sea ice representation, our findings show that the models are still unable to accurately represent the regional sea ice changes</t>
  </si>
  <si>
    <t>[Casagrande, Fernanda; Stachelski, Leticia; de Souza, Ronald Buss] Natl Inst Space Res INPE, Earth Syst Numer Modeling Div, Cachoeira Paulista, Brazil; [Casagrande, Fernanda] Natl Inst Space Res INPE, Earth Syst Numer Modeling Div, Rod Presidente Dutra Km 40, BR-12630000 Cachoeira Paulista, Brazil</t>
  </si>
  <si>
    <t>Instituto Nacional de Pesquisas Espaciais (INPE)</t>
  </si>
  <si>
    <t>Casagrande, F (corresponding author), Natl Inst Space Res INPE, Earth Syst Numer Modeling Div, Rod Presidente Dutra Km 40, BR-12630000 Cachoeira Paulista, Brazil.</t>
  </si>
  <si>
    <t>fe.casagrande2@gmail.com</t>
  </si>
  <si>
    <t>Souza, Ronald/R-5867-2016</t>
  </si>
  <si>
    <t>Souza, Ronald/0000-0003-3346-3370; Stachelski, Leticia/0000-0002-4533-7075; Casagrande, Fernanda/0000-0002-1679-6096</t>
  </si>
  <si>
    <t>CNPq [308642/2021-0, 465680/2014-3]; FAPERGS [17/2551-0000518-0]; CAPES [88887-145668/2017-00]</t>
  </si>
  <si>
    <t>CNPq(Conselho Nacional de Desenvolvimento Cientifico e Tecnologico (CNPQ)); FAPERGS(Fundacao de Amparo a Ciencia e Tecnologia do Estado do Rio Grande do Sul (FAPERGS)); CAPES(Coordenacao de Aperfeicoamento de Pessoal de Nivel Superior (CAPES))</t>
  </si>
  <si>
    <t>CNPq, Grant/Award Numbers: 308642/2021-0, 465680/2014-3; FAPERGS, Grant/Award Number: 17/2551-0000518-0; CAPES, Grant/Award Number: 88887-145668/2017-00</t>
  </si>
  <si>
    <t>0899-8418</t>
  </si>
  <si>
    <t>1097-0088</t>
  </si>
  <si>
    <t>INT J CLIMATOL</t>
  </si>
  <si>
    <t>Int. J. Climatol.</t>
  </si>
  <si>
    <t>MAR 15</t>
  </si>
  <si>
    <t>10.1002/joc.7916</t>
  </si>
  <si>
    <t>Meteorology &amp; Atmospheric Sciences</t>
  </si>
  <si>
    <t>9T6NJ</t>
  </si>
  <si>
    <t>WOS:000907648300001</t>
  </si>
  <si>
    <t>Ryan-Keogh, TJ; Bone, EL; Thomalla, SJ; Lain, L; Smith, ME; Bernard, S; Vichi, M</t>
  </si>
  <si>
    <t>Ryan-Keogh, Thomas James; Bone, Emma Lewis; Thomalla, Sandy J.; Lain, Lisl; Smith, Marie E.; Bernard, Stewart; Vichi, Marcello</t>
  </si>
  <si>
    <t>Spatial and temporal drivers of fluorescence quantum yield variability in the Southern Ocean</t>
  </si>
  <si>
    <t>LIMNOLOGY AND OCEANOGRAPHY</t>
  </si>
  <si>
    <t>PHOTOSYNTHETIC ELECTRON-TRANSPORT; INDUCED CHLOROPHYLL FLUORESCENCE; IN-SITU; PHYTOPLANKTON FLUORESCENCE; PHAEOCYSTIS-ANTARCTICA; ENVIRONMENTAL-FACTORS; IRON LIMITATION; A FLUORESCENCE; PHOTOPROTECTION; ABSORPTION</t>
  </si>
  <si>
    <t>Fluorescence quantum yield is a powerful tool for assessing phytoplankton photophysiology and photosynthetic efficiency, but there is a paucity of in situ studies. Here we present the first wavelength-specific fluorescence quantum yield data from high spatial and temporal resolution real-time measurements made in the Southern Ocean. This dataset represents both winter and summer conditions across a broad latitudinal range of the Atlantic and Indian South Ocean and the presented analysis assesses the potential influence of a range of physical, chemical, and biological drivers of variability. The results indicate that both light history and potential iron limitation play significant roles in constraining the magnitude of fluorescence quantum yield on a seasonal basis, with links to specific pigment composition of carotenoids involved in fluorescence quenching. Whereas community structure and associated pigment content play a strong role in dictating the spectral shape of fluorescence quantum yield both seasonally and spatially, with larger diatom-dominated communities fluorescing more in the blue region of the spectrum and smaller phycoerythrin-containing phytoplankton fluorescing more in the green-orange region of the spectrum. This study provides a better understanding of the drivers of variability of in situ fluorescence quantum yield, which is useful for informing interpretations of studies based on remotely sensed signals, which are essential for investigating spatial and temporal variability in photophysiological characteristics on longer time scales.</t>
  </si>
  <si>
    <t>[Ryan-Keogh, Thomas James; Bone, Emma Lewis; Thomalla, Sandy J.] CSIR, Southern Ocean Carbon Climate Observ, Cape Town, South Africa; [Bone, Emma Lewis; Thomalla, Sandy J.; Vichi, Marcello] Univ Cape Town, Marine &amp; Antarctic Res Ctr Innovat &amp; Sustainabil, Cape Town, South Africa; [Bone, Emma Lewis; Lain, Lisl; Smith, Marie E.] CSIR, Coastal Syst &amp; Earth Observat Res Grp, Cape Town, South Africa; [Bone, Emma Lewis] Univ Cape Town, Nansen Tutu Ctr Marine Environm Res, Cape Town, South Africa; [Smith, Marie E.] Univ Cape Town, Dept Oceanog, Cape Town, South Africa; [Bernard, Stewart] South African Natl Space Agcy, Cape Town, South Africa</t>
  </si>
  <si>
    <t>Council for Scientific &amp; Industrial Research (CSIR) - South Africa; University of Cape Town; Council for Scientific &amp; Industrial Research (CSIR) - South Africa; University of Cape Town; University of Cape Town</t>
  </si>
  <si>
    <t>Ryan-Keogh, TJ (corresponding author), CSIR, Southern Ocean Carbon Climate Observ, Cape Town, South Africa.</t>
  </si>
  <si>
    <t>tryankeogh@csir.co.za</t>
  </si>
  <si>
    <t>Vichi, Marcello/GLR-9823-2022; Smith, Marie/T-7430-2018</t>
  </si>
  <si>
    <t>Vichi, Marcello/0000-0002-0686-9634; Bernard, Stewart/0000-0001-6537-3682; Smith, Marie/0000-0001-6781-2343; Bone, Emma/0000-0002-0316-8138</t>
  </si>
  <si>
    <t>CSIR's Southern Ocean-Carbon Climate Observatory (SOCCO) Program - Department of Science and Innovation [DST/CON 0182/2017]; CSIR's Parliamentary Grant; National Research Foundation, South Africa [118751, 110729]; Marine Research Institute, University of Cape Town; Nansen-Tutu Centre for Marine Environmental Research, University of Cape Town</t>
  </si>
  <si>
    <t>CSIR's Southern Ocean-Carbon Climate Observatory (SOCCO) Program - Department of Science and Innovation; CSIR's Parliamentary Grant; National Research Foundation, South Africa(National Research Foundation - South AfricaSouth African Medical Research Council); Marine Research Institute, University of Cape Town; Nansen-Tutu Centre for Marine Environmental Research, University of Cape Town</t>
  </si>
  <si>
    <t>The authors would like to acknowledge the support and assistance of the captain and crew of the R/V SA Agulhas II, along with all the participants on both research cruises. T.J.R.K., E.L.B., and S.J.T. were supported through the CSIR's Southern Ocean-Carbon Climate Observatory (SOCCO) Program () funded by the Department of Science and Innovation (DST/CON 0182/2017) and the CSIR's Parliamentary Grant. The authors would like to acknowledge the funding received from a number of grants from the National Research Foundation, South Africa, grant numbers 118751 (S.J.T.) and 110729 (S.J.T.). E.L.B. would like to acknowledge funding received from the Marine Research Institute, University of Cape Town and the Nansen-Tutu Centre for Marine Environmental Research, University of Cape Town.</t>
  </si>
  <si>
    <t>0024-3590</t>
  </si>
  <si>
    <t>1939-5590</t>
  </si>
  <si>
    <t>LIMNOL OCEANOGR</t>
  </si>
  <si>
    <t>Limnol. Oceanogr.</t>
  </si>
  <si>
    <t>10.1002/lno.12295</t>
  </si>
  <si>
    <t>Limnology; Oceanography</t>
  </si>
  <si>
    <t>Marine &amp; Freshwater Biology; Oceanography</t>
  </si>
  <si>
    <t>Q4JG2</t>
  </si>
  <si>
    <t>WOS:000907007000001</t>
  </si>
  <si>
    <t>Farmer, JR; Pico, T; Underwood, OM; Stout, RC; Granger, J; Cronin, TM; Fripiat, F; Martínez-García, A; Haug, GH; Sigman, DM</t>
  </si>
  <si>
    <t>Farmer, Jesse R.; Pico, Tamara; Underwood, Ona M.; Stout, Rebecca Cleveland; Granger, Julie; Cronin, Thomas M.; Fripiat, Francois; Martinez-Garcia, Alfredo; Haug, Gerald H.; Sigman, Daniel M.</t>
  </si>
  <si>
    <t>The Bering Strait was flooded 10,000 years before the Last Glacial Maximum</t>
  </si>
  <si>
    <t>PROCEEDINGS OF THE NATIONAL ACADEMY OF SCIENCES OF THE UNITED STATES OF AMERICA</t>
  </si>
  <si>
    <t>Arctic Ocean; Bering Strait; sea level; foraminifera-bound N isotopes; glacial isostatic adjustment</t>
  </si>
  <si>
    <t>POSTGLACIAL SEA-LEVEL; ICE-VOLUME; ISOTOPIC COMPOSITION; NITROGEN-FIXATION; OCEAN; TEMPERATURE; NITRATE; SURFACE; CIRCULATION; CO2</t>
  </si>
  <si>
    <t>The cyclic growth and decay of continental ice sheets can be reconstructed from the history of global sea level. Sea level is relatively well constrained for the Last Glacial Maximum (LGM, 26,500 to 19,000 y ago, 26.5 to 19 ka) and the ensuing deglaciation. However, sea-level estimates for the period of ice-sheet growth before the LGM vary by &gt; 60 m, an uncertainty comparable to the sea-level equivalent of the contemporary Antarctic Ice Sheet. Here, we constrain sea level prior to the LGM by reconstructing the flooding history of the shallow Bering Strait since 46 ka. Using a geochemical proxy of Pacific nutrient input to the Arctic Ocean, we find that the Bering Strait was flooded from the beginning of our records at 46 ka until 35.7+3.3 -2.4 ka. To match this flooding history, our sea-level model requires an ice history in which over 50% of the LGM's global peak ice volume grew after 46 ka. This finding implies that global ice volume and climate were not linearly coupled during the last ice age, with implications for the controls on each. Moreover, our results shorten the time window between the opening of the Bering Land Bridge and the arrival of humans in the Americas.</t>
  </si>
  <si>
    <t>[Farmer, Jesse R.; Underwood, Ona M.; Sigman, Daniel M.] Princeton Univ, Dept Geosci, Princeton, NJ 08544 USA; [Farmer, Jesse R.; Fripiat, Francois; Martinez-Garcia, Alfredo; Haug, Gerald H.] Max Planck Inst Chem, D-55128 Mainz, Germany; [Pico, Tamara] Univ Calif Santa Cruz, Earth &amp; Planetary Sci, Santa Cruz, CA 95064 USA; [Stout, Rebecca Cleveland] Harvard Univ, Dept Earth &amp; Planetary Sci, Cambridge, MA 02138 USA; [Granger, Julie] Univ Connecticut, Dept Marine Sci, Groton, CT 06340 USA; [Cronin, Thomas M.] US Geol Survey, Florence Bascom Geosci Ctr, Reston, VA 20192 USA; [Fripiat, Francois] Univ Libre Bruxelles, Dept Geosci Environm &amp; Soc, B-1050 Brussels, Belgium; [Haug, Gerald H.] Swiss Fed Inst Technol, Dept Earth Sci, CH-8092 Zurich, Switzerland; [Stout, Rebecca Cleveland] Univ Washington, Dept Atmospher Sci, Seattle, WA 98195 USA</t>
  </si>
  <si>
    <t>Princeton University; Max Planck Society; University of California System; University of California Santa Cruz; Harvard University; University of Connecticut; United States Department of the Interior; United States Geological Survey; Universite Libre de Bruxelles; Swiss Federal Institutes of Technology Domain; ETH Zurich; University of Washington; University of Washington Seattle</t>
  </si>
  <si>
    <t>Farmer, JR (corresponding author), Princeton Univ, Dept Geosci, Princeton, NJ 08544 USA.;Farmer, JR (corresponding author), Max Planck Inst Chem, D-55128 Mainz, Germany.;Pico, T (corresponding author), Univ Calif Santa Cruz, Earth &amp; Planetary Sci, Santa Cruz, CA 95064 USA.</t>
  </si>
  <si>
    <t>jesse.farmer@umb.edu; tpico@ucsc.edu</t>
  </si>
  <si>
    <t>Sigman, Daniel M./IYJ-2613-2023; Martinez-Garcia, Alfredo/A-6244-2010; Sigman, Daniel M./A-2649-2008</t>
  </si>
  <si>
    <t>Martinez-Garcia, Alfredo/0000-0002-7206-5079; Sigman, Daniel M./0000-0002-7923-1973; Fripiat, Francois/0000-0002-2591-6301; Cleveland Stout, Rebecca/0000-0002-0852-1922; Farmer, Jesse/0000-0001-5200-6429; Granger, Julie/0000-0001-9985-9242</t>
  </si>
  <si>
    <t>NSF [OCE-2054780, OCE-2054757]; Max Planck Society; Tuttle Fund of the Department of Geosciences, Princeton University; United States Geological Survey Climate Research and Development Program</t>
  </si>
  <si>
    <t>NSF(National Science Foundation (NSF)); Max Planck Society(Max Planck Society); Tuttle Fund of the Department of Geosciences, Princeton University; United States Geological Survey Climate Research and Development Program</t>
  </si>
  <si>
    <t>We thank Sergey Oleynik and Laura Gemery for laboratory assistance and Peter Huybers for discussions. J.R.F., D.M.S., and O.M.U. were supported by NSF OCE-2054780; J.R.F. was also supported by the Max Planck Society (with A.M.-G. and G.H.H.) and by the Tuttle Fund of the Department of Geosciences, Princeton University (with D.M.S.) . T.P. was supported by NSF OCE-2054757. T.M.C. was funded by the United States Geological Survey Climate Research and Development Program. Any use of trade, firm, or product names is for descriptive purposes only and does not imply endorsement by the United States Government.</t>
  </si>
  <si>
    <t>NATL ACAD SCIENCES</t>
  </si>
  <si>
    <t>WASHINGTON</t>
  </si>
  <si>
    <t>2101 CONSTITUTION AVE NW, WASHINGTON, DC 20418 USA</t>
  </si>
  <si>
    <t>0027-8424</t>
  </si>
  <si>
    <t>1091-6490</t>
  </si>
  <si>
    <t>P NATL ACAD SCI USA</t>
  </si>
  <si>
    <t>Proc. Natl. Acad. Sci. U. S. A.</t>
  </si>
  <si>
    <t>JAN 3</t>
  </si>
  <si>
    <t>e2206742119</t>
  </si>
  <si>
    <t>10.1073/pnas.2206742119</t>
  </si>
  <si>
    <t>L5KR6</t>
  </si>
  <si>
    <t>WOS:001023658500005</t>
  </si>
  <si>
    <t>Villacís, LA; Moreno, PI; Vilanova, I; Henríquez, CA; Henríquez, WI; Villa-Martínez, RP; Sepúlveda-Zúñiga, EA; Maidana, NI</t>
  </si>
  <si>
    <t>Villacis, L. A.; Moreno, P. I.; Vilanova, I.; Henriquez, C. A.; Henriquez, W. I.; Villa-Martinez, R. P.; Sepulveda-Zuniga, E. A.; Maidana, N. I.</t>
  </si>
  <si>
    <t>A freshwater diatom perspective on the evolution of the southern westerlies for the past-14,000 years in southwestern Patagonia</t>
  </si>
  <si>
    <t>QUATERNARY SCIENCE REVIEWS</t>
  </si>
  <si>
    <t>Southwestern Patagonia; Southern westerly winds; Paleolimnology; Holocene; Southern annular mode; Hydroclimate variability</t>
  </si>
  <si>
    <t>TIERRA-DEL-FUEGO; HOLOCENE GLACIER FLUCTUATIONS; ANTARCTIC COLD REVERSAL; LAGUNA POTROK AIKE; ULTIMA ESPERANZA; ANNULAR MODE; HEMISPHERIC WESTERLIES; ARGENTINEAN PATAGONIA; ENVIRONMENTAL-CHANGES; CLIMATIC CHANGES</t>
  </si>
  <si>
    <t>Conflicting, even opposite interpretations on the evolution of the Southern Westerly Winds (SWW) are evident in paleoenvironmental records from southwestern Patagonia since the last ice age. These di-vergences call for new approaches utilizing different, ideally independent indicators of paleoenvir-onmental/paleoclimatic change from sensitive sites in climatically relevant locations. Here we present a multidecadally resolved diatom record from Lago Cipreses (51 degrees S), a small closed-basin lake located in a bedrock depression along the eastern foothills of the southern Patagonian Andes. The hydrological balance evolution of this isolated lake affords a direct tie with SWW intensity in a mountainous sector where zonal wind strength and local precipitation are highly correlated. We detect cold-tolerant diatoms (small fragilarioids) between-14-11.9 cal. ka BP followed by a shift to planktonic assemblages (Discostella pseudostelligera, Aulacoseira spp.) under warmer Holocene conditions. Diatom assemblages indicative of stratified water-column conditions (Discostella pseudostelligera, Achnanthidium aff tepidaricola, Achnan-thidium sieminskae) reached their maximum stability between-9.1-7.4 cal. ka BP. Stronger water-column mixing is evident by an abrupt species turnover to Aulacoseira spp. between-7.4-3.1 cal. ka BP, super-imposed on centennial-scale alternations between assemblages since-6.1 cal. ka BP. Cold-tolerant di-atoms resurge at-3.1 cal. ka BP and persist until the present. Our record offers assemblage-based evidence we interpret as sub-centennial to multimillennial scale changes in hydroclimate indicative of: (i) strong SWW influence between-14-11.9 cal. ka BP, (ii) a transition between-11.9-11.3 cal. ka BP to weak SWW influence between-11.3-6.5 cal. ka BP, with a SWW minimum between-9.1-7.4 cal. ka BP, and (iii) strong SWW influence since-6.5 cal. ka BP, with a Holocene SWW maximum since-3.1 cal. ka BP. We posit that enhanced hydroclimate variability since-6.1 cal. ka BP attests to the onset of Southern Annular Mode-like changes at centennial-to sub-centennial timescales. We detect a remarkably coherent and synchronous response of terrestrial and aquatic ecosystems at local scale since-14 cal. ka BP, highlighting the overriding importance of variations in SWW influence in terrestrial and aquatic envi-ronments at multiple timescales.(c) 2022 Elsevier Ltd. All rights reserved.</t>
  </si>
  <si>
    <t>[Villacis, L. A.; Moreno, P. I.; Henriquez, C. A.] Univ Chile, Ctr Climate Res &amp; Resilience, Santiago, Chile; [Villacis, L. A.; Moreno, P. I.; Henriquez, C. A.] Univ Chile, Dept Ciencias Ecol, Santiago, Chile; [Vilanova, I.] CONICET Museo Argentino Ciencias Nat BR, Buenos Aires, Argentina; [Henriquez, W. I.] Univ Melbourne, Sch Geog, Melbourne, Vic, Australia; [Villa-Martinez, R. P.] Univ Magallanes, Ctr Invest GAIA Antartida, Punta Arenas, Chile; [Sepulveda-Zuniga, E. A.] Pontificia Univ Catolica Chile, Fac Hist Geog &amp; Ciencias Polit, Inst Geog, Santiago, Chile; [Maidana, N. I.] Univ Buenos Aires, Inst Biodivers &amp; Biol Expt &amp; Aplicada, CONICET, Buenos Aires, Argentina; [Maidana, N. I.] Univ Buenos Aires, Fac Ciencias Exactas &amp; Nat, Dept Biodivers &amp; Biol Expt, Buenos Aires, Argentina</t>
  </si>
  <si>
    <t>Universidad de Chile; Universidad de Chile; Melbourne Genomics Health Alliance; University of Melbourne; Universidad de Magallanes; Pontificia Universidad Catolica de Chile; Consejo Nacional de Investigaciones Cientificas y Tecnicas (CONICET); University of Buenos Aires; University of Buenos Aires</t>
  </si>
  <si>
    <t>Villacís, LA (corresponding author), Univ Chile, Fac Ciencias, Dept Ciencias Ecol, Santiago, Chile.</t>
  </si>
  <si>
    <t>leonardo.villacis@ug.uchile.cl</t>
  </si>
  <si>
    <t>Vilanova, Irene IVI/I-3931-2014; Moreno, Patricio I/D-2317-2012; Villa, Rodrigo/F-5737-2014</t>
  </si>
  <si>
    <t>Villacis Custodio, Leonardo Andre/0000-0002-3940-6708; Villa, Rodrigo/0000-0001-6041-4393</t>
  </si>
  <si>
    <t>Agencia Nacional de Investigacion y Desarrollo [FONDECYT 1191435, FONDAP 15110009]; Millennium Science Initiative/Millennium Nucleus Paleoclimate [NCN17_079]</t>
  </si>
  <si>
    <t>Agencia Nacional de Investigacion y Desarrollo; Millennium Science Initiative/Millennium Nucleus Paleoclimate</t>
  </si>
  <si>
    <t>We thank E.I. Fercovic for the help drafting Fig. 1. We also thank Carolina Diaz for the modern limnological data of Lago Cipreses. This study was funded by the Agencia Nacional de Investigacion y Desarrollo through the grants FONDECYT 1191435, FONDAP 15110009, and Millennium Science Initiative/Millennium Nucleus Paleoclimate NCN17_079.</t>
  </si>
  <si>
    <t>PERGAMON-ELSEVIER SCIENCE LTD</t>
  </si>
  <si>
    <t>THE BOULEVARD, LANGFORD LANE, KIDLINGTON, OXFORD OX5 1GB, ENGLAND</t>
  </si>
  <si>
    <t>0277-3791</t>
  </si>
  <si>
    <t>1873-457X</t>
  </si>
  <si>
    <t>QUATERNARY SCI REV</t>
  </si>
  <si>
    <t>Quat. Sci. Rev.</t>
  </si>
  <si>
    <t>FEB 1</t>
  </si>
  <si>
    <t>10.1016/j.quascirev.2022.107929</t>
  </si>
  <si>
    <t>Geography, Physical; Geosciences, Multidisciplinary</t>
  </si>
  <si>
    <t>Physical Geography; Geology</t>
  </si>
  <si>
    <t>8G4PG</t>
  </si>
  <si>
    <t>WOS:000920327500001</t>
  </si>
  <si>
    <t>Negri, A; Daneri, GA; Coria, NR; Corbalán, A; Negrete, J</t>
  </si>
  <si>
    <t>Negri, A.; Daneri, G. A.; Coria, N. R.; Corbalan, A.; Negrete, J.</t>
  </si>
  <si>
    <t>Temporal variation in the summer diet of the weddell seal, leptonychotes weddellii, at hope bay, antarctic peninsula</t>
  </si>
  <si>
    <t>POLAR BIOLOGY</t>
  </si>
  <si>
    <t>Antarctica; Leptonychotes weddellii; Diet; Hope Bay</t>
  </si>
  <si>
    <t>SOUTHERN ELEPHANT SEAL; PLEURAGRAMMA-ANTARCTICUM; ENVIRONMENTAL-CHANGE; MIROUNGA-LEONINA; CEPHALOPOD PREY; MCMURDO SOUND; ROSS SEA; FOOD; KRILL; ABUNDANCE</t>
  </si>
  <si>
    <t>The study of the feeding habits of Weddell seals, Leptonychotes weddellii, in the Antarctic Peninsula region is essential to understand their ecological role in the marine food webs, especially considering that this is one of the geographical areas most affected by climate change. The aims of this study were 1) to examine the diet of Weddell seals during the molting/resting stage of their annual cycle throughout five summer seasons 2) to assess the temporal variation in the diet composition 3) to determine the possible association of their feeding habits to climatic and oceanographic events such as El Nino Southern Oscillation ENSO and Southern annular mode (SAM). A total of 339 faecal samples were collected at Hope Bay between 2008/9 and 2013/14. Scat analysis indicated that, overall, fish constituted the dominant and most frequent prey taxon (F: 98.8%), followed by cephalopods (F: 33. 6%). Pleuragramma antarctica was the dominant and most frequent fish prey species representing, in average, 74.5% in numbers and 49.4% in mass of all the fish consumed. Cephalopods were mainly represented by the octopod Pareledone turqueti which represented, respectively, 53.7% and 56.8% in numbers and biomass of cephalopod prey consumed. Weddell seals preyed on demersal-benthic as well as pelagic resources. However, though octopods of the genus Pareledone were uniformly common as prey during the whole study period, P. antarctica became more dominant under negative SAM conditions and warm phase (El Nino) of ENSO.</t>
  </si>
  <si>
    <t>[Negri, A.; Daneri, G. A.] Museo Arg Cs Nat B Rivadavia, Div Mastozool, Av A Gallardo 470 C1405DJR, Buenos Aires, DF, Argentina; [Coria, N. R.; Corbalan, A.; Negrete, J.] Inst Antartico Argentino, Dept Predadores Tope, Ave 25 Mayo 1143, RA-1650 Buenos Aires, DF, Argentina</t>
  </si>
  <si>
    <t>Instituto Antartico Argentino</t>
  </si>
  <si>
    <t>Negri, A (corresponding author), Museo Arg Cs Nat B Rivadavia, Div Mastozool, Av A Gallardo 470 C1405DJR, Buenos Aires, DF, Argentina.</t>
  </si>
  <si>
    <t>agunegri136@gmail.com; gdaneri@macn.gov.ar</t>
  </si>
  <si>
    <t>Negri, Agustina/0000-0002-8694-5296</t>
  </si>
  <si>
    <t>Direccion Nacional del Antartico; Agencia Nacional de Promocion Cientifica y Tecnologica; [11559-36054]</t>
  </si>
  <si>
    <t>Direccion Nacional del Antartico; Agencia Nacional de Promocion Cientifica y Tecnologica(ANPCyTSpanish Government);</t>
  </si>
  <si>
    <t>The research leading to these results received funding from Direccion Nacional del Antartico and the Agencia Nacional de Promocion Cientifica y Tecnologica (Grants: Picto No. 11559-36054).</t>
  </si>
  <si>
    <t>0722-4060</t>
  </si>
  <si>
    <t>1432-2056</t>
  </si>
  <si>
    <t>POLAR BIOL</t>
  </si>
  <si>
    <t>Polar Biol.</t>
  </si>
  <si>
    <t>10.1007/s00300-022-03104-6</t>
  </si>
  <si>
    <t>9X4DZ</t>
  </si>
  <si>
    <t>WOS:000907054800001</t>
  </si>
  <si>
    <t>Gómez, F; Gourvil, P; Li, TC; Huang, YL; Zhang, H; Courcot, L; Artigas, LF; Onís, ES; Gutiérrez-Rodríguez, A; Lin, SJ</t>
  </si>
  <si>
    <t>Gomez, Fernando; Gourvil, Priscillia; Li, Tangcheng; Huang, Yulin; Zhang, Huan; Courcot, Lucie; Artigas, Luis F.; Onis, Emilio Soler; Gutierrez-Rodriguez, Andres; Lin, Senjie</t>
  </si>
  <si>
    <t>MOLECULAR PHYLOGENY OF THE SPINY-SURFACED SPECIES OF THE DINOFLAGELLATE PROROCENTRUM WITH THE DESCRIPTION OF P. THERMOPHILUM SP. NOV. AND P. CRIOPHILUM SP. NOV. (PROROCENTRALES, DINOPHYCEAE)</t>
  </si>
  <si>
    <t>JOURNAL OF PHYCOLOGY</t>
  </si>
  <si>
    <t>Dinophyta; HABs; harmful algae blooms; molecular phylogenetics; new species; Prorocentraceae; taxonomy</t>
  </si>
  <si>
    <t>MINIMUM DINOPHYCEAE; MEDITERRANEAN SEA; BALTIC SEA; MORPHOLOGY; PHYTOPLANKTON; SHIKOKUENSE; DIVERSITY; COMPLEX</t>
  </si>
  <si>
    <t>Spiny-surfaced species of Prorocentrum form harmful algal blooms, and its taxonomic identity is obscure due to the size and shape variability. Molecular phylogenies reveal two major clades: one for P. cordatum with sequences mainly retrieved as P. minimum, and the other for P. shikokuense with sequences also retrieved as P. dentatum and P. donghaiense. Several closely related clades still need to be characterized. Here, we provide nuclear SSU and LSU rRNA genes, and nuclear ITS region (ITS1-5.8S gene-ITS2) sequences of the strain CCMP3122 isolated from Florida (initially named P. donghaiense) and strains Prorocentrum sp. RCC6871-2 from the Ross Sea, Antarctica. We describe Prorocentrum thermophilum sp. nov. based on the strain CCMP3122, a species also distributed in the open waters of the Gulf of Mexico, New Zealand, and the Arabian Gulf; and Prorocentrum criophilum sp. nov. based on the strain RCC6872, which is distributed in the Antarctic Ocean and Arctic Sea. Prorocentrum thermophilum is roundish (similar to 14 mu m long, similar to 12 mu m wide), with an inconspicuous anterior spine-like prolongation under light microscopy, valves with tiny, short knobs (5-7 per mu m(2)), and several (&lt; 7) large trichocyst pores (similar to 0.3 mu m) in the right valve, as well as smaller pores (similar to 0.15 mu m). Prorocentrum criophilum is round in valve view (similar to 11 mu m long, 10 mu m wide) and asymmetrically roundish in lateral view, the periflagellar area was not discernible under light microscopy, valves with very tiny, short knobs (6-10 per mu m(2)), and at least 12 large pores in the right valve. Other potentially undescribed species of spiny-surfaced Prorocentrum are discussed.</t>
  </si>
  <si>
    <t>[Gomez, Fernando] Carmen Campos Panisse 3, E-11500 El Puerto De Santa Maria, Spain; [Gourvil, Priscillia] Stn Biol Roscoff, Pl Georges Teissier, F-29680 Roscoff, France; [Li, Tangcheng; Huang, Yulin] Xiamen Univ, Marine Biodivers &amp; Global Change Res Ctr, Xiamen 361005, Peoples R China; [Li, Tangcheng; Huang, Yulin] Xiamen Univ, Coll Ocean &amp; Earth Sci, Xiamen 361005, Peoples R China; [Zhang, Huan; Lin, Senjie] Univ Connecticut, Dept Marine Sci, Groton, CT 06340 USA; [Courcot, Lucie; Artigas, Luis F.] Univ Lille, Univ Littoral Cote dOpale, Lab Oceanol &amp; Geosci, CNRS UMR 8187,IRD, F-62930 Wimereux, France; [Onis, Emilio Soler] FPCT Univ Las Palmas de Gran Canaria, Observatorio Canario Algas Noc, Parque Cient Tecnol Marino de Taliarte, Telde 35214, Gran Canaria, Spain; [Gutierrez-Rodriguez, Andres] Natl Inst Water &amp; Atmospher Res, Wellington 6021, New Zealand; [Gomez, Fernando] Shantou Univ, Guangdong Prov Key Lab Marine Disaster Predict &amp;, Shantou 515063, Peoples R China</t>
  </si>
  <si>
    <t>Sorbonne Universite; Xiamen University; Xiamen University; University of Connecticut; Centre National de la Recherche Scientifique (CNRS); CNRS - National Institute for Earth Sciences &amp; Astronomy (INSU); Universite du Littoral-Cote-d'Opale; Universite de Lille; Institut de Recherche pour le Developpement (IRD); National Institute of Water &amp; Atmospheric Research (NIWA) - New Zealand; Shantou University</t>
  </si>
  <si>
    <t>Gómez, F (corresponding author), Carmen Campos Panisse 3, E-11500 El Puerto De Santa Maria, Spain.;Gómez, F (corresponding author), Shantou Univ, Guangdong Prov Key Lab Marine Disaster Predict &amp;, Shantou 515063, Peoples R China.</t>
  </si>
  <si>
    <t>fernando.gomez@fitoplancton.com</t>
  </si>
  <si>
    <t>zhou, han/JUV-0193-2023; peng, yan/JCO-1763-2023; Zhang, Yuyao/KEH-7175-2024; Yang, Mei/JNS-2225-2023; zhang, yimeng/JLL-7337-2023; Wang, Yanlin/JGC-6782-2023; yang, xiao/JLL-7721-2023; Gutierrez Rodriguez, Andres/JLM-2332-2023; Ding, Yang/JUV-4842-2023; Li, Jiawei/JOJ-9277-2023; Zhang, Xiaofeng/JMC-6060-2023; qi, li/JFE-7167-2023; Lin, Senjie/A-7466-2011; liu, lin/JFK-3401-2023; Yang, Jie/JDM-6213-2023; Wang, Luyao/JLL-2001-2023; Zhang, Yunyi/JHS-3626-2023; yi, li/KFR-6141-2024; Wang, Weiyi/JZC-7841-2024; Zhang, Lijun/JEZ-7925-2023; Gomez, Fernando/B-2495-2009; Wang, Tianqi/JJD-7473-2023</t>
  </si>
  <si>
    <t>Gutierrez Rodriguez, Andres/0000-0003-1274-3752; Zhang, Xiaofeng/0000-0003-2738-3286; Yang, Jie/0000-0002-3941-0053; Gomez, Fernando/0000-0002-5886-3488; Gourvil, Priscillia/0000-0003-0408-4988; Zhang, Huan/0000-0002-7118-691X; Lin, Senjie/0000-0001-8831-6111; Artigas, Luis Felipe/0000-0003-0512-5315</t>
  </si>
  <si>
    <t>Agence Nationale de la Recherche (ANR) PHENOMAP [ANR-20-CE02-0025]; Agence Nationale de la Recherche (ANR) [ANR-20-CE02-0025] Funding Source: Agence Nationale de la Recherche (ANR)</t>
  </si>
  <si>
    <t>Agence Nationale de la Recherche (ANR) PHENOMAP(Agence Nationale de la Recherche (ANR)); Agence Nationale de la Recherche (ANR)(Agence Nationale de la Recherche (ANR))</t>
  </si>
  <si>
    <t>We thank A. Beran for the culture Prorocentrum cordatum from Trieste, and L. Roselli for the samples of P. shikokuense from Brindisi. We thank the Roscoff Culture Collection and Agence Nationale de la Recherche (ANR) PHENOMAP (Project ANR-20-CE02-0025). F. Gomez visited LOG with the support of EUR IFSEA.</t>
  </si>
  <si>
    <t>0022-3646</t>
  </si>
  <si>
    <t>1529-8817</t>
  </si>
  <si>
    <t>J PHYCOL</t>
  </si>
  <si>
    <t>J. Phycol.</t>
  </si>
  <si>
    <t>10.1111/jpy.13298</t>
  </si>
  <si>
    <t>Plant Sciences; Marine &amp; Freshwater Biology</t>
  </si>
  <si>
    <t>A9UQ2</t>
  </si>
  <si>
    <t>Bronze</t>
  </si>
  <si>
    <t>WOS:000906417800001</t>
  </si>
  <si>
    <t>McHuron, EA; Sterling, JT; Mangel, M</t>
  </si>
  <si>
    <t>McHuron, Elizabeth A.; Sterling, Jeremy T.; Mangel, Marc</t>
  </si>
  <si>
    <t>The influence of prey availability on behavioral decisions and reproductive success of a central-place forager during lactation</t>
  </si>
  <si>
    <t>JOURNAL OF THEORETICAL BIOLOGY</t>
  </si>
  <si>
    <t>Northern fur seal; Callorhinus ursinus; Stochastic dynamic programming; Life history theory; Bioenergetics</t>
  </si>
  <si>
    <t>ANTARCTIC FUR SEALS; STATE-DEPENDENT MODEL; CALLORHINUS-URSINUS; ARCTOCEPHALUS-GAZELLA; ENVIRONMENTAL VARIATION; MATERNAL INVESTMENT; ELEPHANT SEAL; MILK CONSUMPTION; MARINE PREDATOR; KRILL BIOMASS</t>
  </si>
  <si>
    <t>Marine central-place foragers are increasingly faced with altered prey landscapes, necessitating predictions of the impact of such changes on behavior, reproductive success, and population dynamics. We used state-dependent behavioral life history theory implemented via Stochastic Dynamic Programming (SDP) to explore the influence of changes in prey distribution and energy gain from foraging on the behavior and reproductive success of a central place forager during lactation. Our work is motivated by northern fur seals (Callorhinus ursinus) because of the ongoing population decline of the Eastern Pacific stock and projected declines in biomass of walleye pollock (Gadus chalcogrammus), a key fur seal prey species in the eastern Bering Sea. We also explored how changes in female and pup metabolic rates, body size, and lactation duration affected model output to provide insight into traits that might experience selective pressure in response to reductions in prey availability. Simulated females adopted a central-place foraging strategy after an initial extended period spent on land (4.7-8.3 days). Trip durations increased as the high energy prey patch moved farther from land or when the energy gain from foraging decreased. Increases in trip duration adversely affected pup growth rates and wean mass despite attempts to compensate by increasing land durations. Metabolic rate changes had the largest impacts on pup wean mass, with reductions in a pup's metabolic rate allowing females to successfully forage at distances of 600+ km from land for up to 15+ days. Our results indicate that without physiological adaptations, a rookery is unlikely to be viable if the primary foraging grounds are 400 km or farther from the rookery. To achieve pup growth rates characteristic of a population experiencing rapid growth, model results indicate the primary foraging grounds need to be &lt;150 km from the rookery.</t>
  </si>
  <si>
    <t>[McHuron, Elizabeth A.] Univ Washington, Cooperat Inst Climate Ocean &amp; Ecosyst Studies, Seattle, WA 98105 USA; [Sterling, Jeremy T.] NOAA, Natl Marine Fisheries Serv, Alaska Fisheries Sci Ctr, Marine Mammal Lab, Seattle, WA 98115 USA; [Mangel, Marc] Univ Bergen, Dept Biol, Theoret Ecol Grp, Bergen, Norway; [Mangel, Marc] Univ Calif Santa Cruz, Inst Marine Sci, Santa Cruz, CA 95064 USA; [Mangel, Marc] Univ Calif Santa Cruz, Dept Appl Math, Santa Cruz, CA 95064 USA</t>
  </si>
  <si>
    <t>University of Washington; University of Washington Seattle; National Oceanic Atmospheric Admin (NOAA) - USA; University of Bergen; University of California System; University of California Santa Cruz; University of California System; University of California Santa Cruz</t>
  </si>
  <si>
    <t>McHuron, EA (corresponding author), Univ Washington, Cooperat Inst Climate Ocean &amp; Ecosyst Studies, Seattle, WA 98105 USA.</t>
  </si>
  <si>
    <t>emchuron@uw.edu</t>
  </si>
  <si>
    <t>Lenfest Ocean Program [00031538]; ONR [N000141912494]; University of Alaska Fairbanks; North Pacific Research Board [0414, 0514]; National Science Foundation [9500072]; U.S. Department of Defense (DOD) [N000141912494] Funding Source: U.S. Department of Defense (DOD)</t>
  </si>
  <si>
    <t>Lenfest Ocean Program; ONR(Office of Naval Research); University of Alaska Fairbanks; North Pacific Research Board; National Science Foundation(National Science Foundation (NSF)); U.S. Department of Defense (DOD)(United States Department of Defense)</t>
  </si>
  <si>
    <t>EAM was supported by the Lenfest Ocean Program (No. 00031538) and MM was supported by ONR grant N000141912494. We thank Mary Donohue for sharing her original data on pup milk intake with us. Additional observations used for model comparisons were obtained from the Alaska Ecosystems Program (MML, AFSC, NOAA, Seattle, WA) and multi-year studies supported by the University of Alaska Fairbanks, the North Pacific Research Board (#0414 and #0514) , and the National Science Foundation (#9500072) . Field research from these studies was conducted under NMFS Marine Mammal Protection Act permit numbers 837, 782-1708-04, and 14327. This study benefited from the tireless efforts by field personnel dedicated to collecting observations that contribute to northern fur seal management and conservation.</t>
  </si>
  <si>
    <t>ACADEMIC PRESS LTD- ELSEVIER SCIENCE LTD</t>
  </si>
  <si>
    <t>24-28 OVAL RD, LONDON NW1 7DX, ENGLAND</t>
  </si>
  <si>
    <t>0022-5193</t>
  </si>
  <si>
    <t>1095-8541</t>
  </si>
  <si>
    <t>J THEOR BIOL</t>
  </si>
  <si>
    <t>J. Theor. Biol.</t>
  </si>
  <si>
    <t>MAR 7</t>
  </si>
  <si>
    <t>10.1016/j.jtbi.2022.111392</t>
  </si>
  <si>
    <t>Biology; Mathematical &amp; Computational Biology</t>
  </si>
  <si>
    <t>Life Sciences &amp; Biomedicine - Other Topics; Mathematical &amp; Computational Biology</t>
  </si>
  <si>
    <t>8C7JN</t>
  </si>
  <si>
    <t>WOS:000917780600001</t>
  </si>
  <si>
    <t>Wang, XD; Guo, Z; Zhang, HW; Wang, CC; Wang, YH</t>
  </si>
  <si>
    <t>Wang, Xingdong; Guo, Zhi; Zhang, Haowei; Wang, Changcheng; Wang, Yuhua</t>
  </si>
  <si>
    <t>Snowmelt detection on the Antarctic ice sheet surface based on XPGR with improved ant colony algorithm</t>
  </si>
  <si>
    <t>INTERNATIONAL JOURNAL OF REMOTE SENSING</t>
  </si>
  <si>
    <t>Antarctic ice sheet; Ant colony algorithm; Levy flight; Dissimilarity matrix; XPGR; Snowmelt</t>
  </si>
  <si>
    <t>MELT EXTENT; SEA-ICE; DURATION; GLACIER; TRENDS</t>
  </si>
  <si>
    <t>This study presents an XPGR coupled with an improved ant colony algorithm to automatically detect the Antarctic ice sheet surface snowmelt and acquire high-precision snowmelt information. This approach first enlarges the difference between dry snow and wet snow using the XPGR algorithm and then utilizes an enhanced ant colony algorithm to adaptively find the best threshold for segmenting dry snow and wet snow. The dissimilarity matrix, which determines the initial clustering centre and utilizes Levy flight to modify the clustering radius dynamically, is a major advancement to the ant colony algorithm. The method proposed in this study was compared to the standard XPGR algorithm from October 2017 to February 2018 and from October 2019 to February 2020 to evaluate the practicality and rationale of the proposed method. The further verification of six automatic weather stations (AWS) shows that the method proposed in this study has higher accuracy.</t>
  </si>
  <si>
    <t>[Wang, Xingdong; Guo, Zhi; Zhang, Haowei; Wang, Yuhua] Henan Univ Technol, Coll Informat Sci &amp; Engn, Zhengzhou, Peoples R China; [Wang, Changcheng] Cent South Univ, Sch Geosci &amp; Infophys, Changsha, Peoples R China; [Guo, Zhi] Henan Univ Technol, Coll Informat Sci &amp; Engn, Zhengzhou 450001, Peoples R China</t>
  </si>
  <si>
    <t>Henan University of Technology; Central South University; Henan University of Technology</t>
  </si>
  <si>
    <t>Guo, Z (corresponding author), Henan Univ Technol, Coll Informat Sci &amp; Engn, Zhengzhou 450001, Peoples R China.</t>
  </si>
  <si>
    <t>320328915@qq.com</t>
  </si>
  <si>
    <t>zhang, haowei/0000-0002-2332-015X</t>
  </si>
  <si>
    <t>State Key Laboratory of Cryospheric Science, Northwest Institute of Eco-Environment and Resources, Chinese Academy Sciences [SKLCS-OP-2020-6]; Cultivation Programme for Young Backbone Teachers in Henan University of Technology [21420070]; Basic Scientific Research Special Fund of Henan University of Technology [2015RCJH18]; Key Scientific Research Project of Colleges and Universities in Henan Province [19B420001]; Key Laboratory of Grain Information Processing and Control (Henan University of Technology), Ministry of Education [KFJJ-2020-113]</t>
  </si>
  <si>
    <t>State Key Laboratory of Cryospheric Science, Northwest Institute of Eco-Environment and Resources, Chinese Academy Sciences; Cultivation Programme for Young Backbone Teachers in Henan University of Technology; Basic Scientific Research Special Fund of Henan University of Technology; Key Scientific Research Project of Colleges and Universities in Henan Province; Key Laboratory of Grain Information Processing and Control (Henan University of Technology), Ministry of Education</t>
  </si>
  <si>
    <t>This research was supported in part by the State Key Laboratory of Cryospheric Science, Northwest Institute of Eco-Environment and Resources, Chinese Academy Sciences under Grant SKLCS-OP-2020-6, in part by the Cultivation Programme for Young Backbone Teachers in Henan University of Technology under Grant 21420070, in part by the Basic Scientific Research Special Fund of Henan University of Technology under Grant 2015RCJH18, in part by the Key Scientific Research Project of Colleges and Universities in Henan Province under Grant 19B420001, and in part by the Key Laboratory of Grain Information Processing and Control (Henan University of Technology), Ministry of Education under Grant KFJJ-2020-113.</t>
  </si>
  <si>
    <t>TAYLOR &amp; FRANCIS LTD</t>
  </si>
  <si>
    <t>ABINGDON</t>
  </si>
  <si>
    <t>2-4 PARK SQUARE, MILTON PARK, ABINGDON OR14 4RN, OXON, ENGLAND</t>
  </si>
  <si>
    <t>0143-1161</t>
  </si>
  <si>
    <t>1366-5901</t>
  </si>
  <si>
    <t>INT J REMOTE SENS</t>
  </si>
  <si>
    <t>Int. J. Remote Sens.</t>
  </si>
  <si>
    <t>JAN 2</t>
  </si>
  <si>
    <t>10.1080/01431161.2022.2161851</t>
  </si>
  <si>
    <t>Remote Sensing; Imaging Science &amp; Photographic Technology</t>
  </si>
  <si>
    <t>7O2VA</t>
  </si>
  <si>
    <t>WOS:000907886000001</t>
  </si>
  <si>
    <t>Eickhoff, L; Bayer-Giraldi, M; Reicher, N; Rudich, Y; Koop, T</t>
  </si>
  <si>
    <t>Eickhoff, Lukas; Bayer-Giraldi, Maddalena; Reicher, Naama; Rudich, Yinon; Koop, Thomas</t>
  </si>
  <si>
    <t>Ice nucleating properties of the sea ice diatom Fragilariopsis cylindrus and its exudates</t>
  </si>
  <si>
    <t>BIOGEOSCIENCES</t>
  </si>
  <si>
    <t>EXTRACELLULAR POLYMERIC SUBSTANCES; SURFACE MICROLAYER; BIOGENIC PARTICLES; FREEZING BEHAVIOR; BINDING PROTEINS; WEDDELL SEA; MARINE; WATER; DIVERSITY; DROPLETS</t>
  </si>
  <si>
    <t>In this study, we investigated the ice nucleation activity of the Antarctic sea ice diatom Fragilariopsis cylindrus. Diatoms are the main primary producers of organic carbon in the Southern Ocean, and the Antarctic sea ice diatom F. cylindrus is one of the predominant species. This psychrophilic diatom is abundant in open waters and within sea ice. It has developed several mechanisms to cope with the extreme conditions of its environment, for example, the production of ice-binding proteins (IBPs) and extracellular polymeric substances known to alter the structure of ice. Here, we investigated the ice nucleation activity of F. cylindrus using a microfluidic device containing individual sub-nanolitre (similar to 90 mu m) droplet samples. The experimental method and a newly implemented Poisson-statistics-based data evaluation procedure applicable to samples with low ice nucleating particle concentrations were validated by comparative ice nucleation experiments with well-investigated bacterial samples from Pseudomonas syringae (Snomax((R))). The experiments reveal an increase of up to 7.2 degrees C in the ice nucleation temperatures for seawater containing F. cylindrus diatoms when compared to pure seawater. Moreover, F. cylindrus fragments also show ice nucleation activity, while experiments with the F. cylindrus ice-binding protein (fcIBP) show no significant ice nucleation activity. A comparison with experimental results from other diatoms suggests a universal behaviour of polar sea ice diatoms, and we provide a diatom-mass-based parameterization of their ice nucleation activity for use in models.</t>
  </si>
  <si>
    <t>[Eickhoff, Lukas; Koop, Thomas] Bielefeld Univ, Fac Chem, D-33615 Bielefeld, Germany; [Bayer-Giraldi, Maddalena] Univ Hamburg, Fac Math Informat &amp; Nat Sci, D-20354 Hamburg, Germany; [Reicher, Naama; Rudich, Yinon] Weizmann Inst Sci, Dept Earth &amp; Planetary Sci, IL-76100 Rehovot, Israel; [Bayer-Giraldi, Maddalena] Helmholtz Ctr Polar &amp; Marine Res, Alfred Wegener Inst, D-27568 Bremerhaven, Germany</t>
  </si>
  <si>
    <t>University of Bielefeld; University of Hamburg; Weizmann Institute of Science; Helmholtz Association; Alfred Wegener Institute, Helmholtz Centre for Polar &amp; Marine Research</t>
  </si>
  <si>
    <t>Koop, T (corresponding author), Bielefeld Univ, Fac Chem, D-33615 Bielefeld, Germany.</t>
  </si>
  <si>
    <t>thomas.koop@uni-bielefeld.de</t>
  </si>
  <si>
    <t>Rudich, Yinon/K-1498-2012; Koop, Thomas/B-7861-2008</t>
  </si>
  <si>
    <t>Rudich, Yinon/0000-0003-3149-0201; Koop, Thomas/0000-0002-7571-3684; reicher, naama/0000-0003-4555-1343</t>
  </si>
  <si>
    <t>Bielefeld University; Deutsche Forschungsgemeinschaft (DFG); [1158]; [BA 3694/2-1]</t>
  </si>
  <si>
    <t>Bielefeld University; Deutsche Forschungsgemeinschaft (DFG)(German Research Foundation (DFG)); ;</t>
  </si>
  <si>
    <t>We acknowledge support for the publication costs by the open-access publication fund of Bielefeld University and the Deutsche Forschungsgemeinschaft (DFG). Maddalena Bayer-Giraldi is grateful for support from the Deutsche Forschungsgemeinschaft SPP1158 (German Research Association programme no 1158; grant no. BA 3694/2-1).</t>
  </si>
  <si>
    <t>1726-4170</t>
  </si>
  <si>
    <t>1726-4189</t>
  </si>
  <si>
    <t>Biogeosciences</t>
  </si>
  <si>
    <t>10.5194/bg-20-1-2023</t>
  </si>
  <si>
    <t>Ecology; Geosciences, Multidisciplinary</t>
  </si>
  <si>
    <t>Environmental Sciences &amp; Ecology; Geology</t>
  </si>
  <si>
    <t>7M1EP</t>
  </si>
  <si>
    <t>Green Submitted, gold</t>
  </si>
  <si>
    <t>WOS:000906398800001</t>
  </si>
  <si>
    <t>Buchanan, E</t>
  </si>
  <si>
    <t>Buchanan, Elizabeth</t>
  </si>
  <si>
    <t>All quiet on the southern front? Revisiting Antarctic competition</t>
  </si>
  <si>
    <t>POLAR JOURNAL</t>
  </si>
  <si>
    <t>Editorial Material</t>
  </si>
  <si>
    <t>Geopolitics; Antarctica; strategic competition</t>
  </si>
  <si>
    <t>CHINA</t>
  </si>
  <si>
    <t>[Buchanan, Elizabeth] West Point Mil Acad, Modern War Inst, West Point, NY 10996 USA</t>
  </si>
  <si>
    <t>United States Military Academy</t>
  </si>
  <si>
    <t>Buchanan, E (corresponding author), West Point Mil Acad, Modern War Inst, West Point, NY 10996 USA.</t>
  </si>
  <si>
    <t>Buchananek3@gmail.com</t>
  </si>
  <si>
    <t>2154-896X</t>
  </si>
  <si>
    <t>2154-8978</t>
  </si>
  <si>
    <t>POLAR J-UK</t>
  </si>
  <si>
    <t>Polar J.</t>
  </si>
  <si>
    <t>SI</t>
  </si>
  <si>
    <t>10.1080/2154896X.2023.2205234</t>
  </si>
  <si>
    <t>Area Studies; Environmental Studies; Geography; International Relations</t>
  </si>
  <si>
    <t>Emerging Sources Citation Index (ESCI)</t>
  </si>
  <si>
    <t>Area Studies; Environmental Sciences &amp; Ecology; Geography; International Relations</t>
  </si>
  <si>
    <t>EW9Z4</t>
  </si>
  <si>
    <t>WOS:001142101000002</t>
  </si>
  <si>
    <t>Burke, R</t>
  </si>
  <si>
    <t>Burke, Ryan</t>
  </si>
  <si>
    <t>Towards an Antarctic security and defense forum</t>
  </si>
  <si>
    <t>Antarctic security; defence; China; Russia; United States; climate security</t>
  </si>
  <si>
    <t>As earth's lone uninhabited and ungoverned continent, Antarctica contains 70% of all fresh water on the planet in addition to a potential treasure trove of yet undiscovered natural and biological resources(1). It is peripherally relevant geographically but centrally relevant geopolitically. The southernmost continent is the final frontier of 21(st) century strategic competition; a resource-rich region ripe for territorial expansion opportunities that may yield economic and even military advantage for those states best positioned to capitalise on its vulnerability. To avoid Antarctica devolving into a militarised continent plagued by conflict and resource wars, the international community must establish an Antarctic Security and Defense Forum (ASDF). The ASDF will address these challenges through coordinated global governance initiatives leveraging the longstanding institutional strength of the Antarctic Treaty and offering supplemental dialogue specific to military issues to confront the challenge rather than look the other way. This article examines the leading geostrategic issues for Antarctica, then it tables a blueprint for a viable Antarctic Security and Defence Forum.</t>
  </si>
  <si>
    <t>[Burke, Ryan] US Air Force Acad USAFA, Dept Mil &amp; Strateg Studies MSS, Curriculum, Colorado Springs, CO 80840 USA</t>
  </si>
  <si>
    <t>Burke, R (corresponding author), US Air Force Acad USAFA, Dept Mil &amp; Strateg Studies MSS, Curriculum, Colorado Springs, CO 80840 USA.</t>
  </si>
  <si>
    <t>Ryan.Burke@afacademy.af.edu</t>
  </si>
  <si>
    <t>10.1080/2154896X.2023.2205235</t>
  </si>
  <si>
    <t>WOS:001142101000003</t>
  </si>
  <si>
    <t>Vidal, F</t>
  </si>
  <si>
    <t>Vidal, Florian</t>
  </si>
  <si>
    <t>The Antarctic Peninsula: Argentina and Chile in the era of global change</t>
  </si>
  <si>
    <t>Antarctic Peninsula; Chile; Argentina; South Atlantic; Antarctic gateway; mineral resources</t>
  </si>
  <si>
    <t>SOUTH</t>
  </si>
  <si>
    <t>While Argentine-Chilean relations have long been swayed between cooperation and confrontation since their independence in the 19(th) century and a long-standing presence in Antarctica, the stretch between Tierra del Fuego to the Antarctic Peninsula stands as the closest lane (i.e. about 1,000km) to any other continent. Despite their territorial dispute over islands on the fractured southern tip of South America and territorial claims on the Antarctic, their common diplomatic ground successfully defuses any potential geopolitical instability. Along with Chile and Argentina, British claims overlap in the Antarctic Peninsula, which establishes unique geopolitical conditions in the whole of Antarctica. In this context, scientific missions and growing tourist activities could transform the region into the Antarctic gateway. From potential mineral resources exploitation to the United States-China global competition, the South Atlantic area could become a strategic bridgehead in light of the brewing geopolitical shift during the 21(st) century. Considering that climate change and geostrategic conditions evolve somewhat quickly to transform the Western Antarctic area, this article aims to assess and comprehend how these external drivers may affect the two South American countries. Given the fact that Antarctica is part of their respective national narrative, how do Argentina and Chile intend to maintain their presence and protect their interest in these shifting conditions? What are the vectors for partnering with the world's great powers, such as China? Ultimately, could this space become a choke point through the 21(st) century?</t>
  </si>
  <si>
    <t>[Vidal, Florian] UiT Arctic Univ Norway, Dept Social Sci, Tromso, Norway</t>
  </si>
  <si>
    <t>UiT The Arctic University of Tromso</t>
  </si>
  <si>
    <t>Vidal, F (corresponding author), UiT Arctic Univ Norway, Dept Social Sci, ISV Fac Humanities Social Sci &amp; Educ HSL Fak, POB 6050, N-9037 Tromso, Norway.</t>
  </si>
  <si>
    <t>florian.vidal@gmail.com</t>
  </si>
  <si>
    <t>Vidal, Florian/0000-0002-6499-7546</t>
  </si>
  <si>
    <t>10.1080/2154896X.2023.2205236</t>
  </si>
  <si>
    <t>WOS:001142101000004</t>
  </si>
  <si>
    <t>Haward, M; Jackson, A</t>
  </si>
  <si>
    <t>Haward, Marcus; Jackson, Andrew</t>
  </si>
  <si>
    <t>Antarctica: geopolitical challenges and institutional resilience</t>
  </si>
  <si>
    <t>Antarctica; Antarctic Treaty System; geopolitics; diplomacy; resilience</t>
  </si>
  <si>
    <t>LEGITIMACY; MALAYSIA</t>
  </si>
  <si>
    <t>The success of the Antarctic Treaty regime over more than 60 years provides the opportunity to assess the relationship between the maintenance of national interests and cooperation between Antarctic states. Over these six decades challenges to the Antarctic Treaty and the evolving Antarctic Treaty System have emerged. These challenges have arisen from within the system itself, most notably in the overturing of the proposed convention to regulate mining and its replacement with a comprehensive environmental protection regime. The system has also faced external challenges; a good example being through the Question of Antarctica debate within the United Nations General Assembly. Internal and external challenges have been addressed and, in many ways contributed to revitalising the regime, through adroit diplomacy and enduring commitment to sustaining the Treaty's principles. This provides the key to the paper's central argument that system resilience and adaptability has been undervalued in contemporary framings of Antarctic geopolitics that have in recent years tended to highlight tensions and divergent views.</t>
  </si>
  <si>
    <t>[Haward, Marcus; Jackson, Andrew] Univ Tasmania, IMAS, Private Bag 129, Hobart, Tas 7001, Australia</t>
  </si>
  <si>
    <t>University of Tasmania</t>
  </si>
  <si>
    <t>Haward, M (corresponding author), Univ Tasmania, IMAS, Private Bag 129, Hobart, Tas 7001, Australia.</t>
  </si>
  <si>
    <t>Marcus.Haward@utas.edu.au</t>
  </si>
  <si>
    <t>Australian Research Council [DP190101214-Geopolitical]</t>
  </si>
  <si>
    <t>Australian Research Council(Australian Research Council)</t>
  </si>
  <si>
    <t>Research supporting the material presented in this paper was undertaken through funding from the Australian Research Council Discovery Projects scheme: Project DP190101214-Geopolitical Change and the Antarctic Treaty System.We thank the Issue Editor and an anonymous reviewer for their constructive comments on an earlier version of the paper.</t>
  </si>
  <si>
    <t>10.1080/2154896X.2023.2205237</t>
  </si>
  <si>
    <t>WOS:001142101000005</t>
  </si>
  <si>
    <t>Hudson, KPC</t>
  </si>
  <si>
    <t>Hudson, K. P. C.</t>
  </si>
  <si>
    <t>Functional futurism: architectural competitions in Antarctica</t>
  </si>
  <si>
    <t>Antarctic architecture; architect; contemporary design; design competitions; futurism</t>
  </si>
  <si>
    <t>BIOPHILIA</t>
  </si>
  <si>
    <t>Historically, the built environment in Antarctica focused pragmatically on the protection of the occupants from the surrounding harsh natural environment. They weren't winning any architectural prizes. This approach changed with the 21st century and the British Antarctic Survey's call for submissions to design Halley VI. With the instigation of the architectural competition to design research stations, the process provides value towards aesthetics as well as bringing a new cognisance of life in Antarctica to a broader audience. The methodology for this research builds upon existing case study analysis, with further data collection through interpretive-historical approaches. Looking at the history of architecture in Antarctica as a whole, there is a marked shift in station design during this time. There are some outliers to this hypothesis, these cases are still noticeably different from their predecessors with the inclusion of architectural firms and the addition of a 'design process' to their development. It is the instigation of design competitions that created more public knowledge of Antarctic programs, research, and habitation. Pulling the design of research stations out of the traditional institutionalised approach and bringing it to the doorstep of architectural firms fundamentally changed the image and awareness of the built environment in Antarctica.</t>
  </si>
  <si>
    <t>[Hudson, K. P. C.] Vermont Tech Coll, 48 River Rd, Jericho, VT 05465 USA; [Hudson, K. P. C.] Cushman Design Grp, 48 River Rd, Jericho, VT 05465 USA</t>
  </si>
  <si>
    <t>Hudson, KPC (corresponding author), Vermont Tech Coll, 48 River Rd, Jericho, VT 05465 USA.;Hudson, KPC (corresponding author), Cushman Design Grp, 48 River Rd, Jericho, VT 05465 USA.</t>
  </si>
  <si>
    <t>kpchudson@gmail.com</t>
  </si>
  <si>
    <t>10.1080/2154896X.2023.2205238</t>
  </si>
  <si>
    <t>WOS:001142101000006</t>
  </si>
  <si>
    <t>Boulegue, M</t>
  </si>
  <si>
    <t>Boulegue, Mathieu</t>
  </si>
  <si>
    <t>Five Eyes strategic interests in Antarctica: implications of contemporary Russian and Chinese strategy</t>
  </si>
  <si>
    <t>Antarctic Treaty System; Russia; China; Five Eyes; Antarctic governance Southern Ocean; Antarctic Treaty Consultative Meeting (ATCM)</t>
  </si>
  <si>
    <t>Geopolitical tension in the Antarctic is not a new feature, and the Antarctic Treaty System (ATS) is not about to crumble.(1) Nevertheless, the region is slowly shaping to become a 'contested space'(2) in the presence of Russia and China. Taken individually and together, Moscow's and Beijing's postures and actions in Antarctic affairs are reshuffling the cards of good governance and consensus-based decisions in the ATS. Of particular interest is the relationship both countries have towards Antarctic affairs and the challenge they represent individually and jointly for the Five Eyes and its intelligence community. This article examines the respective Antarctic strategies of Russia and China. It then considers both Moscow and Beijing's assessment of the Antarctic Treaty System in terms of its utility and durability. The article compares and contrasts the two states approaches to Antarctica to consider the implications for Five Eyes (FVEY) intelligence community. It concludes that within FVEY countries, keeping unity and coherence within the ATS is the best way to contain Russia's and China's regional ambitions - provided necessary measures are in place to keep track of their activities there.</t>
  </si>
  <si>
    <t>[Boulegue, Mathieu] Wilson Ctr, Royal Inst Int Affairs &amp; Global Fellow, Polar Inst, Russia &amp; Eurasia Programme, Chatham House, New York, NY 10029 USA</t>
  </si>
  <si>
    <t>Boulegue, M (corresponding author), Wilson Ctr, Royal Inst Int Affairs &amp; Global Fellow, Polar Inst, Russia &amp; Eurasia Programme, Chatham House, New York, NY 10029 USA.</t>
  </si>
  <si>
    <t>mboulegue@maroshka.net</t>
  </si>
  <si>
    <t>10.1080/2154896X.2023.2205239</t>
  </si>
  <si>
    <t>WOS:001142101000007</t>
  </si>
  <si>
    <t>Estrada-Goic, C; Gonzalez-Ortega, J; Mancilla, D; Latorre, A; Cerda, P; Jalil, C; Nenen, JL; Hechenleitner, K; López, C; Cabanas, M; Barticevic, E</t>
  </si>
  <si>
    <t>Estrada-Goic, Claudia; Gonzalez-Ortega, Jorge; Mancilla, Daniela; Latorre, Ana; Cerda, Paulina; Jalil, Camila; Luis Nenen, Jose; Hechenleitner, Kimberly; Lopez, Constanza; Cabanas, Mariana; Barticevic, Elias</t>
  </si>
  <si>
    <t>Committing to the Antarctic: values, ecological beliefs, and social identity in national perception</t>
  </si>
  <si>
    <t>Antarctic; Antarctic values; social identity; responsibility perception; social identification</t>
  </si>
  <si>
    <t>The objective of this study is to analyse the role of a perceived value that may result from identification with the Antarctic region the identity that results from association with the Chilean claim to that territory, and adherence to various ecological beliefs that may bear on a perception of responsibility in the care and protection of Antarctica, by inhabitants of southern Chilean Patagonia. Three general population studies (n1=218), (n2=401), (n3=260) measured what were termed Antarctic values, Antarctic Social Identity (ASI), ecological beliefs, and perceived responsibility for Antarctic care and protection. The first study showed the importance of social identification as a mediating variable between the attributed Antarctic value and the perception of responsibility, showing that the identity variable played a fundamental role in the phenomenon of perceived responsibility. The second study compares three cities that formally share the 'Antarctic social identity' label (a sense of belonging to the group of cities linked to the Antarctic). This study reveals that, despite sharing this social category, the orientation related to custodial behaviour towards Antarctica is also linked to other socio-identity variables. Here we refer to all the psychological and social variables involved in the process that leads to feeling part of one social identity; that is, identifying with a group of people with whom one shares, for example, the place where one lives. The third study compares two generations of adults ('young' and 'mature') and confirms that the older group shows a pattern of social responsibility that considers identity variables more profoundly. These results are discussed within the context of the importance of understanding the role of these variables in attitudes towards the Antarctic region at a time when, from both political and environmental perspectives, opportunities arise for inhabitants living close to this territory to reconsider their roles.</t>
  </si>
  <si>
    <t>[Estrada-Goic, Claudia; Mancilla, Daniela; Latorre, Ana; Cerda, Paulina; Jalil, Camila; Luis Nenen, Jose; Hechenleitner, Kimberly; Lopez, Constanza; Cabanas, Mariana] Univ Magallanes, Dept Psychol, Punta Arenas, Chile; [Gonzalez-Ortega, Jorge] Univ Talca, Fac Psychol, Talca, Chile; [Barticevic, Elias] Inst Chileno Antartico INACH, Punta Arenas, Chile</t>
  </si>
  <si>
    <t>Universidad de Magallanes; Universidad de Talca</t>
  </si>
  <si>
    <t>Estrada-Goic, C (corresponding author), Univ Magallanes, Dept Psychol, Punta Arenas, Chile.</t>
  </si>
  <si>
    <t>claudia.estrada@umag.cl</t>
  </si>
  <si>
    <t>10.1080/2154896X.2023.2205240</t>
  </si>
  <si>
    <t>WOS:001142101000008</t>
  </si>
  <si>
    <t>Marques-Quinteiro, P; Leon, G</t>
  </si>
  <si>
    <t>Marques-Quinteiro, Pedro; Leon, Gloria</t>
  </si>
  <si>
    <t>Psychological adaptation in Antarctica amidst the COVID-19 pandemic</t>
  </si>
  <si>
    <t>Self-leadership; psychological adaptation; COVID-19; Antarctic research; Extreme environments</t>
  </si>
  <si>
    <t>THOUGHT SELF-LEADERSHIP; PERFORMANCE; ENVIRONMENT; MANAGEMENT; HEALTH; POLAR</t>
  </si>
  <si>
    <t>Psychological adaptation in isolated, confined, and extreme environments plays an important role in the achievement of performance and wellbeing. Whereas empirical research has been fruitful in determining the antecedents of psychological adaptation, opportunities remain to identify and apply new constructs through which psychological adaptation can grow. In the current study, we explored the possibility that one such construct is individual self-leadership. Participants were eight Antarctic scientists enrolled in the 2021-2022 summer campaign in the South Shetland Islands, under considerable COVID-19 restrictions during that period. Data were collected on three occasions and analysed through a mixed-method approach where qualitative and quantitative evidence were integrated. Overall, the results indicated that the self-imposed quarantine pre-deployment period in Punta Arenas had a heavy toll on expeditioners mental health, with the psychological adaptation and self-leadership of expeditioners being positively correlated across the campaign. The implications of our findings, as well possible future research directions, are discussed.</t>
  </si>
  <si>
    <t>[Marques-Quinteiro, Pedro] Univ Lusofona, Ctr Univ Lisboa, Escola Ciencias Econ &amp; Org, TRIE, Campo Grande 376, P-1749024 Lisbon, Portugal; [Leon, Gloria] Univ Minnesota, Dept Psychol, Minneapolis, MN USA</t>
  </si>
  <si>
    <t>Lusofona University; University of Minnesota System; University of Minnesota Twin Cities</t>
  </si>
  <si>
    <t>Marques-Quinteiro, P (corresponding author), Univ Lusofona, Ctr Univ Lisboa, Escola Ciencias Econ &amp; Org, TRIE, Campo Grande 376, P-1749024 Lisbon, Portugal.</t>
  </si>
  <si>
    <t>p6771@ulusofona.pt</t>
  </si>
  <si>
    <t>Marques-Quinteiro, Pedro/K-1896-2015</t>
  </si>
  <si>
    <t>Marques-Quinteiro, Pedro/0000-0001-9385-8476</t>
  </si>
  <si>
    <t>10.1080/2154896X.2023.2205241</t>
  </si>
  <si>
    <t>WOS:001142101000009</t>
  </si>
  <si>
    <t>Flores, C</t>
  </si>
  <si>
    <t>Flores, Carolina</t>
  </si>
  <si>
    <t>Antarctic researchers reunited for the IV Chilean conference of Antarctic law</t>
  </si>
  <si>
    <t>[Flores, Carolina] Univ Chile, Fac Law, Santiago, Chile</t>
  </si>
  <si>
    <t>Universidad de Chile</t>
  </si>
  <si>
    <t>Flores, C (corresponding author), Univ Chile, Fac Law, Santiago, Chile.</t>
  </si>
  <si>
    <t>flores.barrosc@gmail.com</t>
  </si>
  <si>
    <t>BASE; Instituto Antartico Chileno (INACH); Association of Polar Early Career Scientists (APECS Chile); Standing Committee on Antarctic Humanities and Social Sciences (SC-HASS)</t>
  </si>
  <si>
    <t>This activity was sponsored by BASE, the Instituto Antartico Chileno (INACH), the Association of Polar Early Career Scientists (APECS Chile) and the Standing Committee on Antarctic Humanities and Social Sciences (SC-HASS). The fifth version is expected to take place in the second half of 2023.</t>
  </si>
  <si>
    <t>10.1080/2154896X.2023.2205244</t>
  </si>
  <si>
    <t>WOS:001142101000012</t>
  </si>
  <si>
    <t>Oates, A; Grabow, J</t>
  </si>
  <si>
    <t>Oates, Alice; Grabow, Johanna</t>
  </si>
  <si>
    <t>Report on the 2022 SCAR meetings: 10th SCAR open science conference and XXXVII SCAR delegates' meeting</t>
  </si>
  <si>
    <t>[Oates, Alice; Grabow, Johanna] Univ Cambridge, Scott Polar Res Inst, Sci Comm Antarctic Res SCAR, Lensfield Rd, Cambridge CB2 1ER, England</t>
  </si>
  <si>
    <t>University of Cambridge</t>
  </si>
  <si>
    <t>Grabow, J (corresponding author), Univ Cambridge, Scott Polar Res Inst, Sci Comm Antarctic Res SCAR, Lensfield Rd, Cambridge CB2 1ER, England.</t>
  </si>
  <si>
    <t>johanna@scar.org</t>
  </si>
  <si>
    <t>Oates, Alice/0000-0001-5177-9681</t>
  </si>
  <si>
    <t>10.1080/2154896X.2023.2205247</t>
  </si>
  <si>
    <t>WOS:001142101000014</t>
  </si>
  <si>
    <t>Aiken, K</t>
  </si>
  <si>
    <t>Aiken, Kimberly</t>
  </si>
  <si>
    <t>Antarctic Resolution</t>
  </si>
  <si>
    <t>Book Review</t>
  </si>
  <si>
    <t>[Aiken, Kimberly] Univ Tasmania, Hobart, Tas 7001, Australia</t>
  </si>
  <si>
    <t>Aiken, K (corresponding author), Univ Tasmania, Hobart, Tas 7001, Australia.</t>
  </si>
  <si>
    <t>Kimberly.aiken@utas.edu.au</t>
  </si>
  <si>
    <t>10.1080/2154896X.2023.2201021</t>
  </si>
  <si>
    <t>WOS:001142101000017</t>
  </si>
  <si>
    <t>Moctezuma-Flores, M; Parmiggiani, F; Guerrieri, L</t>
  </si>
  <si>
    <t>Moctezuma-Flores, Miguel; Parmiggiani, Flavio; Guerrieri, Lorenzo</t>
  </si>
  <si>
    <t>Tracking of the huge Antarctic iceberg A-76</t>
  </si>
  <si>
    <t>REMOTE SENSING LETTERS</t>
  </si>
  <si>
    <t>Contrast enhancement; image processing; morphological analysis; radar images</t>
  </si>
  <si>
    <t>SAR IMAGES</t>
  </si>
  <si>
    <t>This paper presents a processing scheme whose aim is to provide the basis for a fast time-series analysis of iceberg drifting patterns. The study focuses on the drifting of iceberg A-76 and makes use of SAR images which were collected by the Sentinel-1 satellites, from May 2021 to June 2022. The processing scheme is composed of the following steps: a) image pre-processing by morphological theory; b) contextual analysis for performing the segmentation task; and c) regularization of the derived label field. The implemented processing scheme incorporates a further step for measuring the drift trajectory and a geometric characterization of the iceberg's shape.</t>
  </si>
  <si>
    <t>[Moctezuma-Flores, Miguel] Univ Nacl Autonoma Mexico, Fac Ingn, Dept Telecommun, Mexico City, Mexico; [Parmiggiani, Flavio] Inst Polar Sci CNR, Dept Earth Observat, Bologna, Italy; [Guerrieri, Lorenzo] Natl Inst Geophys &amp; Volcanol INGV, Dept Earth Observat, Rome, Italy; [Moctezuma-Flores, Miguel] Univ Nacl Autonoma Mexico, Fac Ingn, Dept Telecommun, Mexico City 04510, Mexico</t>
  </si>
  <si>
    <t>Universidad Nacional Autonoma de Mexico; Consiglio Nazionale delle Ricerche (CNR); Istituto di Scienze Polari (ISP-CNR); Istituto Nazionale Geofisica e Vulcanologia (INGV); Universidad Nacional Autonoma de Mexico</t>
  </si>
  <si>
    <t>Moctezuma-Flores, M (corresponding author), Univ Nacl Autonoma Mexico, Fac Ingn, Dept Telecommun, Mexico City 04510, Mexico.</t>
  </si>
  <si>
    <t>mmoctezuma@fi-b.unam.mx</t>
  </si>
  <si>
    <t>PARMIGGIANI, FLAVIO/0000-0001-7090-1291; Moctezuma-Flores, Miguel/0000-0002-6046-2421; Guerrieri, Lorenzo/0000-0003-1894-5048</t>
  </si>
  <si>
    <t>2150-704X</t>
  </si>
  <si>
    <t>2150-7058</t>
  </si>
  <si>
    <t>REMOTE SENS LETT</t>
  </si>
  <si>
    <t>Remote Sens. Lett.</t>
  </si>
  <si>
    <t>10.1080/2150704X.2022.2152292</t>
  </si>
  <si>
    <t>6Y2UT</t>
  </si>
  <si>
    <t>WOS:000896955900001</t>
  </si>
  <si>
    <t>C</t>
  </si>
  <si>
    <t>Xu, Z; Zhu, F; Zhang, XH</t>
  </si>
  <si>
    <t>El-Sheimy, N; Abdelbary, AA; El-Bendary, N; Mohasseb, Y</t>
  </si>
  <si>
    <t>Xu, Zhuo; Zhu, Feng; Zhang, Xiaohong</t>
  </si>
  <si>
    <t>STATE ESTIMATION IN MULTI-SENSOR FUSION NAVIGATION: EQUIVALENCE ANALYSIS ON FILTERING AND OPTIMIZATION</t>
  </si>
  <si>
    <t>GEOSPATIAL WEEK 2023, VOL. 48-1</t>
  </si>
  <si>
    <t>International Archives of the Photogrammetry, Remote Sensing and Spatial Information Sciences</t>
  </si>
  <si>
    <t>Proceedings Paper</t>
  </si>
  <si>
    <t>5th International-Society-for-Photogrammetry-and-Remote-Sensing (ISPRS) Geospatial Week (GSW)</t>
  </si>
  <si>
    <t>SEP 02-07, 2023</t>
  </si>
  <si>
    <t>Cairo, EGYPT</t>
  </si>
  <si>
    <t>Multi-Sensor Fusion; State Estimation; Extended Kalman Filter; Factor Graph Optimization; Visual Odometry</t>
  </si>
  <si>
    <t>KALMAN FILTER</t>
  </si>
  <si>
    <t>Integration of information from multi-sensor can provide navigation systems with reliable estimates of their own states, which overcomes shortage of standalone sensors. State estimation approaches, which can be categorized into filtering-based and optimization-based methods, provide the means to fuse information from various sensors with different principles to estimate the system's position, orientation, and other navigation parameters accurately. Recent researches have shown that optimization-based frameworks outperform filtering-based ones in terms of accuracy. However, both methods are based on maximum likelihood estimation (MLE) and, assuming Gaussian noise, should be theoretically equivalent. In this paper, we comprehensively and theoretically analyse the differences between the two methods, including algorithms and strategies. Our simulated experiments based on visual odometry (VO) indicate that filtering-based approaches are equal to optimization-based ones in accuracy when employing the same strategies and under the premise of the same measurements and observation model. Therefore, future research on sensor-fusion navigation problems should concentrate on strategies rather than state estimation methods.</t>
  </si>
  <si>
    <t>[Xu, Zhuo; Zhu, Feng] Wuhan Univ, Sch Geodesy &amp; Geomat, Wuhan 430079, Peoples R China; [Zhang, Xiaohong] Wuhan Univ, Chinese Antarctic Ctr Surveying &amp; Mapping, Wuhan 430079, Peoples R China</t>
  </si>
  <si>
    <t>Wuhan University; Wuhan University</t>
  </si>
  <si>
    <t>Zhu, F (corresponding author), Wuhan Univ, Sch Geodesy &amp; Geomat, Wuhan 430079, Peoples R China.</t>
  </si>
  <si>
    <t>zhuoxu@whu.edu.cn; fzhu@whu.edu.cn; xhzhang@sgg.whu.edu.cn</t>
  </si>
  <si>
    <t>BAHNHOFSALLE 1E, GOTTINGEN, 37081, GERMANY</t>
  </si>
  <si>
    <t>1682-1750</t>
  </si>
  <si>
    <t>2194-9034</t>
  </si>
  <si>
    <t>INT ARCH PHOTOGRAMM</t>
  </si>
  <si>
    <t>10.5194/isprs-archives-XLVIII-1-W2-2023-1161-2023</t>
  </si>
  <si>
    <t>Conference Proceedings Citation Index - Science (CPCI-S); Conference Proceedings Citation Index - Social Science &amp; Humanities (CPCI-SSH)</t>
  </si>
  <si>
    <t>BW6ZA</t>
  </si>
  <si>
    <t>WOS:001185682000159</t>
  </si>
  <si>
    <t>Zhang, Y; Zhu, F; Zhang, X</t>
  </si>
  <si>
    <t>Zhang, Y.; Zhu, F.; Zhang, X.</t>
  </si>
  <si>
    <t>IMPROVING GNSS POSITIONING RELIABILITY AND ACCURACY BASED ON FACTOR GRAPH OPTIMIZATION IN URBAN ENVIRONMENT</t>
  </si>
  <si>
    <t>Factor Graph Optimization; Single-differenced Model; Urban Environments; Outlier Detection; GNSS Positioning</t>
  </si>
  <si>
    <t>Global navigation satellite system (GNSS) can provide global, precise, and continuous positioning in open-sky environments. However, urban environments with frequent outliers and cycle slips degrade the traditional Extended Kalman Filter (EKF) positioning performance. The susceptibility of EKF to outliers is attributed to its inherent structure. To mitigate, the GNSS positioning based on the Factor Graph Optimization (FGO) structure is adopted. FGO can enhance time correlation among observations and enable the updating of historical information, thereby improving resistance against outliers. In this study, we proposed a single-differenced GNSS-FGO model instead of the double-differenced model to preserve the sparsity of FGO, and outlier detection and PAR methods are employed to ensure urban positioning performance. To evaluate the proposed structure, experiments are conducted in both urban and open-sky environments. The results demonstrate the improvement of positioning accuracy and reliability, compared to EKF.</t>
  </si>
  <si>
    <t>[Zhang, Y.; Zhu, F.] Wuhan Univ, Sch Geodesy &amp; Geomat, Wuhan 430079, Peoples R China; [Zhang, X.] Wuhan Univ, Chinese Antarctic Ctr Surveying &amp; Mapping, Wuhan 430079, Peoples R China</t>
  </si>
  <si>
    <t>officialtai@whu.edu.cn; fzhu@whu.edu.cn; xhzhang@sgg.whu.edu.cn</t>
  </si>
  <si>
    <t>Zhang, Yibo/GSE-6078-2022; Wang, Jingjing/B-7476-2016</t>
  </si>
  <si>
    <t>Zhang, Yibo/0000-0003-2773-4824; Wang, Jingjing/0000-0003-3170-8952; Chen, Kwang-Cheng/0000-0002-1024-6106</t>
  </si>
  <si>
    <t>10.5194/isprs-archives-XLVIII-1-W2-2023-1179-2023</t>
  </si>
  <si>
    <t>WOS:001185682000161</t>
  </si>
  <si>
    <t>Comiso, JC</t>
  </si>
  <si>
    <t>Comiso, Josefino C.</t>
  </si>
  <si>
    <t>CHANGING CLIMATE IN POLAR REGIONS FROM MICROWAVE AND INFRARED DATA</t>
  </si>
  <si>
    <t>climate change; polar regions; sea ice; temperature; trends</t>
  </si>
  <si>
    <t>SEA-ICE COVER; SURFACE; VARIABILITY; DECLINE; TRENDS</t>
  </si>
  <si>
    <t>This study reveals that the climate in the polar region may be experiencing a transition towards a different phase of change than what has been expected only a few decades ago. In the Arctic basin, the rapid decline in the perennial ice cover has been regarded as an important indicator of anthropogenic climate change with a high value of about 8 x 106 km(2) in 1980 and low value of only 3.4 x 10(6) km2 in 2012. Since 2012, however, the sea ice cover remained relatively low but did not change much suggesting a more stable perennial ice cover. On the other hand, the sea ice cover in the Antarctic has been reported as having a positive trend with a record high of more than 20 x 10(6) km(2) in 2014 but has been declining abruptly starting in 2015 with 2023 having record lows continuously every month including the current month of June 2023. Such phenomenon for both the Northern and Southern Hemispheres is intriguing and appears not to be very well correlated with observed changes in surface temperature as also derived from satellite data. These developments suggest a need to better understand the role of changes in other variables such the amount of freshwater, wind patterns, water circulation and tropospheric temperature as well as effects of ENSO and PDO on the observed changes and trends.</t>
  </si>
  <si>
    <t>[Comiso, Josefino C.] NASA, Goddard Space Flight Ctr, Greenbelt, MD 20771 USA; [Comiso, Josefino C.] Univ Philippines Diliman, Quezon City, Philippines</t>
  </si>
  <si>
    <t>National Aeronautics &amp; Space Administration (NASA); NASA Goddard Space Flight Center; University of the Philippines System; University of the Philippines Diliman</t>
  </si>
  <si>
    <t>Comiso, JC (corresponding author), NASA, Goddard Space Flight Ctr, Greenbelt, MD 20771 USA.;Comiso, JC (corresponding author), Univ Philippines Diliman, Quezon City, Philippines.</t>
  </si>
  <si>
    <t>josefino.c.comiso@nasa.gov</t>
  </si>
  <si>
    <t>10.5194/isprs-archives-XLVIII-1-W2-2023-1357-2023</t>
  </si>
  <si>
    <t>WOS:001185682000186</t>
  </si>
  <si>
    <t>B</t>
  </si>
  <si>
    <t>Hughes, KA; Convey, P</t>
  </si>
  <si>
    <t>Ziska, LH</t>
  </si>
  <si>
    <t>Hughes, Kevin A.; Convey, Peter</t>
  </si>
  <si>
    <t>Non-native Species in Antarctic Terrestrial Environments: How Climate Change and Increasing Human Activity Are Compounding the Threat of Invasion</t>
  </si>
  <si>
    <t>INVASIVE SPECIES AND GLOBAL CLIMATE CHANGE, 2 EDITION</t>
  </si>
  <si>
    <t>CABI Invasives Series</t>
  </si>
  <si>
    <t>Article; Book Chapter</t>
  </si>
  <si>
    <t>POA-ANNUA L.; BIOLOGICAL INVASIONS; MARITIME ANTARCTICA; ERETMOPTERA-MURPHYI; ARGENTINE ISLANDS; SPATIAL STRUCTURE; VASCULAR PLANTS; SOUTH SHETLAND; SIGNY ISLAND; SEED BANK</t>
  </si>
  <si>
    <t>Antarctic terrestrial biodiversity is simple compared with other regions of the Earth, with many higher taxonomic groups not represented owing to the continent's isolation, the severe climatic conditions and the relative scarcity of habitat suitable for colonization. So far, Antarctic biodiversity has been little affected by non-native species introductions owing to: (i) the late arrival of humans on the continent (c. 1820); (ii) the overall low intensity of human activity relative to other continents; and (iii) the concentration of most of that activity around a relatively limited number of research stations and tourist sites, particularly on and near to the Antarctic Peninsula and in the McMurdo region of Victoria Land. However, human activity is increasing, and Antarctica is increasingly vulnerable to both the human-mediated importation of non-native species and the redistribution of indigenous Antarctic species between biologically distinct areas within the continent. The Antarctic Peninsula warmed rapidly during the second half of the 20th century, and parts of the Antarctic continent are now starting to warm, with more widespread and substantial change expected over the next century. Consequently, terrestrial communities are increasingly vulnerable as climate change increases the risk of non-native species establishment and dispersal. In this chapter we describe the legislation and practices relating to non-native species in Antarctica, and present examples of non-native species that have already become established and details of the resulting management responses. We also discuss recent policy developments relating to non-native species within the Antarctic Treaty area, and suggest that more needs to be done by the national Antarctic programs to implement effective biosecurity practices and eradicate existing non-native colonists before fragile Antarctic communities are changed irreversibly.</t>
  </si>
  <si>
    <t>[Hughes, Kevin A.; Convey, Peter] British Antarctic Survey, Nat Environm Res Council, Cambridge, England; [Convey, Peter] Univ Johannesburg, Dept Zool, Johannesburg, South Africa</t>
  </si>
  <si>
    <t>UK Research &amp; Innovation (UKRI); Natural Environment Research Council (NERC); NERC British Antarctic Survey; University of Johannesburg</t>
  </si>
  <si>
    <t>Hughes, KA (corresponding author), British Antarctic Survey, Nat Environm Res Council, Cambridge, England.</t>
  </si>
  <si>
    <t>kehu@bas.ac.uk; pcon@bas.ac.uk</t>
  </si>
  <si>
    <t>Natural Environment Research Council; 'State of the Antarctic Ecosystem' (AntECO) research program of the SCAR; 'Integrated Science to inform Antarctic and Southern Ocean Conservation' (Ant-ICON) research program of the SCAR</t>
  </si>
  <si>
    <t>Natural Environment Research Council(UK Research &amp; Innovation (UKRI)Natural Environment Research Council (NERC)); 'State of the Antarctic Ecosystem' (AntECO) research program of the SCAR; 'Integrated Science to inform Antarctic and Southern Ocean Conservation' (Ant-ICON) research program of the SCAR</t>
  </si>
  <si>
    <t>This chapter contributes to the British Antarctic Survey (BAS) Polar Science for Planet Earth 'Biodiversity, Evolution and Adaptation' Team, the BAS Environment Office Long Term Monitoring and Survey project (EO-LTMS), which are supported by Natural Environment Research Council core funding, and the 'State of the Antarctic Ecosystem' (AntECO) and 'Integrated Science to inform Antarctic and Southern Ocean Conservation' (Ant-ICON) research programs of the SCAR.</t>
  </si>
  <si>
    <t>CABI PUBLISHING-C A B INT</t>
  </si>
  <si>
    <t>WALLINGFORD</t>
  </si>
  <si>
    <t>CABI PUBLISHING, WALLINGFORD 0X10 8DE, OXON, ENGLAND</t>
  </si>
  <si>
    <t>978-1-80062-144-2; 978-1-80062-143-5</t>
  </si>
  <si>
    <t>CABI INVASIVE SER</t>
  </si>
  <si>
    <t>10.1079/9781800621459.0006</t>
  </si>
  <si>
    <t>10.1079/9781800621459.0000</t>
  </si>
  <si>
    <t>Biodiversity Conservation; Ecology; Environmental Sciences; Public, Environmental &amp; Occupational Health</t>
  </si>
  <si>
    <t>Book Citation Index – Science (BKCI-S)</t>
  </si>
  <si>
    <t>Biodiversity &amp; Conservation; Environmental Sciences &amp; Ecology; Public, Environmental &amp; Occupational Health</t>
  </si>
  <si>
    <t>BW7CC</t>
  </si>
  <si>
    <t>WOS:001188587000006</t>
  </si>
  <si>
    <t>Król, P; Kusiak, MA; Dunkley, DJ; Whitehouse, MJ; Wilde, SA; Augland, LE</t>
  </si>
  <si>
    <t>Krol, Piotr; Kusiak, Monika A.; Dunkley, Daniel J.; Whitehouse, Martin J.; Wilde, Simon A.; Augland, Lars E.</t>
  </si>
  <si>
    <t>The record of geological processes in zircon from polymetamorphosed orthogneisses from the Napier Mountains, Napier Complex, East Antarctica</t>
  </si>
  <si>
    <t>JOURNAL OF MINERALOGICAL AND PETROLOGICAL SCIENCES</t>
  </si>
  <si>
    <t>Archean; Napier Complex; Zircon; U-Pb geochronology; Polymetamorphism</t>
  </si>
  <si>
    <t>ULTRAHIGH-TEMPERATURE METAMORPHISM; HIGH-GRADE METAMORPHISM; MT. RIISER-LARSEN; U-TH-PB; ENDERBY LAND; UHT METAMORPHISM; ORTHO-PYROXENE; ELEMENT GEOCHEMISTRY; TRACE-ELEMENT; ARCHEAN ROCKS</t>
  </si>
  <si>
    <t>The Napier Complex in Enderby Land and western Kemp Land is a unique component of the East Antarctic Shield because it records a timeline of crustal growth from the Eo- to Neoarchean. It is mainly composed of enderbitic and charnockitic gneisses and granulites that were metamorphosed at similar to 2.5 Ga, and locally at similar to 2.8 Ga, under high- to ultra-high-temperature conditions. Despite generating scientific interest for several decades, the geological history of the complex has not been well constrained. In this study, samples from the Napier Mountains were selected for zircon imaging and U-Pb dating by Secondary Ion Mass Spectrometry. They record metamorphic growth, recrystallization, and modification of zircon at 2800-2770, 2740-2720, and 2490-2460 Ma. For the first time, fluid-related alteration at around 2730 Ma is evident in a granitic gneiss from Grimsley Peaks. At the similar time, dioritic gneiss was formed at Mount Marr. Tonalitic and granitic gneisses from Grimsley Peaks yield protolith crystallization ages of around 3210 and 2825 Ma, respectively. The generation of granitic gneiss was coeval with similar to 2.8 Ga metamorphism in the area. These new data from this little-known part of the complex provide a better understanding of the crustal evolution of the Napier Complex.</t>
  </si>
  <si>
    <t>[Krol, Piotr; Kusiak, Monika A.; Dunkley, Daniel J.] Polish Acad Sci, Inst Geophys, PL-01452 Warsaw, Poland; [Whitehouse, Martin J.] Swedish Museum Nat Hist, Dept Geosci, S-11418 Stockholm, Sweden; [Wilde, Simon A.] Curtin Univ, Sch Earth &amp; Planetary Sci, Perth 6845, Australia; [Augland, Lars E.] Univ Oslo, Dept Geosci, N-0371 Oslo, Norway</t>
  </si>
  <si>
    <t>Polish Academy of Sciences; Institute of Geophysics of the Polish Academy of Sciences; Swedish Museum of Natural History; Curtin University; University of Oslo</t>
  </si>
  <si>
    <t>Król, P (corresponding author), Polish Acad Sci, Inst Geophys, PL-01452 Warsaw, Poland.</t>
  </si>
  <si>
    <t>piotr.krol@igf.edu.pl</t>
  </si>
  <si>
    <t>Whitehouse, Martin J/E-1425-2013; Kusiak, Monika A/B-7026-2015</t>
  </si>
  <si>
    <t>NCN [UMO2019/34/H/ST10/00619]; SYNTHESYS+ Project - European Community Research Infrastructure Action under the H2020 Integrating Activities Programme [823827]; Swedish Research Council [2017-00671]</t>
  </si>
  <si>
    <t>NCN; SYNTHESYS+ Project - European Community Research Infrastructure Action under the H2020 Integrating Activities Programme; Swedish Research Council(Swedish Research Council)</t>
  </si>
  <si>
    <t>This research was funded by NCN grants UMO2019/34/H/ST10/00619 to MAK and received support from the SYNTHESYS+ Project which is financed by European Community Research Infrastructure Action under the H2020 Integrating Activities Programme, Project number 823827 to PK. The NordSIMS facility operates as a Swedish Research Council funded national infrastructure (grant #2017-00671 at time of analysis); this is NordSIMS contribution 735. We thank Heejin Jeon and Kerstin Linden for technical assistance. Chris Carson and Alix Post are thanked for help, discussion, and especially for access to legacy samples stored at Geoscience Australia and collected by the Bureau of Mineral Resources during Australian National Antarctic Research Expeditions. We thank M. Guitreau and M. Takehara for their constructive comments and T. Hokada for editorial handling of the manuscript.</t>
  </si>
  <si>
    <t>JAPAN ASSOC MINERALOGICAL SCIENCES</t>
  </si>
  <si>
    <t>SENDAI</t>
  </si>
  <si>
    <t>C/O GRAD SCH SCIENCES, TOHOKU UNIV, AOBA, SENDAI, 980-8578, JAPAN</t>
  </si>
  <si>
    <t>1345-6296</t>
  </si>
  <si>
    <t>1349-3825</t>
  </si>
  <si>
    <t>J MINER PETROL SCI</t>
  </si>
  <si>
    <t>J. Mineral. Petrol. Sci.</t>
  </si>
  <si>
    <t>10.2465/jmps.230419</t>
  </si>
  <si>
    <t>Mineralogy</t>
  </si>
  <si>
    <t>W1AC9</t>
  </si>
  <si>
    <t>WOS:001089014300015</t>
  </si>
  <si>
    <t>Briton, F; Thébaud, O; Macher, C; Gardner, C; Little, LR</t>
  </si>
  <si>
    <t>Briton, Florence; Thebaud, Olivier; Macher, Claire; Gardner, Caleb; Little, Lorne Richard</t>
  </si>
  <si>
    <t>Managing biological, economic and social trade-offs in the Australian Southern and Eastern Scalefish and Shark Fishery</t>
  </si>
  <si>
    <t>MARINE AND FRESHWATER RESEARCH</t>
  </si>
  <si>
    <t>eco-viability analysis; fisheries management; metiers; mixed fisheries; multi-species fisheries; SESSF; simulation modelling; technical interactions; trade-off evaluation</t>
  </si>
  <si>
    <t>MIXED-FISHERIES; BIOECONOMIC MODEL; FOOD SECURITY; CO-VIABILITY; MANAGEMENT; CONSERVATION; ADVICE; MSY</t>
  </si>
  <si>
    <t>Context. Maximum sustainable yield and maximum economic yield are often advocated as desirable biological and economic objectives for fisheries management, and the analysis of tradeoffs associated is often absent from scientific advice. Aims. This work aims to demonstrate an operational approach for comparing trade-offs of not only biological, and economic objectives, but also social objectives, in this case for maintaining affordable fish prices for the Australian public. Methods. We use a simulation model of the multi-species, the Australian Southern and Eastern Scalefish and Shark Fishery, characterised by technical and economic interactions among harvested stocks, and apply an eco-viability approach to identify catch limits on two key species of the fishery (tiger flathead and pink ling). Key results. Several trade-offs are highlighted related to the distribution of benefits among vessel owners, fishing crews and consumers. Maximising the economic returns to vessel owners, which is the current management objective of the fishery, correspondingly reduces social benefits of providing employment as fishing crews and raises consumer prices. Conclusions. Maximising fishery profits as a management objective comes at a social cost for crew members and fish consumers. Implications. Analysing trade-offs with an ecoviability approach helps inform decisions regarding fisheries management, fully accounting for the different dimensions of biological, economic and social sustainability.</t>
  </si>
  <si>
    <t>[Briton, Florence; Thebaud, Olivier; Macher, Claire] Univ Bretagne Occidentale, Ifremer, CNRS, UMR 6308,AMURE,Unite Econ Maritime,IUEM, F-29280 Plouzane, France; [Briton, Florence] Univ Tasmania, Inst Marine &amp; Antarctic Studies, CSIRO UTAS Quantitat Marine Sci PhD Program, Hobart, Tas, Australia; [Briton, Florence] Univ Tasmania, Ctr Marine Socioecol, Hobart, Tas 7001, Australia; [Gardner, Caleb] Univ Tasmania, Inst Marine &amp; Antarctic Studies, Hobart, Tas 7001, Australia; [Little, Lorne Richard] CSIRO Environm, GPO Box 1538, Hobart, Tas 7001, Australia</t>
  </si>
  <si>
    <t>Ifremer; Universite de Bretagne Occidentale; Institut Universitaire Europeen de la Mer (IUEM); Centre National de la Recherche Scientifique (CNRS); CNRS - Institute of Ecology &amp; Environment (INEE); University of Tasmania; Commonwealth Scientific &amp; Industrial Research Organisation (CSIRO); University of Tasmania; University of Tasmania</t>
  </si>
  <si>
    <t>Little, LR (corresponding author), CSIRO Environm, GPO Box 1538, Hobart, Tas 7001, Australia.</t>
  </si>
  <si>
    <t>rich.litte@csiro.au</t>
  </si>
  <si>
    <t>Thebaud, Olivier/0000-0001-8665-3827; Macher, Claire/0000-0001-9307-6562</t>
  </si>
  <si>
    <t>CSIRO PUBLISHING</t>
  </si>
  <si>
    <t>CLAYTON</t>
  </si>
  <si>
    <t>UNIPARK, BLDG 1, LEVEL 1, 195 WELLINGTON RD, LOCKED BAG 10, CLAYTON, VIC 3168, AUSTRALIA</t>
  </si>
  <si>
    <t>1323-1650</t>
  </si>
  <si>
    <t>1448-6059</t>
  </si>
  <si>
    <t>MAR FRESHWATER RES</t>
  </si>
  <si>
    <t>Mar. Freshw. Res.</t>
  </si>
  <si>
    <t>10.1071/MF23024</t>
  </si>
  <si>
    <t>Fisheries; Limnology; Marine &amp; Freshwater Biology; Oceanography</t>
  </si>
  <si>
    <t>Fisheries; Marine &amp; Freshwater Biology; Oceanography</t>
  </si>
  <si>
    <t>LX0E2</t>
  </si>
  <si>
    <t>WOS:001189979200001</t>
  </si>
  <si>
    <t>Perina, V; Bartáková, J; Freitas, AP; Máca, J; Bartáková, S; Arantes, RME</t>
  </si>
  <si>
    <t>Perina, Vojtech; Bartakova, Julie; Freitas, A. Pires; Maca, Jan; Bartakova, Sonia; Arantes, Rosa Maria Esteves</t>
  </si>
  <si>
    <t>Analysis of dental care in Antarctic crews: Dental problems, case studies and treatments</t>
  </si>
  <si>
    <t>CZECH POLAR REPORTS</t>
  </si>
  <si>
    <t>Antarctic expeditions; dentistry; dental treatment; Mendel station</t>
  </si>
  <si>
    <t>EXPEDITION; REMOTE</t>
  </si>
  <si>
    <t>Dental issues are relatively common in Antarctic stations both during short -term and long-term expeditions. In overwintering crews, dental problems may reach 10-15% of overall medical cases. In the expeditions working only during the austral summer season, the proportion of dental problems is lower, typically not exceeding 5%. In our study, facilities available recently for dental care in Antarctica, considering seasonal - and year-round operated stations, are overviewed. Several case studies are reported in order to show the treatment of the most frequent dental problems that happen in Antarctica in short -term (seasonal) and long-term (overwintering) expeditions. Our study brings an analysis of dental cases reported by Czech Antarctic Program within 15 years (20082015) and the Brazilian Antarctic Program (2018-2023). New trends in dental care in Antarctica are discussed including telemedicine and integrated systems.</t>
  </si>
  <si>
    <t>[Perina, Vojtech] Masaryk Univ, Univ Hosp Brno Bohunice, Fac Med, Dept Oral &amp; Maxillofacial Surg, Brno, Czech Republic; [Bartakova, Julie; Bartakova, Sonia] Masaryk Univ, St Annes Univ Hosp, Dept Stomatol, Pekarska 664-53, Brno 60200, Czech Republic; [Bartakova, Julie; Bartakova, Sonia] Masaryk Univ, Fac Med, Pekarska 664-53, Brno 60200, Czech Republic; [Freitas, A. Pires] Brazilian Antarctic Program, Div Hlth, Rio De Janeiro, Brazil; [Maca, Jan] Univ Ostrava, Univ Hosp Ostrava, Dept Anesthesiol &amp; Intens Care Med, Fac Med, 17 Listopadu 1790-5, Ostrava 70852, Czech Republic; [Maca, Jan] Univ Ostrava, Fac Med, 17 Listopadu 1790-5, Ostrava 70852, Czech Republic; [Maca, Jan] Syllabova 19, Ostrava Zabreh 70300, Czech Republic; [Maca, Jan] Univ Ostrava, Inst Physiol &amp; Pathophysiol, Fac Med, Syllabova 19, Ostrava Zabreh 70300, Czech Republic; [Arantes, Rosa Maria Esteves] Univ Fed Minas Gerais, Inst Biol Sci, Dept Pathol, Belo Horizonte, Brazil</t>
  </si>
  <si>
    <t>University Hospital Brno; Masaryk University Brno; Masaryk University Brno; St Anne's University Hospital Brno (FNUSA-ICRC); Masaryk University Brno; University of Ostrava; University Hospital Ostrava; University of Ostrava; University of Ostrava; Universidade Federal de Minas Gerais</t>
  </si>
  <si>
    <t>Bartáková, J (corresponding author), Masaryk Univ, St Annes Univ Hosp, Dept Stomatol, Pekarska 664-53, Brno 60200, Czech Republic.;Bartáková, J (corresponding author), Masaryk Univ, Fac Med, Pekarska 664-53, Brno 60200, Czech Republic.</t>
  </si>
  <si>
    <t>MASARYK UNIV PRESS</t>
  </si>
  <si>
    <t>Brno</t>
  </si>
  <si>
    <t>Brno, CZECH REPUBLIC</t>
  </si>
  <si>
    <t>1805-0689</t>
  </si>
  <si>
    <t>1805-0697</t>
  </si>
  <si>
    <t>CZECH POLAR REP</t>
  </si>
  <si>
    <t>Czech Polar Rep.</t>
  </si>
  <si>
    <t>10.5817/CPR2023-2-13</t>
  </si>
  <si>
    <t>LN1J0</t>
  </si>
  <si>
    <t>WOS:001187386900008</t>
  </si>
  <si>
    <t>Demin, V; Ivanov, B; Karandasheva, T; Revina, A</t>
  </si>
  <si>
    <t>Demin, Valery; Ivanov, Boris; Karandasheva, Tatiana; Revina, Anastasiia</t>
  </si>
  <si>
    <t>Determining the breaking points of the trend in long-term changes of air temperature in Barentsburg (Svalbard)</t>
  </si>
  <si>
    <t>High Arctic; climate series; climate changes</t>
  </si>
  <si>
    <t>Changes in the average annual surface air temperature (SAT) in Barentsburg (Svalbard) for the period 1899-2022 are considered. The SAT increases at an average rate of 0.34 degrees C/10 years. The warming process is not continuous and consists of two periods of cooling and two periods of warming. Statistical methods have been used to establish the most probable position of the breaking points of the SAT trend: 1917, 1938, and 1968. The recent (modern) warming in the region began in the late 1960s, but since 1988, its intensity has doubled.</t>
  </si>
  <si>
    <t>[Demin, Valery] Polar Geophys Inst, Academ Gorodok St 26a, Apatity 184209, Russia; [Ivanov, Boris; Karandasheva, Tatiana; Revina, Anastasiia] Arctic &amp; Antarctic Res Inst, Bering Str 38, St Petersburg 199397, Russia; [Ivanov, Boris] St Petersburg State Univ, Univ Skaya Emb 7-9, St Petersburg 199034, Russia</t>
  </si>
  <si>
    <t>Russian Academy of Sciences; Polar Geophysical Institute; Arctic &amp; Antarctic Research Institute; Saint Petersburg State University</t>
  </si>
  <si>
    <t>Revina, A (corresponding author), Arctic &amp; Antarctic Res Inst, Bering Str 38, St Petersburg 199397, Russia.</t>
  </si>
  <si>
    <t>adrevina@aari.ru</t>
  </si>
  <si>
    <t>Russian- Norwegian Agreement in area of analysis of climate and sea ice data in the North part of Barents Sea; Ministry of Climate and Environment in Norway [RUS-19/0001]</t>
  </si>
  <si>
    <t>Russian- Norwegian Agreement in area of analysis of climate and sea ice data in the North part of Barents Sea; Ministry of Climate and Environment in Norway</t>
  </si>
  <si>
    <t>This work was carried out in accordance with the Roshydromet project Monitoring of the state and pollution of the environment, including the cryosphere, in the Arctic basin and in the areas of the research base Ice Base Cape Baranova, Tiksi Hydrometeorological Observatory and the Russian Science Center at Svalbard Archipelago. We are extremely grateful to the Norwegian Meteorological Institute because these studies were supported by Russian- Norwegian Agreement in area of analysis of climate and sea ice data in the North part of Barents Sea (2019-2020) , financed by the Ministry of Climate and Environment in Norway (RUS-19/0001) .</t>
  </si>
  <si>
    <t>10.5817/CPR2023-2-16</t>
  </si>
  <si>
    <t>WOS:001187386900006</t>
  </si>
  <si>
    <t>Rybalko, S; Poronnik, O; Myryuta, G; Balanda, A; Arkhypova, M; Starosyla, D; Deryabin, O; Puhovkin, A; Parnikoza, I; Kunakh, V</t>
  </si>
  <si>
    <t>Rybalko, Svitlana; Poronnik, Oksana; Myryuta, Ganna; Balanda, Anatoliy; Arkhypova, Maryna; Starosyla, Daria; Deryabin, Oleg; Puhovkin, Anton; Parnikoza, Ivan; Kunakh, Viktor</t>
  </si>
  <si>
    <t>Antiviral activity of Deschampsia antarctica plant extracts in vitro</t>
  </si>
  <si>
    <t>Deschampsia antarctica extracts; antiviral activity; polyphenolic compounds; flavonoids</t>
  </si>
  <si>
    <t>Main objective of research to study the D. antarctica extracts antiviral activity which was grown in vitro and propagated by cloning. The D. antarctica aqueous ethanolic extracts was tested on in vitro models of MDCK - Madin-Dar by Canine Kidney cells and PEK - Porcine Embryonic Kidney cells and influenza virus, A/FM/1/47(H1N1) strain and transmissible gastroenteritis virus - porcine coronavirus (TGEV). The antiviral activity of D. antarctica plant extracts (G/D9-1 genotype) on experimental models of influenza viruses and Coronavirus TGEV in vitro was conducted. D. antarctica plant extracts high antiviral activity on influenza viruses and Coronavirus TGEV in vitro was shown.</t>
  </si>
  <si>
    <t>[Rybalko, Svitlana; Arkhypova, Maryna; Starosyla, Daria; Deryabin, Oleg] NAMSU, LV Gromashevsky Inst Epidemiol &amp; Infect Dis, UA-03038 Kiev, Ukraine; [Poronnik, Oksana; Myryuta, Ganna; Balanda, Anatoliy; Parnikoza, Ivan; Kunakh, Viktor] Natl Acad Sci Ukraine, Inst Mol Biol &amp; Genet, UA-03143 Kiev, Ukraine; [Poronnik, Oksana; Myryuta, Ganna; Puhovkin, Anton; Parnikoza, Ivan] Minist Educ &amp; Sci Ukraine, State Inst Natl Antarctic Sci Ctr, UA-01601 Kiev, Ukraine; [Puhovkin, Anton] Masaryk Univ, Fac Sci, Dept Expt Biol, Kamenice 5,A13-119, Brno 62500, Czech Republic</t>
  </si>
  <si>
    <t>National Academy of Medical Sciences of Ukraine; L. V. Gromashevsky Institute of Epidemiology &amp; Infectious Diseases of the National Academy of Medical Sciences of Ukraine; National Academy of Sciences Ukraine; Institute of Molecular Biology &amp; Genetics of NASU; Ministry of Education &amp; Science of Ukraine; State Institution National Antarctic Scientific Center; Masaryk University Brno</t>
  </si>
  <si>
    <t>Poronnik, O (corresponding author), Natl Acad Sci Ukraine, Inst Mol Biol &amp; Genet, UA-03143 Kiev, Ukraine.;Poronnik, O (corresponding author), Minist Educ &amp; Sci Ukraine, State Inst Natl Antarctic Sci Ctr, UA-01601 Kiev, Ukraine.</t>
  </si>
  <si>
    <t>oksana_poronnik@ukr.net</t>
  </si>
  <si>
    <t>National Antarctic Science Centre of Ukraine; Armed Forces of Ukraine</t>
  </si>
  <si>
    <t>This research was funded by the National Antarctic Science Centre of Ukraine (State Targeted Scientific Programme of Research in the Antarctic for 2011-2025) . The authors express their gratitude to the Armed Forces of Ukraine, who make research and science possible in Ukraine every day, protecting us from the Russian invasion.</t>
  </si>
  <si>
    <t>10.5817/CPR2023-2-18</t>
  </si>
  <si>
    <t>WOS:001187386900005</t>
  </si>
  <si>
    <t>Recio-Blitz, C; Corcuera, MID; Machio, F; Rodriguez-Cielos, R; Navarro, F</t>
  </si>
  <si>
    <t>Recio-Blitz, Cayetana; Corcuera, Maria Isabel de; Machio, Francisco; Rodriguez-Cielos, Ricardo; Navarro, Francisco</t>
  </si>
  <si>
    <t>Response of the climatic mass balance of Hurd and Johnsons glaciers, Livingston Island, to the transient cooling period of the northern Antarctic Peninsula in the early 21st century</t>
  </si>
  <si>
    <t>Accumulation; ablation; Hurd Peninsula; South Shetland Islands</t>
  </si>
  <si>
    <t>BAHIA-DEL-DIABLO; VEGA ISLAND; MODEL; MELT</t>
  </si>
  <si>
    <t>We calculated and analysed the climatic mass balance of Hurd and Johnsons glaciers, Livingston Island, northern Antarctic Peninsula region, over the period 2002-2016. This period is nearly coincident with the transient period of sustained cooling occurred in the northern Antarctic Peninsula region in the early 21st century. A positive trend for the climatic mass balance of 0.5-0.6 m w.e. decade1 was observed, in parallel with a striking negative trend of the equilibrium line altitude of 100-200 m decade -1, and a positive trend of the accumulation area ratio of 3-6% decade -1. Other glaciers monitored in the South Shetland Islands and the periphery of the northernmost Antarctic Peninsula have shown a similar behavior, with the changes observed in the former being more marked.</t>
  </si>
  <si>
    <t>[Recio-Blitz, Cayetana] Univ Isabel I, Fac Ciencias Sociales &amp; Humanidades, Calle Fernan Gonzalez 76, Burgos 09003, Spain; [Recio-Blitz, Cayetana] Univ Camilo Jose Cela, Fac Educ, Calle Castillo Alarcon 49, Madrid 28692, Spain; [Corcuera, Maria Isabel de; Navarro, Francisco] Univ Politecn Madrid, Dept Matemat Aplicada TIC, ETSI Telecomunicac, Av Complutense 30, Madrid 28040, Spain; [Machio, Francisco] Univ Int La Rioja, Escuela Super Ingn &amp; Tecnol, Ave La Paz 137, Logrono 26006, Spain; [Rodriguez-Cielos, Ricardo] Univ Politecn Madrid, ETSI Telecomunicac, Dept Senales Sistemas &amp; Radiocomunicac, Av Complutense 30, Madrid 28040, Spain</t>
  </si>
  <si>
    <t>Camilo Jose Cela University; Universidad Politecnica de Madrid; Universidad Internacional de La Rioja (UNIR); Universidad Politecnica de Madrid</t>
  </si>
  <si>
    <t>Navarro, F (corresponding author), Univ Politecn Madrid, Dept Matemat Aplicada TIC, ETSI Telecomunicac, Av Complutense 30, Madrid 28040, Spain.</t>
  </si>
  <si>
    <t>francisco.navarro@upm.es</t>
  </si>
  <si>
    <t>MCIN/AEI/FEDER, UE [CTM2017-84441-R, PID2020-113051RB-C31]</t>
  </si>
  <si>
    <t>MCIN/AEI/FEDER, UE</t>
  </si>
  <si>
    <t>This research was funded by grants CTM2017-84441-R and PID2020-113051RB-C31 from MCIN/AEI/10.13039/501100011033/FEDER, UE.</t>
  </si>
  <si>
    <t>10.5817/CPR2023-2-19</t>
  </si>
  <si>
    <t>WOS:001187386900009</t>
  </si>
  <si>
    <t>Tichopád, D; Láska, K; Cízková, K; Petkov, BH</t>
  </si>
  <si>
    <t>Tichopad, David; Laska, Kamil; Cizkova, Klara; Petkov, Boyan H.</t>
  </si>
  <si>
    <t>Springtime evolution of stratospheric ozone and circulation patterns over Svalbard archipelago in 2019 and 2020</t>
  </si>
  <si>
    <t>stratospheric ozone; stratospheric circulation; polar vortex; Svalbard archipelago</t>
  </si>
  <si>
    <t>ARCTIC OZONE; POLAR VORTEX; DEPLETION; CHEMISTRY; RECOVERY</t>
  </si>
  <si>
    <t>The polar vortex was exceptionally intense and persistent in late winter and spring 2020. The unusually cold lower stratosphere subsequently enabled ozone depletion over the Arctic. The behaviour of ozone layer and stratospheric parameters at the Ny-angstrom lesund station in the late winter and spring 2019 and 2020 were compared to each other by using reanalysed data, ground- and satellite -based observations and radiosonde measurement. The analyses based on the above -mentioned approaches confirmed a close relationship between ozone depletion and stratospheric circulation in 2020, when a strong polar vortex was observed, while in the case of the much weaker 2019 polar vortex such a relationship was insignificant. The deepest ozone decrease was found to occur at the end of March and in the first half of April 2020 at the 100-40 hPa pressure levels.</t>
  </si>
  <si>
    <t>[Tichopad, David; Laska, Kamil; Cizkova, Klara] Masaryk Univ, Fac Sci, Dept Geog, Kotlarska 2, Brno 61137, Czech Republic; [Cizkova, Klara] Czech Hydrometeorol Inst, Solar &amp; Ozone Observ, Hradec Kralove 50008, Czech Republic; [Petkov, Boyan H.] Univ G dAnnunzio, Dept Adv Technol Med &amp; Dent, Chieti Pescara, Italy; [Petkov, Boyan H.] Inst Polar Sci, Natl Res Council, Bologna, Italy</t>
  </si>
  <si>
    <t>Masaryk University Brno; Czech Hydrometeorological Institute; G d'Annunzio University of Chieti-Pescara; Consiglio Nazionale delle Ricerche (CNR); Istituto di Scienze Polari (ISP-CNR)</t>
  </si>
  <si>
    <t>Tichopád, D (corresponding author), Masaryk Univ, Fac Sci, Dept Geog, Kotlarska 2, Brno 61137, Czech Republic.</t>
  </si>
  <si>
    <t>david.tichopad@mail.muni.cz</t>
  </si>
  <si>
    <t>Ministry of Education; Masaryk University [MUNI/A/1469/2023]</t>
  </si>
  <si>
    <t>Ministry of Education; Masaryk University</t>
  </si>
  <si>
    <t>This research was funded by the projects 'Czech Antarctic Research Programme 2023', Ministry of Education, and the project of Masaryk University 'MUNI/A/1469/2023'. The authors would also like to acknowledge the NASA Global Modeling and Assimilation Office for providing the MERRA-2 total ozone column and potential vorticity data reanalysis, and the European Centre for Medium-Range Weather Forecasts (ECMWF) for supplying data on stratospheric ozone mass mixing ratio, temperature, geopotential height, and potential vorticity. Additionally, the authors extend their acknowledgment to the Network for the Detection of Atmospheric Composition Change (NDACC) for providing data on the vertical distribution of ozone at the Ny-Alesund station and Tropospheric Emission Monitoring Internet Service (TEMIS) for satellite measurements data of total ozone column at Ny-Alesund. The authors thank an anonymous reviewer for constructive and useful comments.</t>
  </si>
  <si>
    <t>10.5817/CPR2023-2-21</t>
  </si>
  <si>
    <t>WOS:001187386900004</t>
  </si>
  <si>
    <t>Bolshunov, AV; Vasilev, DA; Dmitriev, AN; Ignatev, SA; Kadochnikov, VG; Krikun, NS; Serbin, DV; Shadrin, VS</t>
  </si>
  <si>
    <t>Bolshunov, Aleksei V.; Vasilev, Dmitrii A.; Dmitriev, Andrei N.; Ignatev, Sergei A.; Kadochnikov, Vyacheslav G.; Krikun, Nikita S.; Serbin, Danil V.; Shadrin, Vyacheslav S.</t>
  </si>
  <si>
    <t>Results of complex experimental studies at Vostok station in Antarctica</t>
  </si>
  <si>
    <t>JOURNAL OF MINING INSTITUTE</t>
  </si>
  <si>
    <t>Antarctica; Vostok station; ice cover; drilling; research works; interdisciplinary connections</t>
  </si>
  <si>
    <t>ICE; DRILL</t>
  </si>
  <si>
    <t>Scientific research in the area close to the Russian Antarctic station Vostok has been carried out since its founding on December 16, 1957. The relevance of work to study the region is steadily increasing, which is confirmed by the Strategy for the Development of Activities of the Russian Federation in the Antarctica until 2030. As part of the Strategy implementation, Saint Petersburg Mining University solves the comprehensive study issues of the Vostok station area, including the subglacial Lake Vostok, related to the development of modern technologies and technical means for drilling glaciers and underlying rocks, opening subglacial reservoirs, sampling water and bottom sediments, as well as carrying out comprehensive geological and geophysical research. For the successful implementation of the Strategy, at each stage of the work it is necessary to identify and develop interdisciplinary connections while complying with the requirements for minimizing the impact on the environment. During the season of the 68th Russian Antarctic Expedition, the staff of the Mining University, along with the current research works, began research of the dynamic interactions between the forces of the Earth, from the deepest depths to the surface glacier. Drilling and research programs have been completed. The drilling program was implemented jointly with colleagues from the Arctic and Antarctic Research Institute at the drilling complex of the 5G well. The research program included: shallow seismic studies, core drilling of snow-firn strata, study of the snow-firn strata petrostructural features, studies of cuttings collection filters effectiveness when drilling snow-firn strata and the process of ice destruction in a reciprocating rotational method, bench testing of an acoustic scanner. As a result of drilling in 5G well at the depth range of 3453.37-3534.43 m, an ice core more than 1 million years old was obtained. The research work implemented an interdisciplinary approach to the study of snow-firn strata, which made it possible to analyze the reliability of the results achieved by different methods. The data necessary for the development of new technologies for drilling glaciers were obtained.</t>
  </si>
  <si>
    <t>[Bolshunov, Aleksei V.; Vasilev, Dmitrii A.; Dmitriev, Andrei N.; Ignatev, Sergei A.; Kadochnikov, Vyacheslav G.; Krikun, Nikita S.; Serbin, Danil V.; Shadrin, Vyacheslav S.] Empress Catherine II St Petersburg Min Univ, St Petersburg, Russia</t>
  </si>
  <si>
    <t>Vasilev, DA (corresponding author), Empress Catherine II St Petersburg Min Univ, St Petersburg, Russia.</t>
  </si>
  <si>
    <t>Vasilev_DA@pers.spmi.ru</t>
  </si>
  <si>
    <t>[2023 N FSRW-2021-0011]</t>
  </si>
  <si>
    <t>The research was carried out with the help of a subsidy for the implementation of the state task in the field of scientific activity for 2023 N FSRW-2021-0011.</t>
  </si>
  <si>
    <t>SAINT-PETERSBURG MINING UNIV</t>
  </si>
  <si>
    <t>SANKT-PETERSBURG</t>
  </si>
  <si>
    <t>SAINT-PETERSBURG MINING UNIV, SANKT-PETERSBURG, 00000, RUSSIA</t>
  </si>
  <si>
    <t>2411-3336</t>
  </si>
  <si>
    <t>2541-9404</t>
  </si>
  <si>
    <t>J MIN INST</t>
  </si>
  <si>
    <t>J. Min. Inst.</t>
  </si>
  <si>
    <t>Mining &amp; Mineral Processing</t>
  </si>
  <si>
    <t>IX5N9</t>
  </si>
  <si>
    <t>WOS:001169653200007</t>
  </si>
  <si>
    <t>de Piccoli, L</t>
  </si>
  <si>
    <t>de Piccoli, Lorenzo</t>
  </si>
  <si>
    <t>LESSONS FROM ANTARCTICA. FOR AN ECOLOGY OF THE SOLAR SYSTEM</t>
  </si>
  <si>
    <t>S&amp;F-SCIENZAEFILOSOFIA IT</t>
  </si>
  <si>
    <t>Italian</t>
  </si>
  <si>
    <t>It seems plausible that the near future will see an ever greater expansion of human presence in several environments of the Solar System, such as the Moon and the planet Mars. This expansion will have multiple goals, of a scientific, exploitativecommercial, and perhaps military nature. This raises a series of ethical question, made even more pressing by the possibility that some of the extraterrestrial environments affected by human activities may host indigenous life forms. This article is meant to underline parallels and divergences of a future, hypothetical expansion of humanity in space with a process in many ways similar: human expansion in Antarctica. We intend to schematically describe the Antarctic model, i.e. the approach adopted so far by mankind as a whole towards the continent, highlighting its collective ethical, ecological and sociopolitical commitments and implications. Finally, on the basis of ideas taken from the literature on the philosophy of ecology, we will attempt to outline an  ecological mentality that can be applied to the ethical problems relating to interaction with an extraterrestrial environment, be it entirely devoid of life or hosting a native biosphere.</t>
  </si>
  <si>
    <t>[de Piccoli, Lorenzo] Univ Firenze, Filosofia Sci, Florence, Italy</t>
  </si>
  <si>
    <t>University of Florence</t>
  </si>
  <si>
    <t>de Piccoli, L (corresponding author), Univ Firenze, Filosofia Sci, Florence, Italy.</t>
  </si>
  <si>
    <t>lorenzo.depiccoli@edu.unifi.it</t>
  </si>
  <si>
    <t>S&amp;F SCIENZAEFILOSOFIA IT</t>
  </si>
  <si>
    <t>SAN MARCO DEI CAVOTI</t>
  </si>
  <si>
    <t>S&amp;F SCIENZAEFILOFOSIA IT, SAN MARCO DEI CAVOTI, 00000, ITALY</t>
  </si>
  <si>
    <t>2036-2927</t>
  </si>
  <si>
    <t>S F-SCIENZAEFILOSOFI</t>
  </si>
  <si>
    <t>S F-Scienzaefilogosia it</t>
  </si>
  <si>
    <t>History &amp; Philosophy Of Science</t>
  </si>
  <si>
    <t>History &amp; Philosophy of Science</t>
  </si>
  <si>
    <t>IQ0U5</t>
  </si>
  <si>
    <t>WOS:001167685300004</t>
  </si>
  <si>
    <t>Slama, A; Fkiri, S; Mezni, F; Stiti, B; Salcedo-Castro, J; Touhami, I; Khammassi, M; Khaldi, A; Nasr, Z</t>
  </si>
  <si>
    <t>Slama, Awatef; Fkiri, Sondes; Mezni, Faten; Stiti, Boutheina; Salcedo-Castro, Julio; Touhami, Issam; Khammassi, Marwa; Khaldi, Abdelhamid; Nasr, Zouheir</t>
  </si>
  <si>
    <t>Effect of mycorrhization on growth and physiology performance of Quercus species</t>
  </si>
  <si>
    <t>NOTULAE BOTANICAE HORTI AGROBOTANICI CLUJ-NAPOCA</t>
  </si>
  <si>
    <t>biomass; carbon assimilation; climate change; inoculation; Mediterranean region; Quercus; sp.; Terfezia boudieri</t>
  </si>
  <si>
    <t>PHOTOSYNTHESIS; COLONIZATION; SEEDLINGS; BIOMASS; STRESS; ROOTS; FUNGI</t>
  </si>
  <si>
    <t>The development of mycorrhiza could contribute to strengthening the resilience of forest ecosystems to climate change. Several mycorrhizal fungi are known for their valuable effect in increasing plant performances and adaptation to stressful environmental conditions. Thereby, this research aims to investigate how Terfezia boudieri (Chatin) mycorrhizal fungi affects the growth (primary root length, above-ground plant weight) and the physiological behaviour (net photosynthesis, responses to intercellular [CO2] and the intensity of photosyntically active radiation) of Quercus subsp. coccifera and Q. suber L. Inoculated and non-inoculated seedlings of the two Quercus species were grown in one-liter pots in the greenhouse, with a temperature that ranged from 25 to 30 degrees C, natural lighting and an irrigation applied twice a week with top water. Results revealed that primary root length and the above-ground biomass increased with mycorrhization. In addition, mycorrhization promoted net photosynthesis (at 400 ppm and at saturation point), the apparent quantum yield, the water use efficiency, and the photosynthetic pigments contents. However, inoculation decreased the light compensation point for both species. Effectiveness of T. boudieri inoculation on Quercus sp. performance, highlights the potential of the mycorrhization process to improve forest management and resilience to climate change.</t>
  </si>
  <si>
    <t>[Slama, Awatef; Fkiri, Sondes; Mezni, Faten; Stiti, Boutheina; Touhami, Issam; Khammassi, Marwa; Khaldi, Abdelhamid; Nasr, Zouheir] Univ Carthage, Natl Res Inst Rural Engn Water &amp; Forests INRGREF, Lab Management &amp; Valorizat Forest Resources, Ariana 2080, Tunisia; [Salcedo-Castro, Julio] Univ Tasmania, Inst Marine &amp; Antarctic Studies, Hobart, Tas, Australia</t>
  </si>
  <si>
    <t>Universite de Carthage; University of Tasmania</t>
  </si>
  <si>
    <t>Slama, A (corresponding author), Univ Carthage, Natl Res Inst Rural Engn Water &amp; Forests INRGREF, Lab Management &amp; Valorizat Forest Resources, Ariana 2080, Tunisia.</t>
  </si>
  <si>
    <t>slamaawatef@yahoo.fr; sondesfkiri@gmail.com; faten-mez@hotmail.com; stiti_b@yahoo.fr; julio.salcedocastro@qut.edu.au; issam_touhami@yahoo.fr; khammassi_marwa@yahoo.fr; khalditn@yahoo.fr; zouheirnasr84@gmail.com</t>
  </si>
  <si>
    <t>TOUHAMI, ISSAM/ABG-6549-2021</t>
  </si>
  <si>
    <t>TOUHAMI, ISSAM/0000-0002-2408-8161</t>
  </si>
  <si>
    <t>National Research Institute for Rural Engineering, Waters, and Forestry-INRGREF; Partnership for Research and Innovation in the Mediterranean Area (PRIMA); National Funding Agencies (PRIMA Call 2019, Section 2-29)</t>
  </si>
  <si>
    <t>This research was supported by the National Research Institute for Rural Engineering, Waters, and Forestry-INRGREF. Laboratory of Management and Valorization of Forest Resources, Tunisia. This research was developed within the framework of the WILDFOOD Project Eating the Wild: Improving the ValueChain of Mediterranean Wild Food Products funded by the Partnership for Research and Innovation in the Mediterranean Area (PRIMA) and the National Funding Agencies (PRIMA Call 2019, Section 2-29). Authors are thankful for anonymous reviewers for their valuable evaluation of this article.</t>
  </si>
  <si>
    <t>UNIV AGR SCI &amp; VETERINARY MED CLUJ-NAPOCA</t>
  </si>
  <si>
    <t>CLUJ-NAPOCA</t>
  </si>
  <si>
    <t>3-5 MANASTUR ST, CLUJ-NAPOCA, 400372, ROMANIA</t>
  </si>
  <si>
    <t>0255-965X</t>
  </si>
  <si>
    <t>1842-4309</t>
  </si>
  <si>
    <t>NOT BOT HORTI AGROBO</t>
  </si>
  <si>
    <t>Not. Bot. Horti Agrobot. Cluj-Na.</t>
  </si>
  <si>
    <t>10.15835/nbha51413290</t>
  </si>
  <si>
    <t>IL2U5</t>
  </si>
  <si>
    <t>WOS:001166423300014</t>
  </si>
  <si>
    <t>Kaundinya, S; Taylor, L; Sarkar, UD; Occhiogrosso, V; Mai, H; Hoffman, A; Christianson, K; Paden, J; Paden, A; Rodriguez-Morales, F</t>
  </si>
  <si>
    <t>IEEE</t>
  </si>
  <si>
    <t>Kaundinya, S.; Taylor, L.; Sarkar, U. Dey; Occhiogrosso, V.; Mai, H.; Hoffman, A.; Christianson, K.; Paden, J.; Paden, A.; Rodriguez-Morales, F.</t>
  </si>
  <si>
    <t>UWB UHF DUAL-POLARIZATION ICE-PENETRATING RADAR: DEVELOPMENT AND ANTARCTIC FIELD TEST</t>
  </si>
  <si>
    <t>IGARSS 2023 - 2023 IEEE INTERNATIONAL GEOSCIENCE AND REMOTE SENSING SYMPOSIUM</t>
  </si>
  <si>
    <t>IEEE International Symposium on Geoscience and Remote Sensing IGARSS</t>
  </si>
  <si>
    <t>IEEE International Geoscience and Remote Sensing Symposium (IGARSS)</t>
  </si>
  <si>
    <t>JUL 16-21, 2023</t>
  </si>
  <si>
    <t>Pasadena, CA</t>
  </si>
  <si>
    <t>Radar; radioglaciology; UHF; polarimetric; antenna array</t>
  </si>
  <si>
    <t>We present the design and field test results for a 600 to 900 MHz polarimetric ice penetrating radar that can be operated on the ground or from an airborne platform. This system is part of a development to build a dual band (VHF/UHF) polarimetric ice sounding radar suite. The VHF radar operates over 140-215 MHz and is essentially a modified version of the multi-channel 3D imaging system reported in [1]. The UHF radar, the focus of this work, is an adaptation of the CReSIS Accumulation Radar, which operates from 600 to 900 MHz [2]. The radar system uses a custom-designed, dual-polarized 4x4 antenna array with increased peak and average transmit power levels, which together provide additional sensitivity with respect to prior system renditions. The UHF radar incorporates a new receiver [3] that uses controlled analog compression via RF limiters to increase the instantaneous dynamic range. We designed the instrument setup to be towed by snowmobiles and operated at nominal speeds of 4 to 8 m/s. The relatively slow motion helps improve SNR through an increase in coherent averaging due to the longer dwell time. Although the focus of the field test is on ground-based work, the electronics are designed to also support airborne operation.</t>
  </si>
  <si>
    <t>[Kaundinya, S.; Taylor, L.; Sarkar, U. Dey; Occhiogrosso, V.; Mai, H.; Paden, J.; Paden, A.; Rodriguez-Morales, F.] Univ Kansas, Ctr Remote Sensing &amp; Integrated, Lawrence, KS 66045 USA; [Hoffman, A.; Christianson, K.] Univ Washington, Dept Earth &amp; Space Sci, Seattle, WA 98195 USA</t>
  </si>
  <si>
    <t>University of Kansas; University of Washington; University of Washington Seattle</t>
  </si>
  <si>
    <t>Kaundinya, S (corresponding author), Univ Kansas, Ctr Remote Sensing &amp; Integrated, Lawrence, KS 66045 USA.</t>
  </si>
  <si>
    <t>345 E 47TH ST, NEW YORK, NY 10017 USA</t>
  </si>
  <si>
    <t>2153-6996</t>
  </si>
  <si>
    <t>979-8-3503-2010-7</t>
  </si>
  <si>
    <t>INT GEOSCI REMOTE SE</t>
  </si>
  <si>
    <t>10.1109/IGARSS52108.2023.10282578</t>
  </si>
  <si>
    <t>Geosciences, Multidisciplinary; Instruments &amp; Instrumentation; Remote Sensing</t>
  </si>
  <si>
    <t>Conference Proceedings Citation Index - Science (CPCI-S)</t>
  </si>
  <si>
    <t>Geology; Instruments &amp; Instrumentation; Remote Sensing</t>
  </si>
  <si>
    <t>BW0PF</t>
  </si>
  <si>
    <t>WOS:001098971600014</t>
  </si>
  <si>
    <t>Spirakis, A; Hepworth, J; Verrinder, R</t>
  </si>
  <si>
    <t>Spirakis, Agoritsa; Hepworth, James; Verrinder, Robyn</t>
  </si>
  <si>
    <t>3D RECONSTRUCTION OF PANCAKE SEA ICE USING LIDAR AND CAMERAS</t>
  </si>
  <si>
    <t>Pancake ice; 3D Reconstruction; LiDAR; Cameras</t>
  </si>
  <si>
    <t>OCEAN</t>
  </si>
  <si>
    <t>This paper presents a preliminary investigation into the 3D reconstruction of pancake sea ice using a multi-sensor approach with LiDAR (Livox Avia) and depth cameras (Intel Realsense D455). Pancake sea ice is a type of ice formed in the dynamic region of the Antarctic Marginal Ice Zone (MIZ). Current models simplify the pancake floe geometry, neglecting the effects ice floe geometry has on the mobility of the sea ice. A series of scans were taken on the SCALE Winter 2022 expedition where a static approach was explored using the customised multi-sensor imaging rig. A pipeline for processing the data using the advantages of a multi-sensor system was explored. Statistical data using established methods in literature resulted in centimetre level roughness measurements. A discussion of the validation and limitations of the sensors is presented.</t>
  </si>
  <si>
    <t>[Spirakis, Agoritsa; Hepworth, James; Verrinder, Robyn] Univ Cape Town, Marine &amp; Antarctic Res Ctr Innovat &amp; Sustainabil, ZA-7700 Cape Town, South Africa; [Spirakis, Agoritsa; Verrinder, Robyn] Univ Cape Town, Dept Elect Engn, ZA-7700 Cape Town, South Africa; [Hepworth, James] Univ Cape Town, Dept Mech Engn, ZA-7700 Cape Town, South Africa</t>
  </si>
  <si>
    <t>University of Cape Town; University of Cape Town; University of Cape Town</t>
  </si>
  <si>
    <t>Verrinder, R (corresponding author), Univ Cape Town, Marine &amp; Antarctic Res Ctr Innovat &amp; Sustainabil, ZA-7700 Cape Town, South Africa.;Verrinder, R (corresponding author), Univ Cape Town, Dept Elect Engn, ZA-7700 Cape Town, South Africa.</t>
  </si>
  <si>
    <t>National Research Foundation of South Africa [136476]</t>
  </si>
  <si>
    <t>National Research Foundation of South Africa(National Research Foundation - South Africa)</t>
  </si>
  <si>
    <t>This work is based on the research supported wholly by the National Research Foundation of South Africa (Grant Number: 136476)</t>
  </si>
  <si>
    <t>10.1109/IGARSS52108.2023.10282250</t>
  </si>
  <si>
    <t>WOS:001098971600017</t>
  </si>
  <si>
    <t>Istomina, L; Heygster, G; Enomoto, H; Ushio, S; Tamura, T; Spreen, G; Haas, C</t>
  </si>
  <si>
    <t>Istomina, Larysa; Heygster, Georg; Enomoto, Hiroyuki; Ushio, Shuki; Tamura, Takeshi; Spreen, Gunnar; Haas, Christian</t>
  </si>
  <si>
    <t>SURFACE MELT INDUCED INACCURACIES IN THE ANTARCTIC SEA ICE CONCENTRATION INFERRED FROM OPTICAL AND PASSIVE MICROWAVE REMOTE SENSING DATA</t>
  </si>
  <si>
    <t>Antarctica; sea ice; surface melt; optical retrieval; passive microwave</t>
  </si>
  <si>
    <t>POND FRACTION; ALBEDO; ALGORITHMS</t>
  </si>
  <si>
    <t>Antarctic sea ice is generally considered to be free from surface melt, as opposed to the Arctic sea ice where surface melt is prevalent during summer. In this work, we present recent high-resolution Sentinel-2 images which confirm the presence of melt ponds also on the Antarctic sea ice. We employ an optical melt pond fraction retrieval applied to Sentinel-3 data to investigate occurrences of surface melt in the vicinity of Lutzow-Holm Bay where sea ice ponding has been confirmed in situ. Sea ice surface melt has the potential to disrupt passive microwave sea ice concentration product. We focus on an area of land fast ice with confirmed 100% ice concentration to highlight this effect on real data.</t>
  </si>
  <si>
    <t>[Istomina, Larysa; Haas, Christian] Alfred Wegener Inst Polar &amp; Marine Res, Bremerhaven, Germany; [Istomina, Larysa; Heygster, Georg; Spreen, Gunnar] Univ Bremen, Inst Environm Phys, Bremen, Germany; [Enomoto, Hiroyuki; Ushio, Shuki; Tamura, Takeshi] Natl Inst Polar Res, Tokyo, Japan</t>
  </si>
  <si>
    <t>Helmholtz Association; Alfred Wegener Institute, Helmholtz Centre for Polar &amp; Marine Research; University of Bremen; Research Organization of Information &amp; Systems (ROIS); National Institute of Polar Research (NIPR) - Japan</t>
  </si>
  <si>
    <t>Istomina, L (corresponding author), Alfred Wegener Inst Polar &amp; Marine Res, Bremerhaven, Germany.</t>
  </si>
  <si>
    <t>Spreen, Gunnar/A-4533-2010</t>
  </si>
  <si>
    <t>Spreen, Gunnar/0000-0003-0165-8448</t>
  </si>
  <si>
    <t>German Research Foundation (Deutsche Forschungsgemeinschaft) [SPP 1158, 424326801]</t>
  </si>
  <si>
    <t>German Research Foundation (Deutsche Forschungsgemeinschaft)(German Research Foundation (DFG))</t>
  </si>
  <si>
    <t>This research has been supported by the German Research Foundation (Deutsche Forschungsgemeinschaft), Priority Program Antarctic research, SPP 1158 project REASSESS, grant no. 424326801.</t>
  </si>
  <si>
    <t>10.1109/IGARSS52108.2023.10282889</t>
  </si>
  <si>
    <t>WOS:001098971600019</t>
  </si>
  <si>
    <t>Istomina, L; Niehaus, H; Heygster, G; Spreen, G</t>
  </si>
  <si>
    <t>Istomina, Larysa; Niehaus, Hannah; Heygster, Georg; Spreen, Gunnar</t>
  </si>
  <si>
    <t>ANALYSIS OF THE ANTARCTIC SEA ICE OPTICAL PROPERTIES USING HIGH RESOLUTION SATELLITE IMAGERY</t>
  </si>
  <si>
    <t>Antarctica; sea ice; optical remote sensing; Sentinel-2; yellow substance</t>
  </si>
  <si>
    <t>MELT POND FRACTION; SEASONAL EVOLUTION; SUPRAGLACIAL LAKES; SURFACE ALBEDO; AVHRR; VALIDATION; FEEDBACK</t>
  </si>
  <si>
    <t>Understanding the Antarctic sea ice optical properties is the key to the accurate assessment of the radiative balance of the region. Although high resolution optical satellite data have recently become more available also over sea ice, most Antarctic remote sensing research is dedicated to land ice and glaciers, with sea ice classification studies still lacking. In the context of recent change with the two last years 2022 and 2023 showing record low Antarctic sea ice extent, high resolution sea ice optical properties are key to understanding the Antarctic sea ice evolution. In this work, we present high resolution surface classification based on the remote sensing Sentinel-2 MSI data. We retrieve sea ice albedo, fraction of blue ice and impurities. A case study scene features variable sea ice albedo, where pure sea ice alternates with darker sea ice featuring yellow substance contamination and potential surface melt.</t>
  </si>
  <si>
    <t>[Istomina, Larysa] Alfred Wegener Inst Polar &amp; Marine Res, Bremerhaven, Germany; [Istomina, Larysa; Niehaus, Hannah; Heygster, Georg; Spreen, Gunnar] Univ Bremen, Inst Environm Phys, Bremen, Germany</t>
  </si>
  <si>
    <t>Helmholtz Association; Alfred Wegener Institute, Helmholtz Centre for Polar &amp; Marine Research; University of Bremen</t>
  </si>
  <si>
    <t>Istomina, L (corresponding author), Alfred Wegener Inst Polar &amp; Marine Res, Bremerhaven, Germany.;Istomina, L (corresponding author), Univ Bremen, Inst Environm Phys, Bremen, Germany.</t>
  </si>
  <si>
    <t>10.1109/IGARSS52108.2023.10283195</t>
  </si>
  <si>
    <t>WOS:001098971600022</t>
  </si>
  <si>
    <t>Ye, F; Cheng, Q; Hao, WF; Yu, DY</t>
  </si>
  <si>
    <t>Ye, Fan; Cheng, Qing; Hao, Weifeng; Yu, Dayu</t>
  </si>
  <si>
    <t>GREENLAND DAILY NDSI DATA RECONSTRUCTION BASED ON SPATIO-TEMPORAL EXTREME GRADIENT BOOSTING MODEL</t>
  </si>
  <si>
    <t>Data reconstruction; normalized difference snow index (NDSI); extreme gradient boosting (XGBoost); snow cover</t>
  </si>
  <si>
    <t>MODIS; SNOW</t>
  </si>
  <si>
    <t>The distribution of snow in Greenland has important effects on the energy balance and climate change in the Arctic. The spatio-temporally continuous data of normalized difference snow index (NDSI) are key to understanding the mechanisms of snow occurrence and development as well as the patterns of snow distribution changes. However, frequent clouds in the Arctic region lead to a large number of missing pixels in the MODIS NDSI daily data. In order to generate the complete NDSI dataset, this paper proposes a spatio-temporal Extreme Gradient Boosting model. Various independent variables, including topographic, geometry-related, and surface attribute variables, were selected, and spatio-temporal variation information was employed to the reconstruction model. The results of simulation experiments show that the reconstructed data have R-2= 0.953 and RMSE = 0.031. Moreover, the proposed model has better predictive power than the classical regression model.</t>
  </si>
  <si>
    <t>[Ye, Fan; Cheng, Qing] China Univ Geosci, Sch Comp Sci, Wuhan 430074, Peoples R China; [Hao, Weifeng] Wuhan Univ, Chinese Antarctic Ctr Surveying &amp; Mapping, Wuhan 430079, Peoples R China; [Yu, Dayu] Wuhan Univ, Sch Remote Sensing &amp; Informat Engn, Wuhan 430079, Peoples R China</t>
  </si>
  <si>
    <t>China University of Geosciences; Wuhan University; Wuhan University</t>
  </si>
  <si>
    <t>Cheng, Q (corresponding author), China Univ Geosci, Sch Comp Sci, Wuhan 430074, Peoples R China.</t>
  </si>
  <si>
    <t>10.1109/IGARSS52108.2023.10283400</t>
  </si>
  <si>
    <t>WOS:001098971600027</t>
  </si>
  <si>
    <t>Noyce, M; Verrinder, R; Vichi, M</t>
  </si>
  <si>
    <t>Noyce, Michael; Verrinder, Robyn; Vichi, Marcello</t>
  </si>
  <si>
    <t>IDENTIFICATION OF ICE FLOE IMPACTS IN AN INERTIAL TIME SERIES AND IMPLICATIONS FOR WAVE MEASUREMENT IN PANCAKE ICE</t>
  </si>
  <si>
    <t>Sea ice; Antarctic; Marginal Ice Zone; Inertial Measurement Unit; waves-in-ice</t>
  </si>
  <si>
    <t>SEA-ICE; OCEAN</t>
  </si>
  <si>
    <t>Six ice-tethered instruments were deployed in the Antarctic Marginal Ice Zone during July 2022, coinciding with the movement of a polar cyclone through this region. High frequency inertial and GPS location data were retrieved from the instruments. Inertial data were analysed from two of the instruments to investigate the waves-in-ice dynamics of the ice floes on which the instruments were deployed. In particular, large frequent impacts between floes were detected in the inertial time-series. This in turn has implications for wave-ice interaction and attenuation, wave measurement and calibration of remote sensing data.</t>
  </si>
  <si>
    <t>[Noyce, Michael; Verrinder, Robyn] Univ Cape Town, Dept Elect Engn, Cape Town, South Africa; [Vichi, Marcello] Univ Cape Town, Dept Oceanog, Cape Town, South Africa; [Noyce, Michael; Verrinder, Robyn; Vichi, Marcello] Univ Cape Town, Marine &amp; Antarctic Res Ctr Innovat &amp; Sustainabil, Cape Town, South Africa</t>
  </si>
  <si>
    <t>Noyce, M (corresponding author), Univ Cape Town, Dept Elect Engn, Cape Town, South Africa.;Noyce, M (corresponding author), Univ Cape Town, Marine &amp; Antarctic Res Ctr Innovat &amp; Sustainabil, Cape Town, South Africa.</t>
  </si>
  <si>
    <t>Vichi, Marcello/B-8719-2008</t>
  </si>
  <si>
    <t>Vichi, Marcello/0000-0002-0686-9634</t>
  </si>
  <si>
    <t>10.1109/IGARSS52108.2023.10281906</t>
  </si>
  <si>
    <t>WOS:001098971600039</t>
  </si>
  <si>
    <t>Zhang, Y; Zhu, TT; Zhang, SK; Li, F</t>
  </si>
  <si>
    <t>Zhang, Yu; Zhu, Tingting; Zhang, Shengkai; Li, Fei</t>
  </si>
  <si>
    <t>ACTIVE AND PASSIVE MICROWAVE DATA FUSION BASED SEA ICE CONCENTRATION ESTIMATION</t>
  </si>
  <si>
    <t>Sea ice concentration; SAR; passive microwave data; data fusion</t>
  </si>
  <si>
    <t>In this abstract, a decision-level fusion method by utilizing Synthetic Aperture Radar (SAR) and passive microwave remote sensing data for sea ice concentration estimation is investigated. In the proposed method, the merits from passive microwave data and SAR data are both taken into consideration. For SAR imagery, incident angles and azimuth angles were used to correct backscattering values from slant range to ground range in order to improve geocoding accuracy. Within a pixel, sea ice concentration from passive microwave data and sea ice category label derived from conditional random fields (CRF) framework in SAR imagery are calibrated under the least distance protocol. Then, posterior probability distribution between category label derived from SAR imagery and passive microwave sea ice concentration product is modeled and integrated under the Bayesian network. In the posterior probability estimation procedure, final sea ice concentration is obtained using maximum a posteriori probability (MAP) criterion, which equals to minimize the cost function by nonlinear iteration method. We construct the constrained least-squared method to derive sea ice concentration from passive microwave data. Sea ice type category is exploited by the proposed CRF based strategies including the mixed statistical conditional random fields (MSTA-CRF) and fully connected. In the experiments, results show that the proposed algorithm outperform both the concentration from SAR and the passive microwave product. Especially, the proposed fusion method can improve the accuracy of passive sea ice concentration products and reduce the uncertainty around the ice edge and thin ice area.</t>
  </si>
  <si>
    <t>[Zhang, Yu; Zhang, Shengkai; Li, Fei] Wuhan Univ, Chinese Antarctic Ctr Surveying &amp; Mapping, Wuhan 430079, Peoples R China; [Zhu, Tingting] Nanjing Tech Univ, Sch Geomat Sci &amp; Technol, Nanjing 211816, Peoples R China</t>
  </si>
  <si>
    <t>Wuhan University; Nanjing Tech University</t>
  </si>
  <si>
    <t>Zhang, Y (corresponding author), Wuhan Univ, Chinese Antarctic Ctr Surveying &amp; Mapping, Wuhan 430079, Peoples R China.</t>
  </si>
  <si>
    <t>national Key Research and Development Program of China [2017YFA0603104]; National Natural Science Foundation of China [41801266, 41901275, 41531069]; China Postdoctoral Science Foundation [2017M612512, 2018M632922]</t>
  </si>
  <si>
    <t>national Key Research and Development Program of China; National Natural Science Foundation of China(National Natural Science Foundation of China (NSFC)); China Postdoctoral Science Foundation(China Postdoctoral Science Foundation)</t>
  </si>
  <si>
    <t>This work was supported by the national Key Research and Development Program of China under Grant 2017YFA0603104; the National Natural Science Foundation of China (No. 41801266, 41901275 and 41531069; the China Postdoctoral Science Foundation, No. 2017M612512 and No. 2018M632922.</t>
  </si>
  <si>
    <t>10.1109/IGARSS52108.2023.10281606</t>
  </si>
  <si>
    <t>WOS:001098971600046</t>
  </si>
  <si>
    <t>Tarekere, SR; Krieger, L; Heidler, K; Floricioiu, D</t>
  </si>
  <si>
    <t>Tarekere, Sindhu Ramanath; Krieger, Lukas; Heidler, Konrad; Floricioiu, Dana</t>
  </si>
  <si>
    <t>DEEP NEURAL NETWORK BASED AUTOMATIC GROUNDING LINE DELINEATION IN DINSAR INTERFEROGRAMS</t>
  </si>
  <si>
    <t>Grounding line; Antarctic Ice Sheet; DNN; automatic delineation</t>
  </si>
  <si>
    <t>VELOCITY</t>
  </si>
  <si>
    <t>Accurate identification of grounding lines is of immense importance for estimating the mass budgets of ocean-terminating ice sheets and glaciers of Antarctica and Greenland. In Differential Interferometric SAR (DInSAR) interferograms, human experts still largely manually digitize grounding lines. The time-consuming nature of this task makes it infeasible to produce timely, continent-wide grounding line mappings. This study employed a Deep Neural Network (DNN) to automate delineation. The Holistically-Nested Edge Detection (HED) network was trained in a supervised manner on features derived from interferometric phase, elevation data, ice velocity, tidal amplitude, atmospheric pressure and corresponding manual delineations. HED-generated lines achieved a median deviation of 209 m with a median absolute deviation of 153 m from manual delineations. The developed automatic pipeline demonstrates the potential for generating spatially and temporally dense mappings of the grounding line.</t>
  </si>
  <si>
    <t>[Tarekere, Sindhu Ramanath; Krieger, Lukas; Floricioiu, Dana] German Aerosp Ctr, Remote Sensing Technol Inst, Oberpfaffenhofen, Germany; [Heidler, Konrad] Tech Univ Munich, Data Sci Earth Observat, Munich, Germany</t>
  </si>
  <si>
    <t>Helmholtz Association; German Aerospace Centre (DLR); Technical University of Munich</t>
  </si>
  <si>
    <t>Tarekere, SR (corresponding author), German Aerosp Ctr, Remote Sensing Technol Inst, Oberpfaffenhofen, Germany.</t>
  </si>
  <si>
    <t>sindhu.ramanathtarekere@dlr.de</t>
  </si>
  <si>
    <t>Ramanath Tarekere, Sindhu/0009-0005-6468-7969</t>
  </si>
  <si>
    <t>10.1109/IGARSS52108.2023.10282372</t>
  </si>
  <si>
    <t>Green Submitted</t>
  </si>
  <si>
    <t>WOS:001098971600047</t>
  </si>
  <si>
    <t>Kim, SH</t>
  </si>
  <si>
    <t>Kim, Seung Hee</t>
  </si>
  <si>
    <t>STABILITY ASSESSMENT OF ANTARCTIC ICE SHELVES USING HYDROSTATIC FLEXURE</t>
  </si>
  <si>
    <t>ice shelves; hydrostatic flexure; effective thickness; crevasses; ice shelf stability</t>
  </si>
  <si>
    <t>This study presents a novel approach to evaluate the stability of Antarctic ice shelves by analyzing hydrostatic flexure and estimating the effective thickness near the grounding line. Airborne topographic surveys provided data on surface deflection, which was used to calculate the effective thickness. A comparison with measured thickness data revealed significant differences, indicating the possible presence of extensive crevasses on the ice shelf surface. Visual inspections and MODIS imagery supported these observations. It was found that assuming a constant ice thickness near the grounding line may not provide accurate results, highlighting the need for considering variable ice thickness. The choice of Young's modulus also influenced the estimation of effective thickness. The ratio between effective and measured thicknesses appeared to reflect the presence of local pinning points, which contribute to ice shelf stability. This study emphasizes the importance of understanding hydrostatic flexure and effective thickness in assessing the stability of Antarctic ice shelves, suggesting further research to improve our understanding of ice shelf dynamics and potential stability assessment.</t>
  </si>
  <si>
    <t>[Kim, Seung Hee] Korea Polar Res Inst, Incheon, South Korea</t>
  </si>
  <si>
    <t>Korea Polar Research Institute (KOPRI)</t>
  </si>
  <si>
    <t>Kim, SH (corresponding author), Korea Polar Res Inst, Incheon, South Korea.</t>
  </si>
  <si>
    <t>Korea Polar Research Institute (KOPRI) - Ministry of Oceans and Fisheries [KOPRI PE22320, PE23140]</t>
  </si>
  <si>
    <t>Korea Polar Research Institute (KOPRI) - Ministry of Oceans and Fisheries</t>
  </si>
  <si>
    <t>This work was supported by Korea Polar Research Institute (KOPRI) grants funded by the Ministry of Oceans and Fisheries (KOPRI PE22320 &amp; PE23140).</t>
  </si>
  <si>
    <t>10.1109/IGARSS52108.2023.10281976</t>
  </si>
  <si>
    <t>WOS:001098971600051</t>
  </si>
  <si>
    <t>Sarkar, UD; Kaundinya, S; Taylor, L; Rodriguez-Morales, F; Paden, J</t>
  </si>
  <si>
    <t>Sarkar, Utsa Dey; Kaundinya, Shravan; Taylor, Lee; Rodriguez-Morales, Fernando; Paden, John</t>
  </si>
  <si>
    <t>DECOMPRESSION-BASED RECEIVER DESIGN FOR RADAR ICE SOUNDING APPLICATIONS</t>
  </si>
  <si>
    <t>Radar receiver; decompression; VHF; UHF; radar sounding; radioglaciology</t>
  </si>
  <si>
    <t>This work describes the design and development of a radar receiver with a large dynamic range by means of carefully designed compression. The receiver is designed for ice sounding applications on the Antarctic and Greenland ice sheets and is designed to be usable over a large frequency range (VHF and UHF) and with multiple analog-to-digital converters with only minor modifications. We present the receiver design, in which we have implemented an RF-power limiting feature so that the output power is monotonically increasing with respect to the input power over a large dynamic range. This allows the receiver to operate in the non-linear region to compress the high-power returns into the dynamic range of the analog to digital converter while still achieving good sensitivity (low noise figure) for low power signals. We discuss design considerations, hardware description, initial lab test results, the architecture of the design and results from recent field deployments. Lastly, we discuss the future work on the decompression mechanism to recover the uncompressed signals.</t>
  </si>
  <si>
    <t>[Sarkar, Utsa Dey; Kaundinya, Shravan; Taylor, Lee; Rodriguez-Morales, Fernando; Paden, John] Univ Kansas, Ctr Remote Sensing &amp; Integrated Syst, Lawrence, KS 66045 USA</t>
  </si>
  <si>
    <t>University of Kansas</t>
  </si>
  <si>
    <t>Sarkar, UD (corresponding author), Univ Kansas, Ctr Remote Sensing &amp; Integrated Syst, Lawrence, KS 66045 USA.</t>
  </si>
  <si>
    <t>10.1109/IGARSS52108.2023.10282590</t>
  </si>
  <si>
    <t>WOS:001098971600054</t>
  </si>
  <si>
    <t>Miller, JZ; Long, DG; Shuman, CA; Scambos, TA</t>
  </si>
  <si>
    <t>Miller, Julie Z.; Long, David G.; Shuman, Christopher A.; Scambos, Ted A.</t>
  </si>
  <si>
    <t>SATELLITE MAPPING OF THE EXTENT AND PHYSICAL CHARACTERISTICS OF AN EXPANSIVE PERENNIAL FIRN AQUIFER IN THE WILKINS ICE SHELF, ANTARCTIC PENINSULA</t>
  </si>
  <si>
    <t>SMAP; radar scatterometry; microwave radiometry; Antarctic Penisula; Wilkins Ice Shelf; perennial firn aquifer</t>
  </si>
  <si>
    <t>We use enhanced-resolution L-band radar backscatter and brightness temperature image time series generated from observations collected by NASA's Soil Moisture Active Passive (SMAP) mission to map the extent and physical characteristics of an expansive perennial firn aquifer recently identified in the Wilkins Ice Shelf, Antarctic Peninsula. Empirical algorithms to map extent are derived from a continuous logistic model. Distinct physical characteristics of the firn overlying the perennial firn aquifer are distinguished using images of the slope in radar backscatter versus incidence angle. An inverted two-layer L-band brightness temperature model parameterized by the optical thickness is used to map seasonal firn saturation. Our results demonstrate the potential for using low-frequency L-band satellite microwave missions to map large englacial meltwater reservoirs in the firn of Antarctic ice shelves that may trigger hydrofracture and ice shelf instability year-round.</t>
  </si>
  <si>
    <t>[Miller, Julie Z.] Univ Colorado Boulder, Cooperat Inst Res Environm Sci, Boulder, CO 80309 USA; Brigham Young Univ, Dept Elect &amp; Comp Engn, Provo, UT 84602 USA; Univ Maryland Baltimore Cty, Baltimore, MD 21228 USA; NASAs Goddard Space Flight Ctr, Greenbelt, MD 20771 USA</t>
  </si>
  <si>
    <t>University of Colorado System; University of Colorado Boulder; Brigham Young University; University System of Maryland; University of Maryland Baltimore County; National Aeronautics &amp; Space Administration (NASA); NASA Goddard Space Flight Center</t>
  </si>
  <si>
    <t>Miller, JZ (corresponding author), Univ Colorado Boulder, Cooperat Inst Res Environm Sci, Boulder, CO 80309 USA.</t>
  </si>
  <si>
    <t>SCAMBOS, Ted A./0000-0003-4268-6322</t>
  </si>
  <si>
    <t>CIRES Innovative Research Program; NASA [80NSSC20K1806, 80NSSC21K0749]; NSF Antarctic Glaciology Program [PLR-1745116]</t>
  </si>
  <si>
    <t>CIRES Innovative Research Program; NASA(National Aeronautics &amp; Space Administration (NASA)); NSF Antarctic Glaciology Program(National Science Foundation (NSF)NSF - Directorate for Geosciences (GEO))</t>
  </si>
  <si>
    <t>This work is supported by the CIRES Innovative Research Program, the NASA SMAP Science Team (80NSSC20K1806) and Cryospheric Sciences Program (80NSSC21K0749), and the NSF Antarctic Glaciology Program (PLR-1745116).</t>
  </si>
  <si>
    <t>10.1109/IGARSS52108.2023.10281647</t>
  </si>
  <si>
    <t>WOS:001098971600056</t>
  </si>
  <si>
    <t>Akins, A; Tanner, A; Schlegel, N; Colliander, A; Yanovsky, I; Misra, S; Brown, S</t>
  </si>
  <si>
    <t>Akins, Alex; Tanner, Alan; Schlegel, Nicole; Colliander, Andreas; Yanovsky, Igor; Misra, Sidharth; Brown, Shannon</t>
  </si>
  <si>
    <t>BUILDING SEASONAL MAPS OF ANTARCTICA'S TEMPERATURE WITH REPEAT-PASS MICROWAVE INTERFEROMETRY</t>
  </si>
  <si>
    <t>Interferometry; ice temperature; sparse; radiometry</t>
  </si>
  <si>
    <t>ICE-SHEET; MODEL; SMOS</t>
  </si>
  <si>
    <t>We discuss an approach to measuring high-resolution maps of Antarctic ice sheet temperatures using repeat-pass sparsely sampled microwave interferometry. This approach follows from the inference that the relative invariance of ice sheet temperatures on annual timescales obviates the need for high snapshot sensitivity imposed as a requirement for observing more variable regions of the Earth system with interferometers such as SMOS. Such measurements could hypothetically be conducted with spatial resolutions less than 10 km using a small constellation of satellites. We discuss specifically how modifications to sheet-base geothermal heat flux could manifest as observable thermal signatures and a strategy to form images from a mosaic of multiple heterogeneous sparsely sampled observations, and we conclude with comments on necessary areas for future investigations.</t>
  </si>
  <si>
    <t>[Akins, Alex; Tanner, Alan; Schlegel, Nicole; Colliander, Andreas; Yanovsky, Igor; Misra, Sidharth; Brown, Shannon] CALTECH, Jet Prop Lab, Pasadena, CA 91125 USA</t>
  </si>
  <si>
    <t>California Institute of Technology; National Aeronautics &amp; Space Administration (NASA); NASA Jet Propulsion Laboratory (JPL)</t>
  </si>
  <si>
    <t>Akins, A (corresponding author), CALTECH, Jet Prop Lab, Pasadena, CA 91125 USA.</t>
  </si>
  <si>
    <t>Colliander, Andreas/M-9864-2018</t>
  </si>
  <si>
    <t>NASA Instrument Incubator Program; National Aeronautics and Space Administration [80NM0018D0004]</t>
  </si>
  <si>
    <t>NASA Instrument Incubator Program; National Aeronautics and Space Administration(National Aeronautics &amp; Space Administration (NASA))</t>
  </si>
  <si>
    <t>The authors acknowledge support from the NASA Instrument Incubator Program.The research was carried out at the Jet Propulsion Laboratory, California Institute of Technology, under a contract with the National Aeronautics and Space Administration (80NM0018D0004).</t>
  </si>
  <si>
    <t>10.1109/IGARSS52108.2023.10282007</t>
  </si>
  <si>
    <t>WOS:001098971600089</t>
  </si>
  <si>
    <t>Hyun, CU</t>
  </si>
  <si>
    <t>Hyun, Chang-Uk</t>
  </si>
  <si>
    <t>EVALUATION OF PHOTOVOLTAIC POTENTIAL IN ANTARCTICA FOR OPERATION OF ECO-FRIENDLY RESEARCH STATION</t>
  </si>
  <si>
    <t>Antarctic research station; polar region; photovoltaic potential; solar energy</t>
  </si>
  <si>
    <t>SEA</t>
  </si>
  <si>
    <t>To evaluate the possibility of operating the existing research stations in an eco-friendlier way, we analyzed the photovoltaic potential in the entire Antarctic continent. The optimal photovoltaic power generation candidate site was investigated using optical satellite remote sensing- based rock outcrop data in the vicinity of the Korean Antarctic science stations. The results of this research can be used to transform the Antarctic research stations currently in operation into clean research stations by substituting fossil fuel for solar energy and can also be used to establish a plan for the construction of an eco-friendly research station when constructing a new Antarctic research station.</t>
  </si>
  <si>
    <t>[Hyun, Chang-Uk] Dong A Univ, Dept Energy &amp; Mineral Resources Engn, Busan 49315, South Korea</t>
  </si>
  <si>
    <t>Dong A University</t>
  </si>
  <si>
    <t>Hyun, CU (corresponding author), Dong A Univ, Dept Energy &amp; Mineral Resources Engn, Busan 49315, South Korea.</t>
  </si>
  <si>
    <t>National Research Foundation of Korea (NRF) - Korea government (MSIT) [2022R1F1A1074679]</t>
  </si>
  <si>
    <t>National Research Foundation of Korea (NRF) - Korea government (MSIT)(National Research Foundation of KoreaMinistry of Science, ICT &amp; Future Planning, Republic of KoreaMinistry of Science &amp; ICT (MSIT), Republic of Korea)</t>
  </si>
  <si>
    <t>This work was supported by the National Research Foundation of Korea (NRF) grant funded by the Korea government (MSIT) (No. 2022R1F1A1074679).</t>
  </si>
  <si>
    <t>10.1109/IGARSS52108.2023.10282111</t>
  </si>
  <si>
    <t>WOS:001098971602180</t>
  </si>
  <si>
    <t>Dall, J; Taillade, T; Engdahl, M</t>
  </si>
  <si>
    <t>Dall, Jorgen; Taillade, Thibault; Engdahl, Marcus</t>
  </si>
  <si>
    <t>MAPPING OF THE BASAL TOPOGRAPHY OF ICE SHELVES FROM SPACE</t>
  </si>
  <si>
    <t>SAR tomography; ice shelves; basal topography; electromagnetic propagation and scattering model; Biomass mission</t>
  </si>
  <si>
    <t>This paper presents an electromagnetic propagation and scattering model that has been developed to address the feasibility of mapping the basal topography of the Antarctic ice shelves with space-based SAR tomography. Modeling results suggest that volume clutter is a major challenge that can only partly be alleviated by increasing the number of TomoSAR orbits.</t>
  </si>
  <si>
    <t>[Dall, Jorgen] Tech Univ Denmark, DTU Space, Lyngby, Denmark; [Taillade, Thibault; Engdahl, Marcus] European Space Agcy, European Space Res Inst, Frascati, Italy</t>
  </si>
  <si>
    <t>Technical University of Denmark; European Space Agency</t>
  </si>
  <si>
    <t>Dall, J (corresponding author), Tech Univ Denmark, DTU Space, Lyngby, Denmark.</t>
  </si>
  <si>
    <t>Dall, Jorgen/E-8947-2018</t>
  </si>
  <si>
    <t>Dall, Jorgen/0000-0002-3873-1074</t>
  </si>
  <si>
    <t>10.1109/IGARSS52108.2023.10281584</t>
  </si>
  <si>
    <t>WOS:001098971607204</t>
  </si>
  <si>
    <t>Buchakchiev, V; Dragomirov, D; Pandourska, E; Georgieva, G; Dimitrova, L</t>
  </si>
  <si>
    <t>Buchakchiev, Valentin; Dragomirov, Dragomir; Pandourska, Elitza; Georgieva, Gergana; Dimitrova, Liliya</t>
  </si>
  <si>
    <t>SEISMICITY IN THE BRANSFIELD STRAIT, ANTARCTICA, FOR THE PERIOD 2020-2023 AS RECORDED FROM LIVV SEISMIC STATION</t>
  </si>
  <si>
    <t>COMPTES RENDUS DE L ACADEMIE BULGARE DES SCIENCES</t>
  </si>
  <si>
    <t>seismicity; Bransfield Strait; Antarctica; Orca volcano</t>
  </si>
  <si>
    <t>The Bransfield Strait is situated between the Antarctic Peninsula and the South Shetland Archipelago. The seismic regime of the area is characterized by volcanic and tectonic activity, expressed in shallow, weak to moderate earthquakes. The global seismic networks locate the stronger earthquakes in this region. Weak events are recorded by standalone stations installed on the Antarctic continent and neighbouring islands, the number of which is not sufficient for good location. In the study, we present the processing of the seismic data for the period from January 2020 to January 2023 registered by Bulgarian Antarctic station LIVV and the produced results. The single-station localization method was applied and calculated, epicentres were compared with those listed in the European Mediterranean Seismological Centre catalogue. In the study period, the seismic pattern is dominated by swarm volcanic seismicity around Orca volcano, as well as three earthquake clusters of unknown origin in the vicinity of Livingston Island.</t>
  </si>
  <si>
    <t>[Buchakchiev, Valentin; Dragomirov, Dragomir; Dimitrova, Liliya] Bulgarian Acad Sci, Natl Inst Geophys Geodesy &amp; Geog, Acad G Bonchev St,Bl 3, Sofia 1113, Bulgaria; [Pandourska, Elitza; Georgieva, Gergana] Sofia Univ St Kliment Ohridski, Fac Phys, 5 James Bourchier Blvd, Sofia 1164, Bulgaria</t>
  </si>
  <si>
    <t>Bulgarian Academy of Sciences; University of Sofia</t>
  </si>
  <si>
    <t>Dimitrova, L (corresponding author), Bulgarian Acad Sci, Natl Inst Geophys Geodesy &amp; Geog, Acad G Bonchev St,Bl 3, Sofia 1113, Bulgaria.</t>
  </si>
  <si>
    <t>valentin@phys.uni-sofia.bg; drago.n.dragomirov@gmail.com; ldimitrova@geophys.bas.bg; elitzapiano@gmail.com; ggeorgieva@phys.uni-sofia.bg</t>
  </si>
  <si>
    <t>Georgieva, Gergana Dimitrova/R-7642-2016</t>
  </si>
  <si>
    <t>Georgieva, Gergana Dimitrova/0000-0003-3515-9524</t>
  </si>
  <si>
    <t>PUBL HOUSE BULGARIAN ACAD SCI</t>
  </si>
  <si>
    <t>SOFIA</t>
  </si>
  <si>
    <t>ACADEMICIAN G BONCEV ST, 1113 SOFIA, BULGARIA</t>
  </si>
  <si>
    <t>1310-1331</t>
  </si>
  <si>
    <t>CR ACAD BULG SCI</t>
  </si>
  <si>
    <t>C. R. Acad. Bulg. Sci.</t>
  </si>
  <si>
    <t>10.7546/CRABS.2023.12.07</t>
  </si>
  <si>
    <t>DO9Q0</t>
  </si>
  <si>
    <t>WOS:001133117900002</t>
  </si>
  <si>
    <t>Chizhova, JN; Mikhalenko, VN; Kutuzov, SS; Lavrentiev, II; Lipenkov, VY; Kozachek, AV</t>
  </si>
  <si>
    <t>Chizhova, Ju. N.; Mikhalenko, V. N.; Kutuzov, S. S.; Lavrentiev, I. I.; Lipenkov, V. Ya.; Kozachek, A. V.</t>
  </si>
  <si>
    <t>Causes of Uncertainties in Paleoclimatic Reconstructions Based on the Oxygen Isotope Composition of Glacier Ice on Elbrus (Western Plateau)</t>
  </si>
  <si>
    <t>LED I SNEG-ICE AND SNOW</t>
  </si>
  <si>
    <t>Russian</t>
  </si>
  <si>
    <t>stable isotope of oxygen; temperature reconstruction; Caucasus; Elbrus</t>
  </si>
  <si>
    <t>STABLE-ISOTOPES; WATER ISOTOPES; CORE; CLIMATE; RECORDS; FIRN; SNOW; DIFFUSION; CAUCASUS</t>
  </si>
  <si>
    <t>A study of the isotope signature of glacial ice in the Western Elbrus Plateau (the Caucasus) was made on the basis of five ice cores obtained in different years with high resolution. It was shown that the isotopic characteristics of ice are associated with the processes of accumulation and wind scouring of snow. Three ice cores were obtained in 2013 (C-1, C-2 and C-3), one in 2017 (C-4) and one more in 2018 (C-5). Core sampling was performed with a resolution of 5 cm. Isotopic analysis was done at the CERL laboratory (AARI) using a Picarro L2130-i isotope analyzer, the accuracy was 0.06 parts per thousand for delta O-18 and 0.30 parts per thousand for 82H. The values of delta O-18 and delta H-2 of the ice of the Western Plateau generally vary from -5 to-30 parts per thousand and from-18.7 to -225.8 parts per thousand, respectively, with well-defined seasonality. Comparison of the isotope record for all cores showed that the differences in accumulation for individual seasons reach 0.3 m w. eq., differences in accumulation for individual seasons averaged over 5 years is approximately 0.2 m w.eq. The absolute differences in the average seasonal values of delta O-18 associated with wind scouring and spatial redistribution of snow (deposition noise), averaged over 5 years, reached 1.38 parts per thousand. The irregularity of precipitation amount within the season and errors in core dating are an additional contribution to non-climate variance (noise of definition). The absolute difference in the average seasonal values of delta O-18 associated with this type of noise averaged over 5 years is 1.7 parts per thousand . Thus, the total uncertainty for two different types of noise can be estimated at 2.2 parts per thousand, which is about 20% of the annual seasonal amplitude of delta O-18 values of the glacier ice in the Western Plateau (the average difference between the delta O-18 values of warm and cold seasons is similar to 10-11 parts per thousand). One of the problems of linking the isotope record to the annual temperature record at the weather station was solved by using ammonium concentrations for dating the C-1 ice core and calculating the ideal annual variation of delta O-18 values by a cosine function of the annual amplitude. Using ammonium ion (NH4+) concentration each annual layer in C-1 ice core was divided into two parts associated to snow deposition in winter and in summer. It also showed delta O-18 values associated to change of seasons. The calculation of the cosine function showed the simplified delta O-18 values for each month of a particular year, due to which the delta O-18 values of the season boundaries in the ice core were linked to calendar months. This assimilation allowed us to compare the obtained average seasonal values of delta O-18 from the core with instrumental observations at the Klukhorskiy Pass meteorological station. The delta O-18 values of winter seasons have a weak relationship with surface temperatures, not only due to wind erosion, but also due to the high interannual variability of snow accumulation. At the same time, the average delta O-18 values of the warm seasons are significantly positive correlated with surface temperature (r = 0.7, p = 0.1), so ice core delta O-18 records can be used as a temperature proxy of the warm period.</t>
  </si>
  <si>
    <t>[Chizhova, Ju. N.] Russian Acad Sci, Inst Geol Ore Deposits Petrog Mineral &amp; Geochem, Moscow, Russia; [Chizhova, Ju. N.; Mikhalenko, V. N.; Kutuzov, S. S.; Lavrentiev, I. I.; Lipenkov, V. Ya.] Russian Acad Sci, Inst Geog, Moscow, Russia; [Kutuzov, S. S.] Natl Res Univ Higher Sch Econ, Moscow, Russia; [Lipenkov, V. Ya.; Kozachek, A. V.] Arctic &amp; Antarctic Res Inst, St Petersburg, Russia</t>
  </si>
  <si>
    <t>Russian Academy of Sciences; Institute of Geology of Ore Deposits, Petrography, Mineralogy &amp; Geochemistry; Russian Academy of Sciences; Institute of Geography, Russian Academy of Sciences; HSE University (National Research University Higher School of Economics); Arctic &amp; Antarctic Research Institute</t>
  </si>
  <si>
    <t>Chizhova, JN (corresponding author), Russian Acad Sci, Inst Geol Ore Deposits Petrog Mineral &amp; Geochem, Moscow, Russia.;Chizhova, JN (corresponding author), Russian Acad Sci, Inst Geog, Moscow, Russia.</t>
  </si>
  <si>
    <t>eacentr@yandex.ru</t>
  </si>
  <si>
    <t>INST GEOGRAPHY, RUSSIAN ACAD SCIENCES</t>
  </si>
  <si>
    <t>MOSCOW</t>
  </si>
  <si>
    <t>PROFSOYUZNAYA UL 90, MOSCOW, 117864, RUSSIA</t>
  </si>
  <si>
    <t>2076-6734</t>
  </si>
  <si>
    <t>2412-3765</t>
  </si>
  <si>
    <t>LED SNEG</t>
  </si>
  <si>
    <t>Led Sneg</t>
  </si>
  <si>
    <t>10.31857/S2076673423040051</t>
  </si>
  <si>
    <t>KI8L3</t>
  </si>
  <si>
    <t>WOS:001179421000004</t>
  </si>
  <si>
    <t>Bantcev, DV; Ovsepyan, AA; Rasputina, VA; Kozachek, A; Tehikhatchev, KB; Ganyushkin, DA</t>
  </si>
  <si>
    <t>Bantcev, D. V.; Ovsepyan, A. A.; Rasputina, V. A.; Kozachek, A., V; Tehikhatchev, K. B.; Ganyushkin, D. A.</t>
  </si>
  <si>
    <t>The Use of Isotope Indicators in Hydrological Studies in the Taldura River Basin, Central Altai</t>
  </si>
  <si>
    <t>isotopic composition; periglacial lake; glacier runoff; glaciers; Altai</t>
  </si>
  <si>
    <t>RUNOFF; PRECIPITATION; MOUNTAINS; ORIGIN; CORE</t>
  </si>
  <si>
    <t>Stable isotopes investigation was carried out in the territory of the Yuzhno-Chuya Ridge (Central Altai) during the ablation season of 2022. Samples were taken to determine the contribution of meltwater and precipitation to feeding of water bodies. The main research objects are Nekrasov glacier - Tamozennoye Lake system and Taldura River. In the basin of Lake Tamozennoye, the average ice 818O of the Nekrasov glacier (-17.3%) was obtained. Based on the isotopic composition of ice and precipitation, it was estimated that in the stream flowing into Lake Customs, the contribution of glacier meltwater varies from 28 to 67%, on average 54%. For a stream flowing out of a lake, the proportion of meltwater is higher: 48-72, 61% on average. First of all, meltwater enters the lake by filtration through the moraine, and not by surface runoff. Along the Taldura River, delta 18O does not change significantly (delta 18O -16.58 ... -16.84%) for 38 km before the Taldura River confluence into the Chagan River. This indicates the complete predominance of glacier meltwater in the river feeding in the middle of the ablation season. Repeated sampling of water from the Taldura River 5 km from the edge of the glacier showed, that the effect of precipitation can be traced in the isotopic composition of river water, but it does not exceed 20%.</t>
  </si>
  <si>
    <t>[Bantcev, D. V.; Ovsepyan, A. A.; Rasputina, V. A.; Kozachek, A., V; Tehikhatchev, K. B.; Ganyushkin, D. A.] St Petersburg State Univ, St Petersburg, Russia; [Kozachek, A., V; Tehikhatchev, K. B.] Arctic &amp; Antarctic Res Inst, St Petersburg, Russia</t>
  </si>
  <si>
    <t>Saint Petersburg State University; Arctic &amp; Antarctic Research Institute</t>
  </si>
  <si>
    <t>Bantcev, DV (corresponding author), St Petersburg State Univ, St Petersburg, Russia.</t>
  </si>
  <si>
    <t>bancev-d@yandex.ru</t>
  </si>
  <si>
    <t>Russian Science Foundation [23-27-00173]</t>
  </si>
  <si>
    <t>Russian Science Foundation(Russian Science Foundation (RSF))</t>
  </si>
  <si>
    <t>Acknowledgments. The study was supported by Russian Science Foundation, project No. 23-27-00173 Estimation of various components contribution to the glacial streams runoff in the Southeastern Altai ac-cording to isotope indicators.</t>
  </si>
  <si>
    <t>10.31857/S2076673423040038</t>
  </si>
  <si>
    <t>WOS:001179421000005</t>
  </si>
  <si>
    <t>Chernov, RA; Romashova, KV</t>
  </si>
  <si>
    <t>Chernov, R. A.; Romashova, K. V.</t>
  </si>
  <si>
    <t>Large Periglacial Lakes on the Spitsbergen (Svalbard): State in 2008-2012 and Dynamics in 1991-2022</t>
  </si>
  <si>
    <t>ice-dammed and moraine-dammed lakes; area of lakes; lake level; ice shores; Svalbard</t>
  </si>
  <si>
    <t>GLACIER INVENTORY; AREA; MELT</t>
  </si>
  <si>
    <t>Approximately 3,790 lakes of various genesis existed in the Svalbard archipelago in 2008-2012, the total area of which reached 395 km(2). Among them, periglacial lakes were new objects which had been formed since the beginning of the 20th century due to the deglaciation of the archipelago. We found 554 glacial lakes which areas exceeded 0.01 km(2). The total area of these lakes amounted to about a half of the area of all the lakes in the archipelago - 185 km(2), and two thirds of this value were large glacial lakes. The paper presents the spatial distribution of large periglacial lakes and variability of them caused by the climate warming in the archipelago. At present, there are 35 periglacial lakes (over 1 km(2) in size); all of them are in contact with glaciers and the greater part of them are dammed by the terminal moraines or by a glacier itself. According to the cartographic data of the Norwegian Polar Institute and satellite images, the areas of large lakes were determined successively in 1991, 2002, 2012, and 2022. For the period from 1991 to 2012, there was a twofold increase in their area from 24.4 to 53.7 km(2), but in 2012-2022 this process slowed down. On the east of the archipelago, where the inland ice is widespread, the process of the lake formation is much slower. It had been noted that on the west all large glacial lakes were formed after 1936 due to active retreat of the glaciers. At the same time, both on the north and east, most of the large glacial lakes existed prior to 1936. During the periods under consideration, changes in the areas of individual objects reached multiple values. The most large-scale changes in the lake areas were associated with the ablation of glacial fronts in contact with the lake, a glacier surge, and outbursts of a few dammed lakes. Six lakes were identified, where the water level drop reached tens of meters. Despite the slowdown in the formation of lakes in the last decade, the enlargement of lakes continues. Relative increase in the total area of the large periglacial lakes over the past 30 years on the west and east of the archipelago is in direct proportion to decreasing in glaciation of these regions. Thus, the process of formation of large periglacial lakes may be used as an indicator of climate change in the archipelago.</t>
  </si>
  <si>
    <t>[Chernov, R. A.] Russian Acad Sci, Inst Geog, Moscow, Russia; [Romashova, K. V.] Arctic &amp; Antarctic Res Inst, St Petersburg, Russia</t>
  </si>
  <si>
    <t>Institute of Geography, Russian Academy of Sciences; Russian Academy of Sciences; Arctic &amp; Antarctic Research Institute</t>
  </si>
  <si>
    <t>Chernov, RA (corresponding author), Russian Acad Sci, Inst Geog, Moscow, Russia.</t>
  </si>
  <si>
    <t>chernov@igras.ru</t>
  </si>
  <si>
    <t>Russian Science Founda- tion [23-27-00312]</t>
  </si>
  <si>
    <t>Russian Science Founda- tion(Russian Science Foundation (RSF))</t>
  </si>
  <si>
    <t>Acknowledgments. Remote survey and data analy- sis of the largest periglacial lakes of Svalbard was sup- ported by a grant from the Russian Science Founda- tion No. 23-27-00312. Formation of periglacial lakes of the Svalbard under the conditions of climate change.</t>
  </si>
  <si>
    <t>10.31857/S207667342304004X</t>
  </si>
  <si>
    <t>WOS:001179421000001</t>
  </si>
  <si>
    <t>Mavlyudov, BR</t>
  </si>
  <si>
    <t>Mavlyudov, B. R.</t>
  </si>
  <si>
    <t>Equilibrium Line Altitude on Bellingshausen Ice Dome, Antarctic</t>
  </si>
  <si>
    <t>ELA; Bellingshausen Ice Dome; mean summer air temperature</t>
  </si>
  <si>
    <t>KING-GEORGE-ISLAND; MASS-BALANCE; GLACIER</t>
  </si>
  <si>
    <t>We present an analysis of the equilibrium line altitude (ELA) on the Bellingshausen Ice Dome on King George Island (Waterloo), Antarctica, derived only from ground -based glaciological surveys for the period 2007-2012 and 2014-2023. A good relationship was found between ELA and mean summer air temperature (XII-II months) with a coefficient of determination of about 0.8. Assuming the stability of this relation in the past, the changes in the ELA during the entire period of observations at Bellingshausen weather station (from 1968) were reconstructed. Since negative ELA values were obtained for some years, which is physically impossible, they were artificially adjusted to sea level. A good correlation of air temperature between the Bellingshausen and Deception Island weather stations allowed extending the reconstruction of ELA for a longer period (from 1947). By cleaning up the strong interannual fluctuations in ELA using five-year moving averages, two complete periods of ELA change (from minimum to minimum) were identified for approximately 20 years (1947-1968) and 45 years (1968-2013). From 2014 to present time, the third period has been continuing. At the apogee of each period, the ELA was higher than the Bellingshausen Ice Dome height, which indicates that in these years the ice dome completely lost accumulation area. For the Bellingshausen and Warsaw ice domes, a pattern of higher ELA position on the western and southern slopes compared to the eastern slopes was revealed, which is probably applicable to the entire King George Island. Since the ELA variations on King George Island are generally synchronous with its variations on Livingston Island, the reconstructed ELA on the Bellingshausen Ice Dome can probably be useful for reconstructing the glaciation history of the South Shetland Islands.</t>
  </si>
  <si>
    <t>[Mavlyudov, B. R.] RAS, Inst Geog, Moscow, Russia</t>
  </si>
  <si>
    <t>Russian Academy of Sciences; Institute of Geography, Russian Academy of Sciences</t>
  </si>
  <si>
    <t>Mavlyudov, BR (corresponding author), RAS, Inst Geog, Moscow, Russia.</t>
  </si>
  <si>
    <t>bulatrm@bk.ru</t>
  </si>
  <si>
    <t>10.31857/S2076673423040117</t>
  </si>
  <si>
    <t>KJ1R1</t>
  </si>
  <si>
    <t>WOS:001179505000001</t>
  </si>
  <si>
    <t>Birgi, JA; Gargaglione, V; Peri, PL; Araujo Prado, CI; Díaz, BG; Gonzalez, L; Gesto, E; Hallar, K; Laguía, D; Sofía, O; Díaz, M</t>
  </si>
  <si>
    <t>Alberto Birgi, Jorge; Gargaglione, Veronica; Luis Peri, Pablo; Araujo Prado, Cesar Ismael; Gaston Diaz, Boris; Gonzalez, Leonardo; Gesto, Esteban; Hallar, Karim; Laguia, Daniel; Sofia, Osiris; Diaz, Martin</t>
  </si>
  <si>
    <t>Antarctic Hydroponic Production module: first results of cultivation in Argentine Antarctica</t>
  </si>
  <si>
    <t>INFORMES CIENTIFICOS Y TECNICOS</t>
  </si>
  <si>
    <t>Spanish</t>
  </si>
  <si>
    <t>Indoor production; Vegetables; IoT technology</t>
  </si>
  <si>
    <t>One way to efficiently and intensively produce fresh food in extreme environments is through hydroponic techniques which have been widely used in the world, especially from the 1960s to the present. Likewise, to obtain fresh food in places with unfavorable environmental conditions, hydroponic systems are complemented by Indoor production technology, which consists of creating environments that artificially provide the necessary conditions for plant growth, mainly appropriate light and temperature. Argentine maintains its presence in Antarctica since 1904. This has required great logistical efforts, among which, due to its complexity, food supply stands out. This impacts negatively on nutritional and organoleptic quality of food and, consequently, on people's quality of life, especially those with prolonged stays such as permanent staff. The usual alternative for food provision in the Joint Antarctic Bases (BAC) of Argentina is the use, for long periods of time, of dehydrated, canned, preserved or super-frozen rations. The aim of this project called Antarctic Hydroponic Production Module was to install a production module capable of providing fresh vegetables to supply the Argentine Antarctic bases, in order to improve the nutrition of the staff.The system is based on 4 fundamental pillars: (i) a semi-automated production module, (ii) a training program and permanent remote support for new crews, (iii) a remote control panel for critical system data to ensure monitoring and build a database through Big Data and IoT (Internet of Things) technology necessary for the continuous generation of information aimed at improving development and its processes, and (iv) an informative website to communicate status and progress of the project, link with society on issues related to food production in the Antarctic continent.To achieve the objective, a 20-foot shipping container was conditioned, and two production sectors with three levels each were installed inside. At each production level, 12 10-liter boxes with 4 perforations each were placed, which allow the anchoring of 4 plants per box, to obtain 240 adult plants per batch. Each production sector has a SAP (high pressure sodium) lighting system that provides the necessary light in cycles of 8 hours of light and darkness, turning on intermittently in each sector. Likewise, the container is heated with a low-consumption 620 W panel, which, added to the heat emitted by the lamps, provides a main temperature of 26 degrees C. Plants were sown on May 17, 2022 and transplanted on June 30 to the hydroponic box system. The species cultivated were arugula ( Erucavesicaria sp. Sativa) and lettuce (Lactuca sativa) variety Grand Rapid.Harvest was carried out on June 16, obtaining a total of 15.6 kg of lettuce (144 plants) and 4.4 kg of arugula (96 plants), achieving the entire crop cycle in a period of 30 days. We believe that this work is innovative since allows to obtain fresh crops in an extreme place such as the Antarctic continent, it is feasible to be remotely monitored through the use of IoT technology and the most importantly, contributes to sovereignty of the winter crew, by allowing to improve the quality of the diet of the people who must remain in the Argentine Antarctic bases for long periods of time.</t>
  </si>
  <si>
    <t>[Alberto Birgi, Jorge; Gargaglione, Veronica; Luis Peri, Pablo; Araujo Prado, Cesar Ismael; Gaston Diaz, Boris; Gonzalez, Leonardo; Gesto, Esteban; Hallar, Karim; Laguia, Daniel; Sofia, Osiris; Diaz, Martin] Univ Nacl Patagonia Austral, Unidad Acad Rio Gallegos,Direcc Nacl Antartico, Inst Nacl Tecnol Agropecuaria,Comando Conjunto An, EEA Santa Cruz,Consejo Nacl Invest Cient &amp; Tecn,C, Rio Gallegos, Argentina</t>
  </si>
  <si>
    <t>Instituto Nacional de Tecnologia Agropecuaria (INTA); Consejo Nacional de Investigaciones Cientificas y Tecnicas (CONICET); Universidad Nacional de la Patagonia San Juan Bosco</t>
  </si>
  <si>
    <t>Birgi, JA (corresponding author), Univ Nacl Patagonia Austral, Unidad Acad Rio Gallegos,Direcc Nacl Antartico, Inst Nacl Tecnol Agropecuaria,Comando Conjunto An, EEA Santa Cruz,Consejo Nacl Invest Cient &amp; Tecn,C, Rio Gallegos, Argentina.</t>
  </si>
  <si>
    <t>jorgebirgi@gmail.com; verogargaglione@gmail.com; peri.pablo@inta.gob.ar; cesar.i.araujo.p@hotmail.com; diaz.boris@inta.gob.ar; lgonzalez@uarg.unpa.edu.ar; egesto@uarg.unpa.edu.ar; karim.hallar.rg@gmail.com; dalaguia@hotmail.com; sistemasuarg@gmail.com; biomartindiaz@gmail.com</t>
  </si>
  <si>
    <t>UNIV NAC PATAGONIA AUSTRAL</t>
  </si>
  <si>
    <t>SANTA CRUZ</t>
  </si>
  <si>
    <t>RIVADAVIA 265, RIO GALLEGOS, SANTA CRUZ, 9400, ARGENTINA</t>
  </si>
  <si>
    <t>1852-4516</t>
  </si>
  <si>
    <t>INF CIENTIF TECN</t>
  </si>
  <si>
    <t>Inf. Cientif. Tecn.</t>
  </si>
  <si>
    <t>10.22305/ict-unpa.v15.n3.993</t>
  </si>
  <si>
    <t>W9OY6</t>
  </si>
  <si>
    <t>gold, Green Submitted</t>
  </si>
  <si>
    <t>WOS:001094862800016</t>
  </si>
  <si>
    <t>Baumgartner, PO; Li, X; Matsuoka, A; Vérard, C</t>
  </si>
  <si>
    <t>Baumgartner, Peter O.; Li, Xin; Matsuoka, Atsushi; Verard, Christian</t>
  </si>
  <si>
    <t>Austral and Subtropical Gyre Radiolaria - latest Jurassic to Early Cretaceous Leg 123, Site 765, Argo Abyssal Plain revisited: Southern Hemisphere paleobiogeography and global climate change</t>
  </si>
  <si>
    <t>MICROPALEONTOLOGY</t>
  </si>
  <si>
    <t>GULF-OF-MEXICO; NEUQUEN BASIN; CARBON-ISOTOPE; GEODYNAMIC RECONSTRUCTIONS; CLAY MINERALOGY; NORTH-ISLAND; TETHYAN; PLATE; AGE; EVOLUTION</t>
  </si>
  <si>
    <t>The aim of this report is to 1) to formally describe Austral and Subtropical Gyre Radiolaria recovered from ODP Hole 123-765C), 2) to compare them with published records of Southern Hemisphere non-Tethyan assemblages and 3) to discuss radiolarian paleobiogeography of the Southern Hemisphere and its implications for global climate change during the Jurassic-Cretaceous transition. The Tithonian to Aptian/early Albian radiolarian record recovered from Hole 765C, Cores -62R to -36R in the Argo Abyssal Plain (AAP) is unique in its density of well-preserved samples and in its faunal contents. Radiolaria recovered from claystones yielded the low diversity, ecologically tolerant Crypto-Archaeo Assemblage, (chiefly cryptocephalic and cryptothoracic nassellarians and Archeodictyomitra spp.) interpreted herein as originated in the Subtropical Gyre (STG). In contrast, assemblages extracted from radiolarite layers, interpreted as pelagic turbidites derived from the deeper Australian margin, are dominated by Austral taxa. Neotethyan taxa are very rare to absent before the late Hauterivian/Barremian, when they gradually gain in diversity and abundance. Described Austral and STG taxa include 10 families, of which Fusitanellidae n. fam. and Windaliinae n. subfam. are new. Of 18 genera 7 are new (Nodosphaera, Praewindalia, Pachycingula, Archaeotanella, Morchella, Fusitanella, Argofusus) and of 55 species 30 new ones are formally described and 14 new ones are left in open nomenclature. The southern hemisphere Late Jurassic to Early Cretaceous radiolarian biogeography is defined from low- to high latitude: 1. the Neotethyan (NT) and 2. the Central Panthalassan (CP) realms, 3. Eastern Boundary Current (EBC) realm, 4. the Subtropical Gyre (STG) and the Austral (A) circum south-polar realm. Radiolarian biogeography and plate tectonic models support a scenario of palaeoceanographic and global climatic change during the Jurassic-Cretaceous transition related to progressive Pangea break-up with the following consequences: 1. an increased heat transfer to the Southern hemisphere which caused cooling of Neotethyan regions during the Late Tithonian dry event. 2. Anorthward shift of the southern summer Intertropical Convenience Zone reduced the Neotethyan monsoon area and allowed the establishment of a southern Neotethyan subtropical gyre documented by the Crypo-Archaeo Assemblage. 3. The south-polar West Wind Drift may have forced a circum Antarctic-Australian cold current through the epicontinental rift between India and Antarctica-Australia since the Berriasian (140 my), transporting Austral Radiolaria into the AAP where they accumulated in radiolarite layers.</t>
  </si>
  <si>
    <t>[Baumgartner, Peter O.] Univ Lausanne, Inst Sci Terre, CH-1015 Lausanne, Switzerland; [Li, Xin] Nanjing Inst Geol &amp; Palaeontol, 39 East Beijing Rd, Nanjing 210008, Peoples R China; [Matsuoka, Atsushi] Niigata Univ, Dept Geol, Niigata 9502181, Japan; [Verard, Christian] Univ Geneva, Dept Earth Sci, Rue Maraichers,13, CH-1205 Geneva, Switzerland</t>
  </si>
  <si>
    <t>University of Lausanne; Chinese Academy of Sciences; Niigata University; University of Geneva</t>
  </si>
  <si>
    <t>Baumgartner, PO (corresponding author), Univ Lausanne, Inst Sci Terre, CH-1015 Lausanne, Switzerland.</t>
  </si>
  <si>
    <t>peter.baumgartner@unil.ch; xinli@nigpas.ac.cn; amatsuoka@geo.sc.niigata-u.ac.jp; christian.verard@unige.ch</t>
  </si>
  <si>
    <t>Swiss National Science Foundation [CRSII5_180253, 200020-162670]; Second Tibetan Plateau Scientific Expedition and Research [2019QZKK0706]; Swiss National Science Foundation (SNF) [CRSII5_180253, 200020_162670] Funding Source: Swiss National Science Foundation (SNF)</t>
  </si>
  <si>
    <t>Swiss National Science Foundation(Swiss National Science Foundation (SNSF)); Second Tibetan Plateau Scientific Expedition and Research; Swiss National Science Foundation (SNF)(Swiss National Science Foundation (SNSF))</t>
  </si>
  <si>
    <t>The authors are very thankful for helpful discussions with professor Yoshiaki Aita, Geology Lab, Faculty ofAgriculture Utsunomiya University, Professor Luo Hui, Nanjing Institute of Geology and Palaeontology, and Dr. Paulian Dumitrica, Univerity of Lausanne. We gratefully acknowledge the immense review and editorial work of Mike Kaminski. Field and laboratory work of POB was funded by the Swiss National Science Foundation, Grant No. 200020-162670. Field and laboratory work of LiXin was funded by the Second Tibetan Plateau Scientific Expedition and Research (2019QZKK0706). C.V. was funded by the Swiss National Science Foundation (Sinergia Project No. CRSII5_180253).</t>
  </si>
  <si>
    <t>MICRO PRESS</t>
  </si>
  <si>
    <t>FLUSHING</t>
  </si>
  <si>
    <t>6530 KISSENA BLVD, FLUSHING, NY 11367 USA</t>
  </si>
  <si>
    <t>0026-2803</t>
  </si>
  <si>
    <t>1937-2795</t>
  </si>
  <si>
    <t>Micropaleontology</t>
  </si>
  <si>
    <t>10.47894/mpal.69.6.01</t>
  </si>
  <si>
    <t>Paleontology</t>
  </si>
  <si>
    <t>HK9U8</t>
  </si>
  <si>
    <t>WOS:001159524500001</t>
  </si>
  <si>
    <t>Adachi, T; Kawakami, T; Higashino, F; Uno, M</t>
  </si>
  <si>
    <t>Adachi, Tatsuro; Kawakami, Tetsuo; Higashino, Fumiko; Uno, Masaoki</t>
  </si>
  <si>
    <t>Metamorphic rocks with different pressure-temperature-time paths bounded by a ductile shear zone at Oyayubi ridge, Brattnipene, Sor Rondane Mountains, East Antarctica</t>
  </si>
  <si>
    <t>P-T-t path; Unit boundary; Sor Rondane Mountains; East Antarctica</t>
  </si>
  <si>
    <t>DRONNING MAUD LAND; COLLISION ZONE; CONTINENTAL COLLISION; AFRICAN OROGEN; RICH FLUID; ZIRCON; PB; EVOLUTION; GARNET; CONSTRAINTS</t>
  </si>
  <si>
    <t>The Sor Rondane Mountains, East Antarctica have been thought to be situated in the collision zone between East and West Gondwana during the final stage of amalgamation of the Gondwana supercontinent. They are, therefore, recognized as a key region for understanding the geological phenomena during the collisions and for testing the proposed tectonic models. We identified metamorphic rocks with different pressure-temperature-time paths that are bounded by a ductile shear zone at Oyayubi ridge, Brattnipene, Sor Rondane Mountains. Based on field and microscopic observations, chemical analyses of minerals, and zircon U-Pb dating, the sillimanite-garnet-biotite gneisses (i.e., pelitic gneisses) from higher structural level show a peak metamorphism at similar to 590 Ma that took place under conditions of similar to 830-840 degrees C and 0.8-0.9 GPa, and these high-temperature conditions lasted until similar to 550 Ma. These rocks underwent isothermal decompression and then retrograde hydration under lower pressure-temperature conditions than 530 degrees C and 0.4 GPa at similar to 530 Ma. In contrast, the orthogneisses that consist of hornblende-biotite gneiss and garnet-clinopyroxene gneiss from lower structural levels did not undergo metamorphism at similar to 600 Ma but underwent metamorphism at similar to 570 Ma and reached peak conditions of 700-760 degrees C and 0.6-0.9 GPa at similar to 560-550 Ma. These observations suggest thrusting of the pelitic gneiss over the orthogneiss at similar to 570-550 Ma, causing a prograde metamorphism of the orthogneisses and a decompression of the pelitic gneisses as well as uplift and subsequent rapid denudation. The results indicate two stages of collision in the Sor Rondane Mountains and that the ductile shear zone bounding the pelitic gneiss and orthogneiss units may have been part of the continental plate collision boundary at similar to 570-550 Ma.</t>
  </si>
  <si>
    <t>[Adachi, Tatsuro] Kyushu Univ, Fac Social &amp; Cultural Studies, Div Earth Sci, Fukuoka 8190395, Japan; [Kawakami, Tetsuo; Higashino, Fumiko] Kyoto Univ, Grad Sch Sci, Dept Geol &amp; Mineral, Kyoto 6068502, Japan; [Uno, Masaoki] Tohoku Univ, Grad Sch Engn, Dept Geosci &amp; Technol, Sendai 9809570, Japan</t>
  </si>
  <si>
    <t>Kyushu University; Kyoto University; Tohoku University</t>
  </si>
  <si>
    <t>Adachi, T (corresponding author), Kyushu Univ, Fac Social &amp; Cultural Studies, Div Earth Sci, Fukuoka 8190395, Japan.</t>
  </si>
  <si>
    <t>t-adachi@scs.kyushu-u.ac.jp</t>
  </si>
  <si>
    <t>Kawakami, Tetsuo/AAQ-3357-2021</t>
  </si>
  <si>
    <t>Kawakami, Tetsuo/0000-0002-5921-5562</t>
  </si>
  <si>
    <t>National Institute of Polar Research (NIPR) under MEXT; NIPR General Collaboration Project [28-25]</t>
  </si>
  <si>
    <t>National Institute of Polar Research (NIPR) under MEXT; NIPR General Collaboration Project</t>
  </si>
  <si>
    <t>We would like to thank the members of the 61st Japan Antarctic Research Expedition, and the crew of the icebreaker 'Shirase'. We also thank A. Hubert and members of the Belgian Antarctic Research Station (2019-2020) for supporting our fieldwork. Members of the JARE geology community are thanked for fruitful discussions and support during the fieldwork in the SRM. T.A appreciates Prof. Tomokazu Hokada giving advice on the application of two feldspar thermometer. We are grateful to Prof. Joachim Jacobs and an anonymous reviewer for constructive reviews to improve the manuscript and Prof. Tomokazu Hokada for editorial handling. This study was part of the Science Program of the Japanese Antarctic Research Expedition (JARE) supported by the National Institute of Polar Research (NIPR) under MEXT. This study was financially supported by the NIPR General Collaboration Project (No. 28-25) to T.K.</t>
  </si>
  <si>
    <t>10.2465/jmps.230220</t>
  </si>
  <si>
    <t>WOS:001089014300013</t>
  </si>
  <si>
    <t>Kitano, I; Hokada, T; Baba, S; Kamei, A; Motoyoshi, Y; Nantasin, P; Setiawan, NI; Dashbaatar, DO; Toyoshima, T; Ishikawa, M; Katori, T; Nakano, N; Osanai, Y</t>
  </si>
  <si>
    <t>Kitano, Ippei; Hokada, Tomokazu; Baba, Sotaro; Kamei, Atsushi; Motoyoshi, Yoichi; Nantasin, Prayath; Setiawan, Nugroho I.; Dashbaatar, Davaa-ochir; Toyoshima, Tsuyoshi; Ishikawa, Masahiro; Katori, Takuma; Nakano, Nobuhiko; Osanai, Yasuhito</t>
  </si>
  <si>
    <t>Zircon geochronology of high-grade metamorphic rocks from outcrops along the Prince Olav Coast, East Antarctica: Implications for multi-thermal events and regional correlations</t>
  </si>
  <si>
    <t>U-Pb zircon ages; Metamorphic rocks; Multi-thermal events; Prince Olav Coast; East Antarctica</t>
  </si>
  <si>
    <t>LUTZOW-HOLM COMPLEX; GARNET-SILLIMANITE GNEISS; U-PB GEOCHRONOLOGY; DRONNING MAUD LAND; PLUS QUARTZ ASSOCIATION; SRI-LANKA; DETRITAL ZIRCON; AKARUI POINT; HF ISOTOPES; LU-HF</t>
  </si>
  <si>
    <t>This paper reports laser ablation inductively coupled plasma mass spectrometry (LA-ICP-MS) zircon U-Pb ages of a suite of high-grade metamorphic rocks collected from Sinnan Rocks, Akebono Rock, Niban Rock, Gobanme Rock, Tenmondai Rock, Akarui Point, Cape Omega, and Oku-iwa Rock along the Prince Olav Coast, in the Lutzow-Holm Complex (LHC), East Antarctica. The dating results indicate that a newly detected similar to 990 Ma metamorphism of garnet-sillimanite-biotite gneiss from Niban Rock. A thermal event at 931.7 +/- 9.8 Ma is recorded in zircon from staurolite-bearing garnet-gedrite-biotite-chlorite gneiss in Akebono Rock. The metamorphic zircon grains in other analyzed samples provide Ediacaran to Cambrian ages. Their multi-growth textures and age populations are possibly interpreted to exhibit three metamorphic stages during &gt;600-580, 580-550, and 550-500 Ma. Combined with previous reports, the metamorphic rocks in Cape Hinode, Niban-nishi Rock of Niban Rock, and Akebono Rock might have experienced earlier high-temperature metamorphism at similar to 990-930 Ma without younger overprinting. Extensive high-grade metamorphism during similar to 650-500 Ma is recorded from not only the granulite-facies zone in the west of the LHC but also the amphibolite-facies zone in its east. The main metamorphic episode in the LHC is likely to be subdivided into a preceding thermal event (either independent single metamorphic event or prograde stage) at pre-580 Ma, near-peak condition stage during 580-560 Ma, and subsequent retrograde stage after 550 Ma. In regional context this indicates that the assembly at the central Gondwana started with the collision of early and late Neoproterozoic terranes prior to 580 Ma, as a part of the East Africa-Antarctic Orogeny. Subsequent collisions took place among late Neoproterozoic igneous terrane, above terranes collided at pre-580 Ma, and Neoarchean terrane, which were probably driven by the Kuunga Orogeny.</t>
  </si>
  <si>
    <t>[Kitano, Ippei; Nakano, Nobuhiko; Osanai, Yasuhito] Kyushu Univ, Fac Social &amp; Cultural Studies, Div Earth Sci, Fukuoka 8190395, Japan; [Kitano, Ippei] Hokkaido Univ, Hokkaido Univ Museum, Sapporo, Hokkaido 0600810, Japan; [Motoyoshi, Yoichi] Natl Inst Polar Res, Tokyo 1908518, Japan; [Hokada, Tomokazu; Motoyoshi, Yoichi] Grad Univ Adv Studies SOKENDAI, Dept Polar Sci, Tokyo 1908518, Japan; [Baba, Sotaro] Univ Ryukyus, Dept Sci Educ, Okinawa 9030213, Japan; [Kamei, Atsushi] Shimane Univ, Dept Earth Sci, Matsue 6908504, Japan; [Nantasin, Prayath] Kasetsart Univ, Fac Sci, Dept Earth Sci, Bangkok 10900, Thailand; [Setiawan, Nugroho I.] Univ Gadjah Mada, Engn Fac, Geol Engn Dept, Di Yogyakarta 55281, Indonesia; [Dashbaatar, Davaa-ochir] Mongolian Univ Sci &amp; Technol, Ulaanbaatar 14191, Mongolia; [Toyoshima, Tsuyoshi] Niigata Univ, Fac Sci, Dept Geol, Niigata 9502181, Japan; [Ishikawa, Masahiro] Yokohama Natl Univ, Fac Environm &amp; Informat Sci, Div Nat Environm &amp; Informat, Yokohama 2408501, Japan; [Katori, Takuma] Fossa Magna Museum, Itoigawa 9410056, Japan</t>
  </si>
  <si>
    <t>Kyushu University; Hokkaido University; Research Organization of Information &amp; Systems (ROIS); National Institute of Polar Research (NIPR) - Japan; Graduate University for Advanced Studies - Japan; University of the Ryukyus; Shimane University; Kasetsart University; Gadjah Mada University; Mongolian University of Science &amp; Technology; Niigata University; Yokohama National University</t>
  </si>
  <si>
    <t>Kitano, I (corresponding author), Kyushu Univ, Fac Social &amp; Cultural Studies, Div Earth Sci, Fukuoka 8190395, Japan.;Kitano, I (corresponding author), Hokkaido Univ, Hokkaido Univ Museum, Sapporo, Hokkaido 0600810, Japan.</t>
  </si>
  <si>
    <t>kitano@museum.hokudai.ac.jp</t>
  </si>
  <si>
    <t>National Institute of Polar Research (NIPR) under MEXT; Fujiwara Natural History Foundation; JSPS KAKENHI [JP21H01182, JP21253008, JP22244063, JP16H02743, JP15K05345, JP18H01316, JP21K18381]</t>
  </si>
  <si>
    <t>National Institute of Polar Research (NIPR) under MEXT; Fujiwara Natural History Foundation; JSPS KAKENHI(Ministry of Education, Culture, Sports, Science and Technology, Japan (MEXT)Japan Society for the Promotion of ScienceGrants-in-Aid for Scientific Research (KAKENHI))</t>
  </si>
  <si>
    <t>This study was part of the Science Program of the Japanese Antarctic Research Expedition (JARE) . It was supported by the National Institute of Polar Research (NIPR) under MEXT. The fieldwork in this study was conducted by the operations of the 58th and 60th JARE. We thank the members of the 58th and 60th JARE and the crew of the ice- breaker SHIRASE. We also acknowledge all members of the JARE geology group for their fruitful discussions and J. Booth for his extensive and helpful English correction of the manuscript. We greatly appreciate two anonymous reviewers for their extensive constructive reviews and T. Kawakami for the editorial support. This work was supported by Fujiwara Natural History Foundation to I. Kitano and JSPS KAKENHI Grants Numbers JP21H01182 to T. Hokada, JP21253008, JP22244063, and JP16H02743 to Y. Osanai, and JP15K05345, JP18H01316, and JP21K18381 to N. Nakano.</t>
  </si>
  <si>
    <t>S009</t>
  </si>
  <si>
    <t>10.2465/jmps.221220</t>
  </si>
  <si>
    <t>CE8I4</t>
  </si>
  <si>
    <t>WOS:001123660100001</t>
  </si>
  <si>
    <t>Mori, Y; Hokada, T; Miyamoto, T; Ikeda, T</t>
  </si>
  <si>
    <t>Mori, Yuki; Hokada, Tomokazu; Miyamoto, Tomoharu; Ikeda, Takeshi</t>
  </si>
  <si>
    <t>Metamorphic age and pressure-temperature conditions recorded in a sillimanite-garnet-bearing pelitic gneiss from Niban-nishi Rock of Niban Rock on the Prince Olav Coast, eastern Dronning Maud Land, East Antarctica: Evidence for Tonian metamorphism</t>
  </si>
  <si>
    <t>Lutzow - Holm Complex; East Antarctica; Tonian metamorphism; Pressure - temperature condition; U - Th - Pb monazite dating</t>
  </si>
  <si>
    <t>LUTZOW-HOLM COMPLEX; GRANULITES; RUNDVAGSHETTA; CONSTRAINTS; INCLUSIONS; PETROLOGY; POINT; BELT</t>
  </si>
  <si>
    <t>We determined the metamorphic age and pressure-temperature conditions recorded in a sillimanite-garnet- bearing pelitic gneiss from Niban-nishi Rock, which is part of Niban Rock, on the Prince Olav Coast, eastern Dronning Maud Land, East Antarctica. Niban-nishi Rock is recognized as a component of the Lutzow-Holm Complex (LHC), which is characterized by metamorphic age of 600-520 Ma and metamorphic grade of amphibolite to granulite facies. Electron microprobe U-Th-Pb monazite dating of the examined gneiss revealed that, unlike the typical exposures of the LHC, Niban-nishi Rock experienced Tonian metamorphism at 940.1 +/- 9.8 Ma (2 sigma level), and is thus more similar to the neighboring exposures of Cape Hinode and Akebono Rock. Small numbers of younger monazite ages of 827-531 Ma were also detected, and some of which might relate to the metamorphism of the LHC. Phase equilibrium modeling and geothermobarometry indicate metamorphic conditions of 690-730 degree celsius/0.38-0.68 GPa and 620-670 degree celsius/0.42-0.60 GPa for peak and retrograde stages, respectively. The obtained peak temperature is lower than that of typical exposures in transitional- and granulite- facies zones of the LHC, such as Akarui Point and Skallen. Metamorphic features of Niban-nishi Rock, such as the upper amphibolite-facies condition and occurrences of garnet with retrograde zoning and sillimanite in the matrix, differ from those of Cape Hinode and Akebono Rock, with the former belonging to granulite facies and the latter showing kyanite in the matrix and garnet with growth zoning. Investigating Niban-nishi Rock is key in revealing the tectonic relation between the LHC and Cape Hinode (the Hinode Block). Further field surveys are required to reveal the metamorphic variations and the relations among exposures on the Prince Olav Coast.</t>
  </si>
  <si>
    <t>[Mori, Yuki] Japan Synchrotron Radiat Res Inst JASRI SPring 8, Diffract &amp; Scattering Div, Sayo, Hyogo 6795198, Japan; [Hokada, Tomokazu] Natl Inst Polar Res, Geosci Grp, Tokyo 1908518, Japan; [Hokada, Tomokazu] Grad Inst Adv Studies SOKENDAI, Tokyo 1908518, Japan; [Miyamoto, Tomoharu; Ikeda, Takeshi] Kyushu Univ, Fac Sci, Dept Earth &amp; Planetary Sci, Fukuoka, Japan</t>
  </si>
  <si>
    <t>Japan Synchrotron Radiation Research Institute; Research Organization of Information &amp; Systems (ROIS); National Institute of Polar Research (NIPR) - Japan; Kyushu University</t>
  </si>
  <si>
    <t>Mori, Y (corresponding author), Japan Synchrotron Radiat Res Inst JASRI SPring 8, Diffract &amp; Scattering Div, Sayo, Hyogo 6795198, Japan.</t>
  </si>
  <si>
    <t>yuki.mori@spring8.or.jp</t>
  </si>
  <si>
    <t>National Institute of Polar Research (NIPR) under MEXT; JSPS KAKENHI Grant [JP21K14015, JP21H01182, JPC25400518]; NIPR [28-23, 4-17, 31-24]</t>
  </si>
  <si>
    <t>National Institute of Polar Research (NIPR) under MEXT; JSPS KAKENHI Grant(Ministry of Education, Culture, Sports, Science and Technology, Japan (MEXT)Japan Society for the Promotion of ScienceGrants-in-Aid for Scientific Research (KAKENHI)); NIPR(National Institute of Polar Research (NIPR) - Japan)</t>
  </si>
  <si>
    <t>This study was part of the Science Program of the Japanese Antarctic Research Expedition (JARE) and was supported by the National Institute of Polar Research (NIPR) under MEXT. We acknowledge Daniel J. Dunkley (JARE 52, Polish Academy of Sciences) for his support in the geological fieldwork at Niban Rock during JARE 52, all the members of JARE 52, and the crew of the icebreaker Shirase. We are grateful to Kazuhiko Shimada (Kyushu University) for their technical support with the mineral chemical analyses. We are grateful to the two anonymous reviewers for constructive reviews and Tetsuo Kawakami (Kyoto University) for the editorial efforts. This study was financially supported by JSPS KAKENHI Grant Numbers JP21K14015 to YM, JP21H01182 to TH, and JPC25400518 to TI and NIPR through General Collaboration Project nos. 28-23 and 4-17 to TI and no. 31-24 to YM and TI.</t>
  </si>
  <si>
    <t>10.2465/jmps.221124</t>
  </si>
  <si>
    <t>WOS:001123660100003</t>
  </si>
  <si>
    <t>Shimura, T; Harada, Y; Fraser, GL; Tsuchiya, N</t>
  </si>
  <si>
    <t>Shimura, Toshiaki; Harada, Yuki; Fraser, Geoffrey L.; Tsuchiya, Noriyoshi</t>
  </si>
  <si>
    <t>Decompressional spinel plus plagioclase symplectite from Tenmondai Rock, Lützow-Holm Complex, East Antarctica: Implications for the garnet-aluminosilicate-spinel-plagioclase geobarometer</t>
  </si>
  <si>
    <t>East Antarctica; Geobarometer; Spinel plus plagioclase symplectite; Zr-in-Rt geothermometer; Lutzow-Holm Complex</t>
  </si>
  <si>
    <t>LUTZOW-HOLM COMPLEX; ULTRAHIGH-TEMPERATURE GRANULITES; DARKEN QUADRATIC FORMALISM; OPTIMIZED STANDARD STATE; NORTH CHINA CRATON; MIXING PROPERTIES; METAPELITIC GRANULITES; CONTACT-METAMORPHISM; REPLACING ANDALUSITE; QUARTZ ASSOCIATION</t>
  </si>
  <si>
    <t>Spinel + plagioclase symplectites in pelitic metamorphic rocks have been reported from many localities. We report in detail an occurrence of this texture from Tenmondai Rock, Lutzow-Holm Complex, East Antarctica. This texture is produced by the following metamorphic reaction; garnet + sillimanite = spinel + plagioclase. This can be described as the following two net-transfer reactions; 5Grs + Alm + 12Als = 3Hc + 15An, and 5Grs + Prp + 12Als = 3Spl + 15An. We propose new geobarometers (GASpP) based on these equations. For example, one of these is P = (-155790 + 587.4T + RT lnKFe) / 29.378, for garnet + sillimanite + spinel + plagioclase assemblage in the CFASZn-system. Where P is pressure in bar, T is temperature in K, and R represents gas constant. The 3 aAn15 ). Our proposed new geobarometers are free from quartz, corundum, orthopyroxene, and cordierite within these equations. These barometers are useful to estimate pressure conditions for spinel-bearing pelitic metamorphic rocks within a wide pressure-temperature range (andalusite, kyanite, and sillimanite fields). We estimate the metamorphic pressure-temperature (P-T) conditions at Tenmondai Rock by applying the GASP, GRIPS, GRAIL, GASpP geobarometers, and the Zr-in-Rt geothermometer. The metamorphic evolution of the rocks at Tenmondai Rock is characterized by a clockwise P-T-t path. The peak P-T condition is about 820 MPa and 850 degrees C. Spinel + plagioclase symplectite was produced during the decompressional stage of this metamorphic evolution, at about 450 MPa and 700 degrees C.</t>
  </si>
  <si>
    <t>[Shimura, Toshiaki] Yamaguchi Univ, Grad Sch Sci &amp; Technol Innovat, Yamaguchi 7538512, Japan; [Harada, Yuki] Yamaguchi Univ, Fac Sci, Dept Earth Sci, Yamaguchi 7538512, Japan; [Harada, Yuki] I SHOT Inc, Nagoya 4600012, Japan; [Fraser, Geoffrey L.] Geosci Australia, GPO Box 378, Canberra, ACT 2601, Australia; [Tsuchiya, Noriyoshi] Tohoku Univ, Grad Sch Environm Studies, Sendai 9808579, Japan</t>
  </si>
  <si>
    <t>Yamaguchi University; Yamaguchi University; Geoscience Australia; Tohoku University</t>
  </si>
  <si>
    <t>Shimura, T (corresponding author), Yamaguchi Univ, Grad Sch Sci &amp; Technol Innovat, Yamaguchi 7538512, Japan.</t>
  </si>
  <si>
    <t>smr@yamaguchi-u.ac.jp</t>
  </si>
  <si>
    <t>JSPS KAKENHI [JP24540509, JP15K05343]</t>
  </si>
  <si>
    <t>JSPS KAKENHI(Ministry of Education, Culture, Sports, Science and Technology, Japan (MEXT)Japan Society for the Promotion of ScienceGrants-in-Aid for Scientific Research (KAKENHI))</t>
  </si>
  <si>
    <t>We (Tsuchiya, Shimura, and Fraser) visited Tenmondai Rock, 11-13 February 1994, during the geological field survey of the 35th Japanese Antarctic Research Expedition (JARE-35) (1993-1994). The sample TMD40 of this study was collected at that time. We wish to thank all members of JARE-35 and the crew of the icebreaker SHIRASE, and the National Institute of Polar Research, for their support in the fieldwork. We would like to thank all members of the JARE geology group for their fruitful discussions. We wish to thank Prof. George L. Luvizotto, who kindly distributed rutile standard samples to us. Mr. Youji Morihuku helped us with EPMA analysis. Constructive reviews by two anonymous reviewers and editorial comments by Prof. T. Kawakami improved the manuscript drastically and are gratefully acknowledged. Part of this study was supported by JSPS KAKENHI Grant Numbers JP24540509 and JP15K05343 to T. Shimura.</t>
  </si>
  <si>
    <t>10.2465/jmps.221130</t>
  </si>
  <si>
    <t>WOS:001123660100014</t>
  </si>
  <si>
    <t>Decompressional spinel plus plagioclase symplectite from Tenmondai Rock, Lutzow-Holm Complex, East Antarctica: Implications for the garnet-aluminosilicate-spinel-plagioclase geobarometer</t>
  </si>
  <si>
    <t>ULTRAHIGH-TEMPERATURE GRANULITES; DARKEN QUADRATIC FORMALISM; OPTIMIZED STANDARD STATE; NORTH CHINA CRATON; MIXING PROPERTIES; METAPELITIC GRANULITES; CONTACT-METAMORPHISM; REPLACING ANDALUSITE; QUARTZ ASSOCIATION; SILLIMANITE GNEISS</t>
  </si>
  <si>
    <t>Spinel + plagioclase symplectites in pelitic metamorphic rocks have been reported from many localities. We report in detail an occurrence of this texture from Tenmondai Rock, Lutzow-Holm Complex, East Antarctica. This texture is produced by the following metamorphic reaction; garnet + sillimanite = spinel + plagioclase. This can be described as the following two net-transfer reactions; 5Grs + Alm + 12Als = 3Hc + 15An, and 5Grs + Prp + 12Als = 3Spl + 15An. We propose new geobarometers (GASpP) based on these equations. For example, one of these is P = (-155790 + 587.4T + RT lnK(Fe)) / 29.378, for garnet + sillimanite + spinel + plagioclase assemblage in the CFASZn-system. Where P is pressure in bar, T is temperature in K, and R represents gas constant. The equilibrium constant is, K-Fe = (alpha(5)(Grs) alpha(Alm))/(alpha(3)(Hc) alpha(15)(An)). Our proposed new geobarometers are free from quartz, corundum, orthopyroxene, and cordierite within these equations. These barometers are useful to estimate pressure conditions for spinel-bearing pelitic metamorphic rocks within a wide pressure-temperature range (andalusite, kyanite, and sillimanite fields). We estimate the metamorphic pressure-temperature (P-T) conditions at Tenmondai Rock by applying the GASP, GRIPS, GRAIL, GASpP geobarometers, and the Zr-in-Rt geothermometer. The metamorphic evolution of the rocks at Tenmondai Rock is characterized by a clockwise P-T-t path. The peak P-T condition is about 820 MPa and 850 degrees C. Spinel + plagioclase symplectite was produced during the decompressional stage of this metamorphic evolution, at about 450 MPa and 700 degrees C.</t>
  </si>
  <si>
    <t>[Shimura, Toshiaki] Yamaguchi Univ, Grad Sch Sci &amp; Technol Innovat, Yamaguchi 7538512, Japan; [Harada, Yuki] Yamaguchi Univ, Dept Earth Sci, Fac Sci, Yamaguchi 7538512, Japan; [Harada, Yuki] I SHOT Inc, Nagoya 4600012, Japan; [Fraser, Geoffrey L.] Geosci Australia, GPO Box 378, Canberra, ACT 2601, Australia; [Tsuchiya, Noriyoshi] Tohoku Univ, Grad Sch Environm Studies, Sendai 9808579, Japan</t>
  </si>
  <si>
    <t>WOS:001089014300004</t>
  </si>
  <si>
    <t>Tsukada, K; Sukhbaatar, P; Owada, M; Shimura, T; Yuhara, M; Kamei, A; Section, YS; Gantumur, O</t>
  </si>
  <si>
    <t>Tsukada, Kazuhiro; Sukhbaatar, Purevdulam; Owada, Masaaki; Shimura, Toshiaki; Yuhara, Masaki; Kamei, Atsushi; Section, Yusuke Shimura; Gantumur, Onon</t>
  </si>
  <si>
    <t>Tectonic division of the Southwestern terrane at the western Sor Rondane Mountains, Dronning Maud Land, East Antarctica, from a viewpoint of zircon U-Pb ages</t>
  </si>
  <si>
    <t>Zircon U-Pb age of gneisses; Tectonic division; Western Sor Rondane Mountains; East Antarctica; East Africa-East Antarctica orogen</t>
  </si>
  <si>
    <t>RETROGRADE METAMORPHISM; AFRICAN OROGEN; TRACE-ELEMENT; SHEAR ZONE; TH-PB; GEOCHRONOLOGY; EVOLUTION; MONAZITE; RECRYSTALLIZATION; COMPLEX</t>
  </si>
  <si>
    <t>The Sor Rondane Mountains (SRM) in East Antarctica, lie within the late Neoproterozoic-early Paleozoic collision zone between East and West Gondwana. Many studies have been carried out in the eastern SRM, whereas fundamental questions on the western SRM remain unanswered, for example, tectonic division and detailed metamorphic age. This paper describes zircon U-Pb ages from gneisses in the western SRM, and the tectonic division of this area is discussed. The rocks of the study area are divided into units 1 to 3 based on their lithology and structural position. Units 1 and 2, which are divided by the Kanino-tume shear zone (KSZ), are mainly composed of greenschist/ amphibolite-facies gneisses and amphibolite/granulite-facies gneisses, respectively. Unit 3 is mostly occupied by the Proterozoic GTTG. It is, in this study, revealed that the metamorphic ages of units 1 and 2 are, respectively, similar to 600-550 and similar to 670-600 Ma. The distribution of the KSZ has been inferred by mapping, but the present results on the distribution of metamorphic ages confirm this. The KSZ of the low-angle shear zone may be a critical tectonic boundary dividing the two gneiss units of similar to 600-550 and similar to 670-600 Ma within the East African-Antarctic orogen.</t>
  </si>
  <si>
    <t>[Tsukada, Kazuhiro] Nagoya Univ Museum, Nagoya 4648601, Japan; [Sukhbaatar, Purevdulam] Nagoya Univ, Grad Sch Environm Studies, Nagoya 4648601, Japan; [Owada, Masaaki; Shimura, Toshiaki] Yamaguchi Univ, Dept Geosphere Sci, Yamaguchi 7538512, Japan; [Yuhara, Masaki] Fukuoka Univ, Dept Earth Syst Sci, Fukuoka 8140180, Japan; [Kamei, Atsushi] Shimane Univ, Dept Geosci, Matsue 6908504, Japan; [Section, Yusuke Shimura] AIST, Geol Survey Japan, Tsukuba 3058567, Japan; [Gantumur, Onon] Japan Gold Corp, Japan Off, Tokyo 1070052, Japan</t>
  </si>
  <si>
    <t>Nagoya University; Nagoya University; Yamaguchi University; Fukuoka University; Shimane University; National Institute of Advanced Industrial Science &amp; Technology (AIST)</t>
  </si>
  <si>
    <t>Tsukada, K (corresponding author), Nagoya Univ Museum, Nagoya 4648601, Japan.</t>
  </si>
  <si>
    <t>tsukada@num.nagoya-u.ac.jp</t>
  </si>
  <si>
    <t>10.2465/jmps.221203</t>
  </si>
  <si>
    <t>WOS:001089014300007</t>
  </si>
  <si>
    <t>Yuhaara, M; Kamei, A; Kawano, Y; Owada, M; Shimura, T; Tsukada, K</t>
  </si>
  <si>
    <t>Yuhaara, Masaki; Kamei, Atsushi; Kawano, Yoshinobu; Owada, Masaaki; Shimura, Toshiaki; Tsukada, Kazuhiro</t>
  </si>
  <si>
    <t>High-K adakitic granite in post-Gondwana collisional stage: example for the Vengen Granite, Sør Rondane Mountains, East Antarctica</t>
  </si>
  <si>
    <t>Vengen Granite; High-K adakitic granite; Sr and Nd isotopic compositions; Rare earth element; Sor Rondane Mountains; East Antarctica</t>
  </si>
  <si>
    <t>DRONNING MAUD LAND; PAN-AFRICAN SUTURE; TONALITE-TRONDHJEMITE; ORIGIN; EVOLUTION; CONSTRAINTS; EXTENSION; EVENTS; MAGMAS</t>
  </si>
  <si>
    <t>The Vengen Granite, one of early Paleozoic granitic rocks crops out of the southern end of the Vengen ridge, the Kanino-tsume Peak at the Main Shear Zone (MSZ) of the Sor Rondane Mountains, East Antarctica. This granite is composed of medium- to fine-grained mylonitic biotite granite and cuts the MSZ and Kanino-tsume Shear Zone. The fine-grained two-mica granitic dykes locally intrude the Vengen Granite. The two-mica granitic dykes have foliations parallel to mylonitic foliations of the Vengen Granite. The Vengen Granite is composed of plagioclase, quartz, K-feldspar, biotite, and muscovite with trace amounts of titanite, allanite, apatite, zircon and opaques as accessory minerals. The granite is geochemically characterized by a high-K content, which resembles adakitic affinity. These chemical data combined with rare earth elements and Sr-Nd isotope geochemistry suggest that the source magma of the Vengen Granite was derived from partial melting of the meta-tonalite with minor amounts of the pelitic gneisses in the SW-terrane subducted under the NE-terrane during collision of the West and East Gondwana continents.</t>
  </si>
  <si>
    <t>[Yuhaara, Masaki] Fukuoka Univ, Dept Earth Syst Sci, Fukuoka 8140180, Japan; [Kamei, Atsushi] Shimane Univ, Dept Earth Sci, Matsue 6908504, Japan; [Kawano, Yoshinobu] Rissho Univ, Dept Environm Syst, Kumagaya 3600194, Japan; [Owada, Masaaki; Shimura, Toshiaki] Yamaguchi Univ, Dept Geosphere Sci, Yamaguchi 7538512, Japan; [Tsukada, Kazuhiro] Nagoya Univ Museum, Nagoya 4648601, Japan</t>
  </si>
  <si>
    <t>Fukuoka University; Shimane University; Yamaguchi University; Nagoya University</t>
  </si>
  <si>
    <t>Yuhaara, M (corresponding author), Fukuoka Univ, Dept Earth Syst Sci, Fukuoka 8140180, Japan.</t>
  </si>
  <si>
    <t>yuhara@fukuoka-u.ac.jp</t>
  </si>
  <si>
    <t>JSPS KAKENHI [JP25400521]</t>
  </si>
  <si>
    <t>This study was part of the Science Program of the JARE supported by the National Institute of Polar Research (NIPR) under MEXT. We are grateful to M. Abe and the 50th JARE led by T. Odate, and the Belgian Antarctic Research Expedition led by A. Hubert for support of our field work. Courteous and constructive anonymous reviews and editorial comments by T. Hokada improved the manuscript significantly and are gratefully acknowledged. This work was supported by JSPS KAKENHI Grant Number JP25400521.r edged. This work was supported by JSPS KAKENHI Grant Number JP25400521.</t>
  </si>
  <si>
    <t>S010</t>
  </si>
  <si>
    <t>10.2465/jmps.221117</t>
  </si>
  <si>
    <t>WOS:001123660100012</t>
  </si>
  <si>
    <t>Metamorphic rocks with different pressure-temperature-time paths bounded by a ductile shear zone at Oyayubi ridge, Brattnipene, Sør Rondane Mountains, East Antarctica</t>
  </si>
  <si>
    <t>DRONNING MAUD LAND; SOR-RONDANE; COLLISION ZONE; CONTINENTAL COLLISION; AFRICAN OROGEN; RICH FLUID; ZIRCON; PB; EVOLUTION; GARNET</t>
  </si>
  <si>
    <t>The Sor Rondane Mountains, East Antarctica have been thought to be situated in the collision zone between East and West Gondwana during the final stage of amalgamation of the Gondwana supercontinent. They are, there-fore, recognized as a key region for understanding the geological phenomena during the collisions and for testing the proposed tectonic models. We identified metamorphic rocks with different pressure-temperature-time paths that are bounded by a ductile shear zone at Oyayubi ridge, Brattnipene, Sor Rondane Mountains. Based on field and microscopic observations, chemical analyses of minerals, and zircon U-Pb dating, the sillimanite-garnet- biotite gneisses (i.e., pelitic gneisses) from higher structural level show a peak metamorphism at -590 Ma that took place under conditions of -830-840 degrees C and 0.8-0.9 GPa, and these high-temperature conditions lasted until -550 Ma. These rocks underwent isothermal decompression and then retrograde hydration under lower pres-sure-temperature conditions than 530 degrees C and 0.4 GPa at -530 Ma. In contrast, the orthogneisses that consist of hornblende-biotite gneiss and garnet-clinopyroxene gneiss from lower structural levels did not undergo meta-morphism at -600 Ma but underwent metamorphism at -570 Ma and reached peak conditions of 700-760 degrees C and 0.6-0.9 GPa at -560-550 Ma. These observations suggest thrusting of the pelitic gneiss over the orthogneiss at -570-550 Ma, causing a prograde metamorphism of the orthogneisses and a decompression of the pelitic gneisses as well as uplift and subsequent rapid denudation. The results indicate two stages of collision in the Sor Rondane Mountains and that the ductile shear zone bounding the pelitic gneiss and orthogneiss units may have been part of the continental plate collision boundary at -570-550 Ma.</t>
  </si>
  <si>
    <t>[Adachi, Tatsuro] Kyushu Univ, Fac Social &amp; Cultural Studies, Div Earth Sci, Fukuoka 8190395, Japan; [Kawakami, Tetsuo; Higashino, Fumiko] Kyoto Univ, Grad Sch Sci, Dept Geol &amp; Mineral, Kyoto 6068502, Japan; [Uno, Masaoki] Tohoku Univ, Grad Sch Engn, Dept Geosci &amp; Technol, Sendai, Miyagi 9809570, Japan</t>
  </si>
  <si>
    <t>National Institute of Polar Research (NIPR) under MEXT; NIPR General Collaboration Project [28 - 25]</t>
  </si>
  <si>
    <t>We would like to thank the members of the 61st Japan Antarctic Research Expedition, and the crew of the ice- breaker ' Shirase ' . We also thank A. Hubert and members of the Belgian Antarctic Research Station (2019 - 2020) for supporting our fi eldwork. Members of the JARE geology community are thanked for fruitful discussions and sup- port during the fieldwork in the SRM. T.A appreciates Prof. Tomokazu Hokada giving advice on the application of two feldspar thermometer. We are grateful to Prof. Joachim Jacobs and an anonymous reviewer for construc- tive reviews to improve the manuscript and Prof. Tomokazu Hokada for editorial handling. This study was part of the Science Program of the Japanese Antarctic Research Expedition (JARE) supported by the National Institute of Polar Research (NIPR) under MEXT. This study was financially supported by the NIPR General Collaboration Project (No. 28 - 25) to T.K.</t>
  </si>
  <si>
    <t>S014</t>
  </si>
  <si>
    <t>WOS:001123660100007</t>
  </si>
  <si>
    <t>Baba, S; Nantasin, P; Kamei, A; Kitano, I; Motoyoshi, Y; Setiawan, NI; Dashbaatar, D; Hokada, T</t>
  </si>
  <si>
    <t>Baba, Sotaro; Nantasin, Prayath; Kamei, Atsushi; Kitano, Ippei; Motoyoshi, Yoichi; Setiawan, Nugroho I.; Dashbaatar, Davaa-ochir; Hokada, Tomokazu</t>
  </si>
  <si>
    <t>Counter-clockwise P-T history deduced from kyanite-bearing pelitic gneiss in Tenmondai Rock, Lützow-Holm Complex, East Antarctica</t>
  </si>
  <si>
    <t>East Antarctica; Kyanite-bearing pelitic gneiss; Counter-clockwise P-T path; Tenmondai Rock; Lutzow-Holm Complex</t>
  </si>
  <si>
    <t>LUTZOW-HOLM COMPLEX; NEOPROTEROZOIC ARC MAGMATISM; DRONNING MAUD LAND; SRI-LANKA; GEOCHRONOLOGICAL CONSTRAINTS; PHASE-EQUILIBRIA; AKARUI POINT; PETROLOGY; MODEL; GEOCHEMISTRY</t>
  </si>
  <si>
    <t>This paper first reports the counter-clockwise pressure-temperature (P-T) path for the Lutzow-Holm Complex in East Antarctica. The metamorphic textures of kyanite-bearing pelitic gneisses from Tenmondai Rock includ-ing earlier spinel and ilmenite inclusions, geothermobarometric data, and pseudosection modeling indicate that the pressure increases prior to the peak metamorphic conditions at around 9 +/- 0.5 kbar and 770-820 degrees C, followed by cooling to kyanite-stability field. We conclude that these gneisses underwent granulite-facies meta-morphism with a counter-clockwise P-T path, but this contrasts with the widely recognized clockwise P-T path of the Lutzow-Holm Complex basement rocks in general. One plausible hypothesis we proposed could be that this counter-clockwise P-T path originated from magmatism with late compression and the rocks of the differ-ent structural levels are juxtaposed, while acknowledging that this hypothesis conflicts with previous studies and that further work is needed to clarify these issues.</t>
  </si>
  <si>
    <t>[Baba, Sotaro] Univ Ryukyus, Dept Sci Educ, Nishihara, Okinawa 9030213, Japan; [Nantasin, Prayath] Kasetsart Univ, Fac Sci, Dept Earth Sci, Bangkok 10900, Thailand; [Kamei, Atsushi] Shimane Univ, Dept Earth Sci, Matsue, Shimane 6908504, Japan; [Kitano, Ippei] Kyushu Univ, Fac Social &amp; Cultural Studies, Div Earth Sci, Fukuoka 8190395, Japan; [Kitano, Ippei] Hokkaido Univ, Hokkaido Univ Museum, Sapporo, Hokkaido 0600810, Japan; [Motoyoshi, Yoichi; Hokada, Tomokazu] Natl Inst Polar Res, Tokyo 1908518, Japan; [Setiawan, Nugroho I.] Univ Gadjah Mada, Engn Fac, Geol Engn Dept, Di Yogyakarta 55281, Indonesia; [Dashbaatar, Davaa-ochir] Mongolian Univ Sci &amp; Technol, Ulaanbaatar 14191, Mongolia; [Hokada, Tomokazu] Grad Univ Adv Studies SOKENDAI, Dept Polar Sci, Tokyo 1908518, Japan</t>
  </si>
  <si>
    <t>University of the Ryukyus; Kasetsart University; Shimane University; Kyushu University; Hokkaido University; Research Organization of Information &amp; Systems (ROIS); National Institute of Polar Research (NIPR) - Japan; Gadjah Mada University; Mongolian University of Science &amp; Technology; Graduate University for Advanced Studies - Japan</t>
  </si>
  <si>
    <t>Baba, S (corresponding author), Univ Ryukyus, Dept Sci Educ, Nishihara, Okinawa 9030213, Japan.</t>
  </si>
  <si>
    <t>baba@edu.u-ryukyu.ac.jp</t>
  </si>
  <si>
    <t>National Institute of Polar Research [25-17, 2-20]; Research Organization of Information and Systems [ROIS-DS- JOINT 004RP2018]</t>
  </si>
  <si>
    <t>National Institute of Polar Research(National Institute of Polar Research (NIPR) - Japan); Research Organization of Information and Systems</t>
  </si>
  <si>
    <t>We would like to thank the members of the 58th Japan Antarctic Research Expedition and the crew of the ice-breaker SHIRASE. SB acknowledges C. Kitano for support of sample preparations at the University of the Ryu-kyus. We thank T. Tsunogae and anonymous reviewers for constructive comments and T. Kawakami for editorial handling. SB and PN thank J. Booth for his improvement of the English and comments. This work was partly supported by the National Institute of Polar Research [General Collaboration Projects 25-17 and 2-20] , the Research Organization of Information and Systems [ROIS-DS- JOINT 004RP2018] .</t>
  </si>
  <si>
    <t>S001</t>
  </si>
  <si>
    <t>10.2465/jmps.221202</t>
  </si>
  <si>
    <t>WOS:001123660100011</t>
  </si>
  <si>
    <t>Miyamoto, T; Yamashita, K; Dunkley, DJ; Shimada, K; Tsunogae, T; Kato, M</t>
  </si>
  <si>
    <t>Miyamoto, Tomoharu; Yamashita, Katsuyuki; Dunkley, Daniel J.; Shimada, Kazuhiko; Tsunogae, Toshiaki; Kato, Mutsumi</t>
  </si>
  <si>
    <t>Occurrences and chemical compositions of ultrapotassic mafic dyke rocks from Skallevikshalsen and Rundvågshetta, Lützow-Holm Complex, East Antarctica</t>
  </si>
  <si>
    <t>Ltitzow-Holm Complex; Ultrapotassic mafic rocks; Fluorine and chlorine compositions; Collision between East and West Gondwana</t>
  </si>
  <si>
    <t>LUTZOW-HOLM COMPLEX; DRONNING MAUD LAND; HIGH-GRADE MARBLES; GARNET; PHLOGOPITE; EVOLUTION; QUARTZ; RUNDVAGSHETTA; GEOCHEMISTRY; PETROGENESIS</t>
  </si>
  <si>
    <t>Melanocratic dyke rocks were found at Skallevikshalsen and Rundvagshetta in the Ltitzow-Holm Complex. The rocks are commonly holocrystalline and aphyric, and consist mainly of alkali feldspar, biotite, augite, quartz, apatite, and titanite, with minor amounts of plagioclase. Almost all the mineral compositions tended to be homogeneous, whereas the composition of apatite sometimes showed intragranular heterogeneity in the F and Cl components. The melanocratic dyke rocks at Skallevikshalsen have an ultrapotassic mafic composition and resemble the compositional features of the lamproitic to minettic dyke rock previously found at Innhovde, located in the western region of the Ltitzow-Holm Complex. The dyke rocks at Rundvagshetta are considered to be a mixture of ultrapotassic mafic magma and high-Cl/F intermediate to felsic magma. Considering their occurrence and the results of Rb-Sr mineral dating, the time of intrusion was just after the metamorphism of the Ltitzow-Holm Complex, and the igneous activity was thought to have been caused by the collision between East and West Gondwana.</t>
  </si>
  <si>
    <t>[Miyamoto, Tomoharu; Shimada, Kazuhiko] Kyushu Univ, Fac Sci, Dept Earth &amp; Planetary Sci, Fukuoka 8190395, Japan; [Yamashita, Katsuyuki] Okayama Univ, Dept Earth Sci, Fac Sci, Okayama 7008530, Japan; [Dunkley, Daniel J.] Polish Acad Sci, Inst Geophys, Dept Polar &amp; Marine Res, Warsaw PL-01452, Poland; [Tsunogae, Toshiaki] Univ Tsukuba, Fac Life &amp; Environm Sci, Tsukuba 3058577, Japan; [Kato, Mutsumi] Chiba Univ, Fac Sci, Dept Earth Sci, Chiba 2638522, Japan; [Tsunogae, Toshiaki] Univ Johannesburg, Dept Geol, Auckland Pk 2006, South Africa; [Kato, Mutsumi] Nittetsu Min Consultants Co Ltd, Tokyo 1080014, Japan</t>
  </si>
  <si>
    <t>Kyushu University; Okayama University; Polish Academy of Sciences; Institute of Geophysics of the Polish Academy of Sciences; University of Tsukuba; Chiba University; University of Johannesburg</t>
  </si>
  <si>
    <t>Miyamoto, T (corresponding author), Kyushu Univ, Fac Sci, Dept Earth &amp; Planetary Sci, Fukuoka 8190395, Japan.</t>
  </si>
  <si>
    <t>miyamoto@geo.kyushu-u.ac.jp</t>
  </si>
  <si>
    <t>MEXT KAKENHI [JP19540484]; National Science Centre, Poland [UMO2021/43/B/ST10/03161]</t>
  </si>
  <si>
    <t>MEXT KAKENHI(Ministry of Education, Culture, Sports, Science and Technology, Japan (MEXT)Japan Society for the Promotion of ScienceGrants-in-Aid for Scientific Research (KAKENHI)); National Science Centre, Poland(National Science Centre, Poland)</t>
  </si>
  <si>
    <t>We express our sincere thanks to the members of JARE - 52 and crew of the icebreaker ' Shirase ' . We would like to thank the member of West Japan East Antarctic Research Group, especially Prof. H. Ishizuka, T. Kawasaki, Y. Osanai, M. Owada, T. Shimura, A. Kamei, and Drs. N. Nakano and T. Adachi, for their constructive discussions. In them, we acknowledge the useful comments and advise from Prof. M. Owada during data analysis. We thank Prof. M. Satish - Kumar for editing and two anonymous reviewers, who gave us useful advices to revise the text. We would like to thank Editage ( www.editage.com ) for English language editing. We also received help from Ms. K. Shiraga in correcting the text. Finally, we would also like to thank Prof. T. Hokada, main proposer of this special issue, for giving us the opportunity to publish this thesis. TM ' s research was supported by MEXT KAKENHI Grant Number JP19540484. D.Dunkley ' s research was supported financially by an OPUS grant UMO2021/43/B/ST10/03161 from the National Science Centre, Poland.</t>
  </si>
  <si>
    <t>S011</t>
  </si>
  <si>
    <t>10.2465/jmps.221201</t>
  </si>
  <si>
    <t>WOS:001123660100013</t>
  </si>
  <si>
    <t>Tsukada, K; Sukhbaatar, P; Owada, M; Shimura, T; Yuhara, M; Kamei, A; Shimura, Y; Gantumur, O</t>
  </si>
  <si>
    <t>Tsukada, Kazuhiro; Sukhbaatar, Purevdulam; Owada, Masaaki; Shimura, Toshiaki; Yuhara, Masaki; Kamei, Atsushi; Shimura, Yusuke; Gantumur, Onon</t>
  </si>
  <si>
    <t>Tectonic division of the Southwestern terrane at the western Sempty setr Rondane Mountains, Dronning Maud Land, East Antarctica, from a viewpoint of zircon U-Pb ages</t>
  </si>
  <si>
    <t>SOR-RONDANE; RETROGRADE METAMORPHISM; AFRICAN OROGEN; TRACE-ELEMENT; SHEAR ZONE; TH-PB; GEOCHRONOLOGY; EVOLUTION; MONAZITE; RECRYSTALLIZATION</t>
  </si>
  <si>
    <t>The Sor Rondane Mountains (SRM) in East Antarctica, lie within the late Neoproterozoic-early Paleozoic collision zone between East and West Gondwana. Many studies have been carried out in the eastern SRM, whereas fundamental questions on the western SRM remain unanswered, for example, tectonic division and detailed metamorphic age. This paper describes zircon U-Pb ages from gneisses in the western SRM, and the tectonic division of this area is discussed. The rocks of the study area are divided into units 1 to 3 based on their lithology and structural position. Units 1 and 2, which are divided by the Kanino-tume shear zone (KSZ), are mainly composed of greenschist/amphibolite-facies gneisses and amphibolite/granulitefacies gneisses, respectively. Unit 3 is mostly occupied by the Proterozoic GTTG. It is, in this study, revealed that the metamorphic ages of units 1 and 2 are, respectively, similar to 600-550 and similar to 670-600 Ma. The distribution of the KSZ has been inferred by mapping, but the present results on the distribution of metamorphic ages confirm this. The KSZ of the low-angle shear zone may be a critical tectonic boundary dividing the two gneiss units of similar to 600-550 and similar to 670-600 Ma within the East African-Antarctic orogen.</t>
  </si>
  <si>
    <t>[Tsukada, Kazuhiro] Nagoya Univ Museum, Nagoya, 4648601, Japan; [Sukhbaatar, Purevdulam] Nagoya Univ, Grad Sch Environm Studies, Nagoya 4648601, Japan; [Owada, Masaaki; Shimura, Toshiaki] Yamaguchi Univ, Dept Geosphere Sci, Yamaguchi 7538512, Japan; [Yuhara, Masaki] Fukuoka Univ, Dept Earth Syst Sci, Fukuoka 8140180, Japan; [Kamei, Atsushi] Shimane Univ, Dept Geosci, Matsue, 6908504, Japan; [Shimura, Yusuke] AIST, Geol Survey Japan, Tsukuba, 3058567, Japan; [Gantumur, Onon] Japan Gold Corp, Japan Off, Tokyo 1070052, Japan</t>
  </si>
  <si>
    <t>Tsukada, K (corresponding author), Nagoya Univ Museum, Nagoya, 4648601, Japan.</t>
  </si>
  <si>
    <t>S013</t>
  </si>
  <si>
    <t>WOS:001123660100004</t>
  </si>
  <si>
    <t>Georgiev, S; Balkanska, E; Velev, S; Metodiev, S; Georgiev, N; Guillong, M; Kurylo, S</t>
  </si>
  <si>
    <t>Georgiev, Stoyan; Balkanska, Eleonora; Velev, Stefan; Metodiev, Stefan; Georgiev, Neven; Guillong, Marcel; Kurylo, Sergiy</t>
  </si>
  <si>
    <t>From pluton intrusion to its exhumation: a case study from Barnard Point Batholith, Livingston Island, South Shetland Archipelago, Antarctica</t>
  </si>
  <si>
    <t>SPISANIE NA B LGARSKOTO GEOLOGICHESKO DRUZHESTOV-REVIEW OF THE BULGARIAN GEOLOGICAL SOCIETY</t>
  </si>
  <si>
    <t>Barnard Point Batholith; geochronology; fission-track dating; exhumation; Livingston; Antarctica</t>
  </si>
  <si>
    <t>SUBDUCTION</t>
  </si>
  <si>
    <t>Three samples from the main phase of the Barnard Point Batholith of granodiorite from the sea level up to 463 m of Mac Kay Peak - are analyzed. The U-Pb zircon geochronology reveals magmatic crystallization at 43.89 +/- 032 Ma. The Ca -amphibole thermobarometry shows a shallow crustal level emplacement (5-3.5 km and temperatures of 810-750 degrees C). Two main episodes that correspond to the uplift of the Tangra Mountain and exhumation of the batholith are distinguished using apatite fission -track analysis. The models reveal initial very rapid cooling to similar to 80-90 degrees C between 40 and 33 Ma and a second episode of uplift and moderate cooling to surface temperatures between 22 and 15 Ma. The obtained positive age -altitude correlation suggests moderate exhumation rate of 340 m/ Ma. The thermal modelling of the hypsometrically lowest sample reveals a later moderate cooling event to surface temperatures from 8 Ma to recent times, which corresponds to the Bransfield Rift initiation.</t>
  </si>
  <si>
    <t>[Georgiev, Stoyan] Bulgarian Acad Sci, Geol Inst, Acad 24 G,Bonchev Str, Sofia 1113, Bulgaria; [Balkanska, Eleonora; Georgiev, Neven] Sofia Univ, Dept Geol Paleontol &amp; Fossil Fuels, 15 Tsar Osvoboditel Blvd, Sofia 1504, Bulgaria; [Velev, Stefan] Sofia Univ, Dept Mineral Petrol &amp; Econ Geol, Tsar Osvoboditel Blvd 15, Sofia 1504, Bulgaria; [Metodiev, Stefan] Sofia Univ St Kliment Ohridski, Bulgarian Antarctic Inst, Sofia 1504, Bulgaria; [Guillong, Marcel] Swiss Fed Inst Technol, Inst Geochem &amp; Petrol, Zurich, Switzerland; [Kurylo, Sergiy] Slovak Acad Sci, Earth Sci Inst, Banska Bystrica 97411, Slovakia</t>
  </si>
  <si>
    <t>Bulgarian Academy of Sciences; University of Sofia; University of Sofia; University of Sofia; Swiss Federal Institutes of Technology Domain; ETH Zurich; Slovak Academy of Sciences; Earth Science Institute, SAS</t>
  </si>
  <si>
    <t>Georgiev, S (corresponding author), Bulgarian Acad Sci, Geol Inst, Acad 24 G,Bonchev Str, Sofia 1113, Bulgaria.</t>
  </si>
  <si>
    <t>kantega@abv.bg; balkanska@gea.uni-sofia.bg; velev@gea.uni-sofia.bg; stefan.metodiev@dundeeprecious.com; neven@gea.uni-sofia.bg; marcel.guillong@erdw.ethz.ch; kurylo.sergiy@gmail.com</t>
  </si>
  <si>
    <t>Bulgarian Polar In- stitute Fund [70-25-54]</t>
  </si>
  <si>
    <t>Bulgarian Polar In- stitute Fund</t>
  </si>
  <si>
    <t>The work is supported by the project N 70-25-54 of the Bulgarian Polar In- stitute Fund. We highly appreciate the help of the logistic team of the Bulgarian Polar Institute.</t>
  </si>
  <si>
    <t>BULGARIAN ACAD SCIENCE</t>
  </si>
  <si>
    <t>CENTRAL LIBRARY 7 NOEMVRI NO 1, SOFIA, 00000, BULGARIA</t>
  </si>
  <si>
    <t>0007-3938</t>
  </si>
  <si>
    <t>1314-8680</t>
  </si>
  <si>
    <t>SPISANIE B LGARSKOTO</t>
  </si>
  <si>
    <t>Spis. B Lgarskoto Geol. Druz.</t>
  </si>
  <si>
    <t>10.52215/rev.bgs.2023.84.3.89</t>
  </si>
  <si>
    <t>HF8C6</t>
  </si>
  <si>
    <t>WOS:001158159300004</t>
  </si>
  <si>
    <t>Pysarenko, LA; Krakovska, SV</t>
  </si>
  <si>
    <t>Pysarenko, L. A.; Krakovska, S. V.</t>
  </si>
  <si>
    <t>The impact of forest cover decrease on the wind regime changes for the territory of Ukraine based on data of the global numerical experiment LUMIP</t>
  </si>
  <si>
    <t>GEOFIZICHESKIY ZHURNAL-GEOPHYSICAL JOURNAL</t>
  </si>
  <si>
    <t>LUMIP; Global Climate Model; forest cover; wind speed; deforestation</t>
  </si>
  <si>
    <t>DEFORESTATION; VEGETATION</t>
  </si>
  <si>
    <t>The article analyses and estimates the influence of partial deforestation on wind re-gime based on the global numerical experiment Land Use Model Intercomparison Project (LUMIP). This experiment is one of the components of the global project Coupled Model Intercomparison Project Phase 6 (CMIP 6). LUMIP aims to evaluate changes in climate characteristics and biogeochemical cycles due to partial global deforestation withsubse-quent grassland establishment. A given period of retrospective modelling is divided into two subperiods. The first covers a time frame of 1850-1899 and a so-called subperiod with a minimum anthropogenic influence. During these modelled 50 years, the partial forest cover shrinkagewas conducted with a trend of 1 % per year the nodes where the forest cover exceeded 30 %. In the second subperiod (1900-1929), the forest cover was stable. Our previous papers concerned the influence of partial deforestation on the radiation, temperature, and moisture regimes in Ukraine. The present paper continues the analysis and is dedicated to the impact of partial deforestation on changes in the mean monthly wind surface speed based on data from available Global Climate Models (GCMs).Defor-estation caused quantitative changes in wind speed during all months of the year for all GCMs used in the research, however, with a different sensitivity. Maximum changes were obtained from the model with the biggest step in forest cover shrinkage among all GCMs, approximately 1.6 % a node. It should be emphasized that the biggest changes occurredin the nodes where the forest was substituted with grassland. The obtained correlations of the deforestation and mean monthly wind speed were moderately or highly negative for all seasons. The maximum wind speed and the highest changes are during the winter. In January, for example,the maximum changes can reach up to 0.3 m/s per 10 years. During spring and autumn, such tendencies generallyvary up to 0.1-0.2 m/s per 10 years. The differences in wind speed between the subperiod of stable forest cover and the partial deforestation are up to 1.2 m/s at a particular grid point on the territory of Ukraine.</t>
  </si>
  <si>
    <t>[Pysarenko, L. A.; Krakovska, S. V.] State Emergency Serv Ukraine, Ukrainian Hydrometeorol Inst, Kiev, Ukraine; [Pysarenko, L. A.; Krakovska, S. V.] Natl Acad Sci Ukraine, Kiev, Ukraine; [Pysarenko, L. A.; Krakovska, S. V.] Minist Educ &amp; Sci Ukraine, Natl Antarctic Sci Ctr, State Inst, Kiev, Ukraine</t>
  </si>
  <si>
    <t>National Academy of Sciences Ukraine; Ukrainian Hydrometeorological Institute of the State Emergency Service of Ukraine &amp; National Academy of Sciences of Ukraine; National Academy of Sciences Ukraine; Ministry of Education &amp; Science of Ukraine; State Institution National Antarctic Scientific Center</t>
  </si>
  <si>
    <t>Pysarenko, LA (corresponding author), State Emergency Serv Ukraine, Ukrainian Hydrometeorol Inst, Kiev, Ukraine.;Pysarenko, LA (corresponding author), Natl Acad Sci Ukraine, Kiev, Ukraine.;Pysarenko, LA (corresponding author), Minist Educ &amp; Sci Ukraine, Natl Antarctic Sci Ctr, State Inst, Kiev, Ukraine.</t>
  </si>
  <si>
    <t>S I SUBBOTIN INST GEOPHYSICS NATL ACAD</t>
  </si>
  <si>
    <t>KIEV</t>
  </si>
  <si>
    <t>PR PALLADINA 32, KIEV, 252142, UKRAINE</t>
  </si>
  <si>
    <t>0203-3100</t>
  </si>
  <si>
    <t>2524-1052</t>
  </si>
  <si>
    <t>GEOFIZ ZHURNAL</t>
  </si>
  <si>
    <t>Geofiz. Zhurnal</t>
  </si>
  <si>
    <t>10.24028/gj.v45i5.289106</t>
  </si>
  <si>
    <t>Y2VH1</t>
  </si>
  <si>
    <t>WOS:001103888600001</t>
  </si>
  <si>
    <t>Yao, BQ; Niu, GJ; Wang, Z; Mu, HM; Ren, XT; Jiao, YB; Cai, C; Li, J</t>
  </si>
  <si>
    <t>Yao, Boqing; Niu, Guojiang; Wang, Zhe; Mu, Hongmei; Ren, Xingtao; Jiao, Yabin; Cai, Chao; Li, Jing</t>
  </si>
  <si>
    <t>Kaistella polysaccharea sp. nov., isolated from Antarctic intertidal sediment produces a novel extracellular polymeric substance</t>
  </si>
  <si>
    <t>INTERNATIONAL JOURNAL OF SYSTEMATIC AND EVOLUTIONARY MICROBIOLOGY</t>
  </si>
  <si>
    <t>extracellular polymeric structure; intertidal zone; King George Island; psychrotolerant; Weeksellaceae</t>
  </si>
  <si>
    <t>GEN. NOV.; CHRYSEOBACTERIUM-HAIFENSE; EMENDED DESCRIPTION; ANNOTATION; KOREENSIS; SEQUENCE; IDENTITY; MEMBER</t>
  </si>
  <si>
    <t>An exopolysaccharide- producing bacterial strain GW4- 15T, belonging to the genus Kaistella, was isolated from intertidal sediment from King George Island, Antarctic. The strain was Gram- stain- negative, aerobic, rod- shaped, non- motile and yellow- pigmented. The strain was able to grow in the presence of 0-2 % (w/v) NaCl (optimum, 0 %), at 4-30 degrees C (optimum, 20-28 degrees C) and at pH 5.0-10.0 (optimum, pH 8.0). A phylogenetic tree based on 16S rRNA gene sequences showed that strain GW4- 15T formed a lineage within the genus Kaistella with the closest phylogenetic neighbours Kaistella carnis NCTC 13525T (98.3 %), Kaistella gelatinilytica G5 -32T (97.7 %), Kaistella antarctica LMG 24720T (97.4 %) and Kaistella yonginensis HMD1043T (96.9 %). Digital DNA-DNA hybridization values of strain GW4-15T with K. carnis NCTC 13525T, K. antarctica LMG 24720T, K. gelatinilytica G5 -32T and K. yonginensis HMD1043T were 22.8, 22.0, 21.7 and 21.6 %, respectively. The average nucleotide identity values between strain GW4- 15T and K. carnis NCTC 13525T, K. antarctica LMG 24720T, K. gelatinilytica G5 -32T and K. yonginensis HMD1043T were 79.3, 78.6, 77.5 and 77.2 %, respectively. The G+C content of the genome was 36.2 mol%. The major phospholipids were phosphatidylethanolamine and aminophospholipid. The predominant menaquinone was MK - 6. The major fatty acids were anteiso- C15: 0 (28.7 %), iso- C16: 0 3 - OH (15.7 %), iso- C16:0H (10.0 %), iso- C16: 0 (5.4 %), summed feature 9 (comprising iso- C17: 1 omega 9c and/or 10- methyl C16:0; 5.2 %) and iso- C15: 0 (5.1 %). The monosaccharide composition of the new type of extracellular polymeric of GW4- 15T was Glc, GalN, GlcN, Rha, Man and Gal with a molar ratio of 3.14 : 3.83 : 8.38 : 5.16 : 1 : 2.82. Based on phenotypic, phylogenetic and genotypic data, a novel species, Kaistella polysaccharea sp. nov., is proposed with the type strain GW4- 15T (=CGMCC 1.19368T=KCTC 92753T).</t>
  </si>
  <si>
    <t>[Yao, Boqing; Niu, Guojiang; Mu, Hongmei; Ren, Xingtao; Jiao, Yabin; Cai, Chao; Li, Jing] Ocean Univ China, Coll Marine Life Sci, Qingdao 266003, Shandong, Peoples R China; [Wang, Zhe; Cai, Chao] Ocean Univ China, Sch Med &amp; Pharm, Key Lab Marine Drugs, Shandong Prov Key Lab Glycoscience &amp; Glycotechnol, Qingdao 266003, Peoples R China</t>
  </si>
  <si>
    <t>Ocean University of China; Ocean University of China</t>
  </si>
  <si>
    <t>Li, J (corresponding author), Ocean Univ China, Coll Marine Life Sci, Qingdao 266003, Shandong, Peoples R China.</t>
  </si>
  <si>
    <t>lijing313@ouc.edu.cn</t>
  </si>
  <si>
    <t>Li, Jing/0000-0003-4601-3440</t>
  </si>
  <si>
    <t>National Key R and D Program of China [2018YFC1406705]</t>
  </si>
  <si>
    <t>National Key R and D Program of China</t>
  </si>
  <si>
    <t>Funding information This work was supported by the National Key R and D Program of China (grants 2018YFC1406705) .</t>
  </si>
  <si>
    <t>MICROBIOLOGY SOC</t>
  </si>
  <si>
    <t>14-16 MEREDITH ST, LONDON, ENGLAND</t>
  </si>
  <si>
    <t>1466-5026</t>
  </si>
  <si>
    <t>1466-5034</t>
  </si>
  <si>
    <t>INT J SYST EVOL MICR</t>
  </si>
  <si>
    <t>Int. J. Syst. Evol. Microbiol.</t>
  </si>
  <si>
    <t>10.1099/ijsem.0.006037</t>
  </si>
  <si>
    <t>Microbiology</t>
  </si>
  <si>
    <t>GW2T9</t>
  </si>
  <si>
    <t>WOS:001155651800017</t>
  </si>
  <si>
    <t>Jacobs, R; Spence, J; Abbott, F; Chamberlain, A; Heim, W; Dayo, AY; Kemp, D; Benford, S; Price, D; Shackford, R; Robson, J; Locke, C; King, J</t>
  </si>
  <si>
    <t>ACM</t>
  </si>
  <si>
    <t>Jacobs, Rachel; Spence, Jocelyn; Abbott, Frank; Chamberlain, Alan; Heim, Wallace; Dayo, Alexandre Yemaoua; Kemp, David; Benford, Steve; Price, Dominic; Shackford, Robin; Robson, Juliet; Locke, Caroline; King, John</t>
  </si>
  <si>
    <t>FUTURE MACHINE: Making Myths &amp; Designing Technology for a Responsible Future Making Myths and Entanglement: Community engagement at the edge of participatory design and user experience</t>
  </si>
  <si>
    <t>PROCEEDINGS OF THE 26TH INTERNATIONAL ACADEMIC MINDTREK, MINDTREK 2023</t>
  </si>
  <si>
    <t>26th International Academic Mindtrek Conference Mindtrek)</t>
  </si>
  <si>
    <t>OCT 03-06, 2023</t>
  </si>
  <si>
    <t>Tampere, FINLAND</t>
  </si>
  <si>
    <t>Climate change; Longitudinal; Environmentally Engaged Art; Interactive Art</t>
  </si>
  <si>
    <t>This paper explores the unique methods and strategies employed by a team of artists, in collaboration with engineers, programmers, a climate scientist, researchers and members of the public, who have come together to create the Future Machine, with the aim to continue this longitudinal project for 30 years. We explore the process of designing Future Machine - the provenance and sustainability of the materials, the participatory design process, how Future Machine's interactivity is evolving over time and how the technology might be sustained for 30 years. We investigate the role that Future Machine plays in engaging the human populations across these diverse places, exploring how the artists used strategies of entanglement and myth-making to support the interactions between the ecologies, technologies, non-human inhabitants, narratives and neighbourly relations that are emerging as the project evolves over time. In conclusion we propose that the artist strategies of entanglement and encouraging myth-making reveal new approaches to experiential design. We propose that these strategies provide opportunities to open up a set of disruptive/radical/novel design challenges for HCI, that encourage sustainable and positive forms of interactions for a world increasingly impacted by anthropogenic climate and environmental change</t>
  </si>
  <si>
    <t>[Jacobs, Rachel; Spence, Jocelyn; Chamberlain, Alan; Benford, Steve; Price, Dominic] Univ Nottingham, Nottingham, England; [Jacobs, Rachel; Abbott, Frank; Heim, Wallace; Dayo, Alexandre Yemaoua; Kemp, David; Shackford, Robin; Robson, Juliet] Future Comes Collect, Nottingham, England; [Locke, Caroline] Univ Derby, Future Comes Collect, Derby, England; [King, John] British Antarctic Survey, Cambridge, England</t>
  </si>
  <si>
    <t>University of Nottingham; University of Derby; UK Research &amp; Innovation (UKRI); Natural Environment Research Council (NERC); NERC British Antarctic Survey</t>
  </si>
  <si>
    <t>Jacobs, R (corresponding author), Univ Nottingham, Nottingham, England.</t>
  </si>
  <si>
    <t>Rachel.Jacobs@nottingham.ac.uk; Jocelyn.Spence@nottingham.ac.uk; frankabbot@gmail.com; Alan.Chamberlain@nottingham.ac.uk; home@wallaceheim.com; alexdayopercussion@gmail.com; davekemp.music@gmail.com; Steve.Benford@nottingham.ac.uk; dominic.price@nottingham.ac.uk; robin@littlebighead.com; robson444@btinternet.com; C.A.Locke@derby.ac.uk; jcki@bas.ac.uk</t>
  </si>
  <si>
    <t>Chamberlain, Alan/0000-0002-2122-8077; Price, Dominic/0000-0001-6636-9482; Locke, Caroline/0000-0001-7085-8123</t>
  </si>
  <si>
    <t>Arts Council England; Furtherfield, Horizon Digital Economy University of Nottingham (ESPRC/RCUK); Engineering and Physical Sciences Research council (EPSRC) [EP/V00784X/1]; EPSRC [EP/T022493/1] Funding Source: UKRI</t>
  </si>
  <si>
    <t>Arts Council England(UK Research &amp; Innovation (UKRI)Arts &amp; Humanities Research Council (AHRC)); Furtherfield, Horizon Digital Economy University of Nottingham (ESPRC/RCUK); Engineering and Physical Sciences Research council (EPSRC)(UK Research &amp; Innovation (UKRI)Engineering &amp; Physical Sciences Research Council (EPSRC)); EPSRC(UK Research &amp; Innovation (UKRI)Engineering &amp; Physical Sciences Research Council (EPSRC))</t>
  </si>
  <si>
    <t>Supported using public funding by Arts Council England, Furtherfield, Horizon Digital Economy University of Nottingham (ESPRC/RCUK), the Engineering and Physical Sciences Research council (EPSRC) through the Trustworthy Autonomous Systems Hub (EP/V00784X/1), and in kind support from Primary, British Antarctic Survey and Finsbury Park Drumming School. With thanks to Responsible Innovation and Sustainability in the Digital Arts in an age of AI: Responsibility Reimagined in the age of AI (part of the TAS RRI project), the collaborating artist Esi Eshun and all the Guardians, makers and contributors to the Future Machine.</t>
  </si>
  <si>
    <t>ASSOC COMPUTING MACHINERY</t>
  </si>
  <si>
    <t>1601 Broadway, 10th Floor, NEW YORK, NY, UNITED STATES</t>
  </si>
  <si>
    <t>979-8-4007-0874-9</t>
  </si>
  <si>
    <t>10.1145/3616961.3616979</t>
  </si>
  <si>
    <t>Computer Science, Artificial Intelligence; Computer Science, Software Engineering; Computer Science, Theory &amp; Methods</t>
  </si>
  <si>
    <t>Computer Science</t>
  </si>
  <si>
    <t>BW4FM</t>
  </si>
  <si>
    <t>Green Accepted</t>
  </si>
  <si>
    <t>WOS:001147480500010</t>
  </si>
  <si>
    <t>Gao, ZW; Chen, G; Ma, CY; Zhao, CF; Zhang, BT</t>
  </si>
  <si>
    <t>Gao, Zhanwen; Chen, Ge; Ma, Chunyong; Zhao, Chaofang; Zhang, Bentao</t>
  </si>
  <si>
    <t>The Effects of Differential Tropospheric Error on the Measurement of Wide-Swath Interferometric Altimetry</t>
  </si>
  <si>
    <t>IEEE TRANSACTIONS ON GEOSCIENCE AND REMOTE SENSING</t>
  </si>
  <si>
    <t>Oceans; Sea measurements; Satellites; Delays; Numerical models; Noise level; Microwave radiometry; Differential tropospheric error (DTE); tropospheric path delay (TPD); wavenumber spectrum; wide-swath interferometric altimetry (WSIA)</t>
  </si>
  <si>
    <t>SEA-SURFACE HEIGHT; OCEAN; MODEL; VARIABILITY; TRANSITION; WATER</t>
  </si>
  <si>
    <t>Tropospheric path delay (TPD) is one of the primary factors affecting the accuracy of sea level anomaly (SLA) measurements by satellite altimetry. This article focuses on the effects of differential tropospheric error (DTE), resulting from the different TPD between two antennas with different incident angles in the cross-track direction of the wide-swath interferometric altimetry (WSIA). Based on the principle of interferometry, this article presents the mathematical model of the DTE and conducts a simulation experiment for validation, demonstrating a tangent-squared of incidence angles relationship between the DTE and TPD. Combining observational parameters of the SWOT and Guanlan satellites, the DTE increases nonlinearly from the near nadir, reaching approximately 1 and 3 cm at the far end of the swath for SWOT and Guanlan satellites, respectively. In addition, a comparison of relative magnitude between the SLA and DTE is carried out by computing the root mean square (rms) values using the wavenumber spectrum. The ratio of rms values is larger in the typical strong current regions [Kuroshio, Gulf Stream, and Antarctic Circumpolar Current (ACC)], while smaller in the low-latitude tropics regions. Furthermore, the global distribution of the power ratio is analyzed by calculating the ratio of spectral densities between the SLA and DTE at different wavelengths. The ratio of power is largest at mesoscale (250 km) and gradually homogeneous over the global ocean at submesoscale (50 km).</t>
  </si>
  <si>
    <t>[Gao, Zhanwen; Chen, Ge; Ma, Chunyong; Zhao, Chaofang] Ocean Univ China, Coll Marine Technol, Qingdao 266100, Peoples R China; [Chen, Ge; Ma, Chunyong; Zhao, Chaofang] Lab Reg Oceanog &amp; NumericalModeling, Qingdao Natl Lab Marine Sci &amp; Technol ogy, Qingdao 266237, Peoples R China; [Zhang, Bentao] Qingdao Natl Lab Marine Sci &amp; Technol, Lab Reg Oceanog &amp; Numer Modeling, Qingdao 266237, Peoples R China</t>
  </si>
  <si>
    <t>Ocean University of China; Laoshan Laboratory</t>
  </si>
  <si>
    <t>Ma, CY (corresponding author), Ocean Univ China, Coll Marine Technol, Qingdao 266100, Peoples R China.</t>
  </si>
  <si>
    <t>gaozhanwen@stu.ouc.edu.cn; gechen@ouc.edu.cn; chunyongma@ouc.edu.cn; zhaocf@ouc.edu.cn; btzhang@qnlm.ac</t>
  </si>
  <si>
    <t>Gao, Zhanwen/0000-0001-9153-3846</t>
  </si>
  <si>
    <t>Laoshan Laboratory Science and Technology Innovation Projects</t>
  </si>
  <si>
    <t>No Statement Available</t>
  </si>
  <si>
    <t>IEEE-INST ELECTRICAL ELECTRONICS ENGINEERS INC</t>
  </si>
  <si>
    <t>PISCATAWAY</t>
  </si>
  <si>
    <t>445 HOES LANE, PISCATAWAY, NJ 08855-4141 USA</t>
  </si>
  <si>
    <t>0196-2892</t>
  </si>
  <si>
    <t>1558-0644</t>
  </si>
  <si>
    <t>IEEE T GEOSCI REMOTE</t>
  </si>
  <si>
    <t>IEEE Trans. Geosci. Remote Sensing</t>
  </si>
  <si>
    <t>10.1109/TGRS.2023.3334493</t>
  </si>
  <si>
    <t>Geochemistry &amp; Geophysics; Engineering, Electrical &amp; Electronic; Remote Sensing; Imaging Science &amp; Photographic Technology</t>
  </si>
  <si>
    <t>Geochemistry &amp; Geophysics; Engineering; Remote Sensing; Imaging Science &amp; Photographic Technology</t>
  </si>
  <si>
    <t>EY9C5</t>
  </si>
  <si>
    <t>WOS:001142604800034</t>
  </si>
  <si>
    <t>Kennedy, WJ</t>
  </si>
  <si>
    <t>Kennedy, William james</t>
  </si>
  <si>
    <t>Biographical notes</t>
  </si>
  <si>
    <t>ACTA GEOLOGICA POLONICA</t>
  </si>
  <si>
    <t>Cretaceous; Ammonites; Taxonomy; Evolution</t>
  </si>
  <si>
    <t>In this autobiographical note I describe my childhood and early University days in London, including the initia-tion of research on the Cenomanian chalks of southern England under the supervision of the late Jake Hancock, who was to become the closest of friends and collaborators for nearly 40 years. Appointment to a teaching post in Oxford in 1967 led, eventually, to the directorship of the Oxford University Museum of Natural History in 2003, until retirement in 2010. It was my good fortune to travel widely in connection with research on the Cretaceous across Europe and the United States, but particularly in KwaZulu Natal in South Africa, leading to a career long collaboration with Herbert Klinger (Cape Town). Collaboration has been the key to my research, collaboration with Jake and Herbie, and many others, including Bill Cobban, Andy Gale, Pierre Juignet, Herbert Summesberger, Irek Walaszczyk, and Willy Wright. These collaborations led to publications that dealt with ammonite faunas from The Antarctic Peninsula to Greenland, and from the United States Western Interior to Australia, as listed below.</t>
  </si>
  <si>
    <t>[Kennedy, William james] Oxford Univ Museum Nat Hist, Pk Rd, Oxford OX1 3PW, England; [Kennedy, William james] Dept Earth Sci, South Pk Rd, Oxford OX1 3AN, England</t>
  </si>
  <si>
    <t>University of Oxford</t>
  </si>
  <si>
    <t>Kennedy, WJ (corresponding author), Oxford Univ Museum Nat Hist, Pk Rd, Oxford OX1 3PW, England.;Kennedy, WJ (corresponding author), Dept Earth Sci, South Pk Rd, Oxford OX1 3AN, England.</t>
  </si>
  <si>
    <t>jim.kennedy@oum.ox.ac.uk</t>
  </si>
  <si>
    <t>POLSKA AKAD NAUK, POLISH ACAD SCIENCES, UNIV WARSAW, GEOLOGY DEPT</t>
  </si>
  <si>
    <t>WARSZAWA</t>
  </si>
  <si>
    <t>PL DEFILAD 1, WARSZAWA, 00-901, POLAND</t>
  </si>
  <si>
    <t>0001-5709</t>
  </si>
  <si>
    <t>2300-1887</t>
  </si>
  <si>
    <t>ACTA GEOL POL</t>
  </si>
  <si>
    <t>Acta Geol. Pol.</t>
  </si>
  <si>
    <t>10.24425/agp.2023.148022</t>
  </si>
  <si>
    <t>FB6G0</t>
  </si>
  <si>
    <t>WOS:001143322300014</t>
  </si>
  <si>
    <t>Lowe, M; Mather, B; Green, C; Jordan, TA; Ebbing, J; Larter, R</t>
  </si>
  <si>
    <t>Lowe, Maximilian; Mather, Ben; Green, Chris; Jordan, Tom A.; Ebbing, Joerg; Larter, Robert</t>
  </si>
  <si>
    <t>Anomalously High Heat Flow Regions Beneath the Transantarctic Mountains and Wilkes Subglacial Basin in East Antarctica Inferred From Curie Depth</t>
  </si>
  <si>
    <t>JOURNAL OF GEOPHYSICAL RESEARCH-SOLID EARTH</t>
  </si>
  <si>
    <t>geothermal heat flow; Curie depth point; East Antarctica; solid earth</t>
  </si>
  <si>
    <t>NORTHERN VICTORIA LAND; ICE-SHEET; MAGNETIC-ANOMALIES; AEROMAGNETIC DATA; BAYESIAN INVERSION; FLEXURAL UPLIFT; TEMPERATURE; GRAVITY; MODEL; SURFACE</t>
  </si>
  <si>
    <t>The Transantarctic Mountains (TAMs) separate the warmer lithosphere of the Cretaceous-Tertiary West Antarctic rift system and the colder and older provinces of East Antarctica. Low velocity zones beneath the TAM imaged in recent seismological studies have been interpreted as warm low-density mantle material, suggesting a strong contribution of thermal support to the uplift of the TAM. We present new Curie Point Depth (CPD) and geothermal heat flow (GHF) maps of the northern TAM and adjacent Wilkes Subglacial Basin (WSB) based exclusively on high resolution magnetic airborne measurements. We find shallow CPD and high GHF beneath the northern TAM, reinforcing the hypothesis of thermal support of the topography of the mountain range. Additionally, this study demonstrates, that limiting spectral analysis to areas with a high density of aeromagnetic measurements increases the resolution of CPD estimates revealing localized shallow CPD and associated high heat flow in the Central Basin of the WSB and the Rennick Graben (RG). Across the study area the CPD ranges from 15 to 35 km and the GHF values range from 30 to 110 mW/m(2). The recovered CPD range is compatible with recent Moho depth estimates, as the CPD predominantly lies within the crust, rather than in the magnetite-poor mantle. GHF estimates, based on the CPD estimates, show a good agreement to sparse in situ GHF measurements and the location of active volcanoes. Comparison to existing continent-wide GHF estimates shows strong differences from magnetically-derived heat flow estimates, while seismologically-derived heat flow estimates show the best agreement to our results.</t>
  </si>
  <si>
    <t>[Lowe, Maximilian; Jordan, Tom A.; Larter, Robert] British Antarctic Survey, Cambridge, England; [Lowe, Maximilian] Univ Edinburgh, Edinburgh, Scotland; [Mather, Ben] Univ Sydney, Sydney, Australia; [Green, Chris] Univ Leeds, Leeds, England; [Ebbing, Joerg] Christian Albrechts Univ Kiel, Kiel, Germany</t>
  </si>
  <si>
    <t>UK Research &amp; Innovation (UKRI); Natural Environment Research Council (NERC); NERC British Antarctic Survey; University of Edinburgh; University of Sydney; University of Leeds; University of Kiel</t>
  </si>
  <si>
    <t>Lowe, M (corresponding author), British Antarctic Survey, Cambridge, England.;Lowe, M (corresponding author), Univ Edinburgh, Edinburgh, Scotland.</t>
  </si>
  <si>
    <t>maxwe32@bas.ac.uk</t>
  </si>
  <si>
    <t>Green, Christopher/HKV-6140-2023; Ebbing, Joerg/B-8796-2013; Mather, Ben/AAE-6370-2020</t>
  </si>
  <si>
    <t>Green, Christopher/0000-0002-4690-7594; Ebbing, Joerg/0000-0001-7492-5338; Mather, Ben/0000-0003-3566-1557; Lowe, Maximilian/0000-0002-0313-4253; Jordan, Tom/0000-0003-2780-1986; Larter, Robert/0000-0002-8414-7389</t>
  </si>
  <si>
    <t>NERC through a SENSE CDT studentship [NE/T00939X/1]; British Geophysical Association; School of GeoSciences, The University of Edinburgh</t>
  </si>
  <si>
    <t>NERC through a SENSE CDT studentship; British Geophysical Association; School of GeoSciences, The University of Edinburgh</t>
  </si>
  <si>
    <t>Funding for this research was provided by NERC through a SENSE CDT studentship (NE/T00939X/1). ML acknowledges additional funding through the Gray-Milne Travel Bursary provided by the British Geophysical Association, Covid-19 Support Fund awarded by the British Geophysical Association and the Small IT Grant awarded by the School of GeoSciences, The University of Edinburgh. ML acknowledges Dr. Fausto Ferraccioli for proposing the PhD project, which this research is part of, through the SENSE CDT. The authors thank the developers of open scientific software products which were utilized in this study: Pycurious (Mather &amp; Delhaye, 2019), SciPy learn (Virtanen et al., 2020), NumPy (Harris et al., 2020), Matplotlib (Hunter, 2007), Pandas (McKinney, 2010), Jupyter notebook (Kluyver et al., 2016) as well as the developer of the commercial software Geosoft, especially the plug-in Compudrape and their publisher Seequent.</t>
  </si>
  <si>
    <t>AMER GEOPHYSICAL UNION</t>
  </si>
  <si>
    <t>2000 FLORIDA AVE NW, WASHINGTON, DC 20009 USA</t>
  </si>
  <si>
    <t>2169-9313</t>
  </si>
  <si>
    <t>2169-9356</t>
  </si>
  <si>
    <t>J GEOPHYS RES-SOL EA</t>
  </si>
  <si>
    <t>J. Geophys. Res.-Solid Earth</t>
  </si>
  <si>
    <t>e2022JB025423</t>
  </si>
  <si>
    <t>10.1029/2022JB025423</t>
  </si>
  <si>
    <t>H9DK3</t>
  </si>
  <si>
    <t>Green Published, Green Accepted, hybrid</t>
  </si>
  <si>
    <t>WOS:000998879300001</t>
  </si>
  <si>
    <t>Nardo, VG; Otero, IVR; Giovanella, P; dos Santos, JA; Pellizzer, EP; Dovigo, DR; Paes, ECP; Sette, LD</t>
  </si>
  <si>
    <t>Nardo, Victor g.; Otero, Igor v. r.; Giovanella, Patricia; dos Santos, Juliana aparecida; Pellizzer, Elisa p.; Dovigo, Daniel r.; Paes, Eduardo c. p; Sette, Lara d.</t>
  </si>
  <si>
    <t>Biobank of fungi from marine and terrestrial Antarctic environments</t>
  </si>
  <si>
    <t>ANAIS DA ACADEMIA BRASILEIRA DE CIENCIAS</t>
  </si>
  <si>
    <t>Extremophile; taxonomy; microbial biobank; biotechnology</t>
  </si>
  <si>
    <t>COLD-ADAPTED ENZYMES; DIVERSITY; YEASTS; ADAPTATION; MACROALGAE; RICHNESS; DESV.; SOILS</t>
  </si>
  <si>
    <t>Harsh and extreme environments, such as Antarctica, offer unique opportunities to explore new microbial taxa and biomolecules. Given the limited knowledge on microbial diversity, this study aimed to compile, analyze and compare a subset of the biobank of Antarctic fungi maintained at the UNESP's Central of Microbial Resources (CRM-UNESP). A total of 711 isolates (240 yeasts and 471 filamentous fungi) from marine and terrestrial samples collected at King George Island (South Shetland Islands, Antarctica) were used with the primary objective of investigating their presence in both marine and terrestrial environments. Among the yeasts, 13 genera were found, predominantly belonging to the phylum Basidiomycota. Among the filamentous fungi, 34 genera were represented, predominantly from the phylum Ascomycota. The most abundant genera in the marine samples were Metschnikowia, Mrakia, and Pseudogymnoascus, while in the terrestrial samples, they were Pseudogymnoascus, Leucosporidium, and Mortierella. Most of the genera and species of the CRM-UNESP biobank of Antarctic fungi are being reported as an important target for biotechnological applications. This study showed the relevance of the CRM-UNESP biobank, highlighting the importance of applying standard methods for the preservation of the biological material and associated data (BMaD), as recommended in national and international standards.</t>
  </si>
  <si>
    <t>[Nardo, Victor g.; Otero, Igor v. r.; Giovanella, Patricia; Pellizzer, Elisa p.; Dovigo, Daniel r.; Paes, Eduardo c. p; Sette, Lara d.] Univ Estadual Paulista UNESP, Dept Biol Geral &amp; Aplicada, Inst Biociencias, Ave 24A,1515, BR-13506900 Rio Claro, SP, Brazil; [Giovanella, Patricia; Sette, Lara d.] Univ Estadual Paulista UNESP, Ctr Estudos Ambientais, Ave 24A,1515, BR-13506900 Rio Claro, SP, Brazil; [dos Santos, Juliana aparecida] Univ Vale Sapucai Univas, Ave Prefeito Tuany Toledo,470,Fatima, BR-37550000 Pouso Alegre, MG, Brazil</t>
  </si>
  <si>
    <t>Universidade Estadual Paulista; Universidade Estadual Paulista; Universidade do Vale do Sapucai (UNIVAS)</t>
  </si>
  <si>
    <t>Sette, LD (corresponding author), Univ Estadual Paulista UNESP, Dept Biol Geral &amp; Aplicada, Inst Biociencias, Ave 24A,1515, BR-13506900 Rio Claro, SP, Brazil.;Sette, LD (corresponding author), Univ Estadual Paulista UNESP, Ctr Estudos Ambientais, Ave 24A,1515, BR-13506900 Rio Claro, SP, Brazil.</t>
  </si>
  <si>
    <t>lara.sette@unesp.br</t>
  </si>
  <si>
    <t>dos Santos, Juliana Aparecida/ITW-1493-2023</t>
  </si>
  <si>
    <t>dos Santos, Juliana Aparecida/0000-0003-4654-4698; Sette, Lara/0000-0002-5980-3786; Pais Pellizzer, Elisa/0000-0002-1936-6331</t>
  </si>
  <si>
    <t>Coordenao de Aperfeioamento de Pessoal de Nvel Superior-Brazil (CAPES); Coordenacao de Aperfeicoamento de Pessoal de Nivel Superior - Brazil (CAPES) [001]; Conselho Nacional de Desenvolvimento Cientifico e Tecnologico (CNPq) [131330/2022-5, 122771/2022-2]; CNPq [303218/2019-3]</t>
  </si>
  <si>
    <t>Coordenao de Aperfeioamento de Pessoal de Nvel Superior-Brazil (CAPES)(Coordenacao de Aperfeicoamento de Pessoal de Nivel Superior (CAPES)); Coordenacao de Aperfeicoamento de Pessoal de Nivel Superior - Brazil (CAPES)(Coordenacao de Aperfeicoamento de Pessoal de Nivel Superior (CAPES)); Conselho Nacional de Desenvolvimento Cientifico e Tecnologico (CNPq)(Conselho Nacional de Desenvolvimento Cientifico e Tecnologico (CNPQ)); CNPq(Conselho Nacional de Desenvolvimento Cientifico e Tecnologico (CNPQ))</t>
  </si>
  <si>
    <t>VGN thanks UNESP for his scholarship. EPP thanks Coordenacao de Aperfeicoamento de Pessoal de Nivel Superior - Brazil (CAPES) (Financing Code 001) for her scholarship. DRD and ECP thank Conselho Nacional de Desenvolvimento Cientifico e Tecnologico (CNPq) for their scholarships (#131330/2022-5 and #122771/2022-2, respectively) . LDS thanks CNPq for the Productivity Fellowship (#303218/2019-3).</t>
  </si>
  <si>
    <t>ACAD BRASILEIRA DE CIENCIAS</t>
  </si>
  <si>
    <t>RIO JANEIRO</t>
  </si>
  <si>
    <t>RUA ANFILOFIO DE CARVALHO, 29, 3 ANDAR, 20030-060 RIO JANEIRO, BRAZIL</t>
  </si>
  <si>
    <t>0001-3765</t>
  </si>
  <si>
    <t>1678-2690</t>
  </si>
  <si>
    <t>AN ACAD BRAS CIENC</t>
  </si>
  <si>
    <t>An. Acad. Bras. Cienc.</t>
  </si>
  <si>
    <t>e20230603</t>
  </si>
  <si>
    <t>10.1590/0001-3765202320230603</t>
  </si>
  <si>
    <t>DH5M1</t>
  </si>
  <si>
    <t>WOS:001131151100001</t>
  </si>
  <si>
    <t>Sacramento, IF; Schaefer, CEGR; Siqueira, RG; Corrêa, GR; Putzke, J; Michel, RFM; Francelino, MR</t>
  </si>
  <si>
    <t>Sacramento, Iorrana F.; Schaefer, Carlos Ernesto G. R.; Siqueira, Rafael G.; Correa, Guilherme R.; Putzke, Jair; Michel, Roberto F. M.; Francelino, Marcio R.</t>
  </si>
  <si>
    <t>Ornithogenesis and soil-landscape interplays at northern Harmony Point, Nelson Island, Maritime Antarctica</t>
  </si>
  <si>
    <t>cryosols; cryoturbation; pedogenesis; phosphatization.</t>
  </si>
  <si>
    <t>SOUTH-SHETLAND-ISLANDS; KING-GEORGE ISLAND; FILDES PENINSULA; LIVINGSTON-ISLAND; POTTER PENINSULA; WEST ANTARCTICA; HURD PENINSULA; ARDLEY ISLAND; ACTIVE-LAYER; CRYOSOLS</t>
  </si>
  <si>
    <t>Understanding the influence of soil-forming factors and processes in ornithogenic soils is important to predict impacts of climate change on Antarctic ecosystems. Herein, we analyzed the soil-landscape interplays and development of ornithogenic soils at Harmony Point (HP), Nelson Island. We collected, described, and classified 24 soil profiles, combined with vegetation and landforms descriptions. Geoprocessing techniques were employed for mapping. Soil physical, chemical, geochemical, and mineralogical analyses were applied. Patterned ground, Ornithogenic/ Typic Gelorthent, and moss carpets were the dominant landform, soil and vegetation classes, respectively. Soils from rocky outcrops were more structured, acidic, with higher organic carbon, organometallic complexes, and secondary phosphate minerals, due to former bird influence. Soils from cryoplanated platforms presented higher water pH, base saturation, clay content, and secondary silicate minerals. Soils from marine terraces presented high exchangeable bases, phosphorous, and amorphous phosphate minerals. Soil chemical weathering is enhanced by ornithogenesis and widespread in HP. Besides ornithogenesis, organic matter accumulation, cryoturbation, and cryoclastic processes are also important to pedogenesis of ornithogenic soils. The soils of the cryoplanated platforms exhibited a gradient of pedogenetic development corresponding to increasing biota influence and distance from glacier. In contrast, soils of rocky outcrops were more developed even close to the glacier, due to ornithogenesis.</t>
  </si>
  <si>
    <t>[Sacramento, Iorrana F.; Schaefer, Carlos Ernesto G. R.; Siqueira, Rafael G.; Francelino, Marcio R.] Univ Fed Vicosa, Dept Solos, Ave Peter Henry Rolfs,S-N,Campus Univ, BR-36570900 Vicosa, MG, Brazil; [Correa, Guilherme R.] Inst Geog, Ave Joao Naves Avila,2121,Campus Santa Monica,St M, BR-38400902 Uberlandia, MG, Brazil; [Putzke, Jair] Univ Fed Pampa, Programa Posgrad Ciencias Biol, Ave Antonio Trilha,Campus Sao Gabriel, BR-97300000 Sao Gabriel, RS, Brazil; [Michel, Roberto F. M.] Univ Estadual Santa Cruz, Dept Ciencias Agr &amp; Ambientais, Rodovia Jorge Amado,Km 1, BR-45662900 Ilheus, BA, Brazil</t>
  </si>
  <si>
    <t>Universidade Federal de Vicosa; Universidade Federal do Pampa; Universidade Estadual de Santa Cruz</t>
  </si>
  <si>
    <t>Sacramento, IF (corresponding author), Univ Fed Vicosa, Dept Solos, Ave Peter Henry Rolfs,S-N,Campus Univ, BR-36570900 Vicosa, MG, Brazil.</t>
  </si>
  <si>
    <t>iorranafigueiredos@gmail.com</t>
  </si>
  <si>
    <t>Francelino, Marcio Rocha/AAS-4224-2020</t>
  </si>
  <si>
    <t>Francelino, Marcio Rocha/0000-0001-8837-1372; Siqueira, Rafael Gomes/0000-0003-2779-136X; RESENDE CORREA, GUILHERME/0000-0001-8763-7204; , jair/0000-0002-9018-9024</t>
  </si>
  <si>
    <t>Coordenacao de Aperfeicoamento de Pessoal de Nivel Superior-Brazil (CAPES) [001]; CAPES; Conselho Nacional de Desenvolvimento Cientifico e Tecnologico-Brazil (CNPq)</t>
  </si>
  <si>
    <t>Coordenacao de Aperfeicoamento de Pessoal de Nivel Superior-Brazil (CAPES)(Coordenacao de Aperfeicoamento de Pessoal de Nivel Superior (CAPES)); CAPES(Coordenacao de Aperfeicoamento de Pessoal de Nivel Superior (CAPES)); Conselho Nacional de Desenvolvimento Cientifico e Tecnologico-Brazil (CNPq)(Conselho Nacional de Desenvolvimento Cientifico e Tecnologico (CNPQ))</t>
  </si>
  <si>
    <t>This study was financed in part by the Coordenacao de Aperfeicoamento de Pessoal de Nivel Superior-Brazil (CAPES) -Finance Code 001. We acknowledge the CAPES for concession the scholarship of the first author, and the Conselho Nacional de Desenvolvimento Cientifico e Tecnologico-Brazil (CNPq) for financial support of this project. This study was part of the first author's dissertation. This work is a contribution of Institute of Science and Technology of the Cryosphere-TERRANTAR group.</t>
  </si>
  <si>
    <t>e20230722</t>
  </si>
  <si>
    <t>10.1590/0001-3765202320230722</t>
  </si>
  <si>
    <t>DH3U1</t>
  </si>
  <si>
    <t>WOS:001131106600001</t>
  </si>
  <si>
    <t>Gomes, F; Prado, T; Degrave, W; Moreira, L; Magalhaes, M; Magdinier, H; Vilela, R; Siqueira, M; Brandao, M; Ogrzewalska, M</t>
  </si>
  <si>
    <t>Gomes, Fernanda; Prado, Tatiana; Degrave, Wim; Moreira, Lucas; Magalhaes, Maithe; Magdinier, Harrison; Vilela, Roberto; Siqueira, Marilda; Brandao, Martha; Ogrzewalska, Maria</t>
  </si>
  <si>
    <t>Active surveillance for influenza virus and coronavirus infection in Antarctic birds and mammals in environmental fecal samples, South Shetland Islands</t>
  </si>
  <si>
    <t>Active surveillance; Antarctic wildlife; viral infections; zoonotic risks; environ-mental fecal samples</t>
  </si>
  <si>
    <t>A VIRUS; AVIAN CORONAVIRUS; IDENTIFICATION; PENGUINS; LINEAGE</t>
  </si>
  <si>
    <t>Numerous Antarctic species are recognized as reservoirs for various pathogens, and their migratory behavior allows them to reach the Brazilian coast, potentially contributing to the emergence and circulation of new infectious diseases. To address the potential zoonotic risks, we conducted surveillance of influenza A virus (IAV) and coronaviruses (CoVs) in the Antarctic Peninsula, specifically focusing on different bird and mammal species in the region. During the summer of 2021/2022, as part of the Brazilian Antarctic Expedition, we collected and examined a total of 315 fecal samples to target these respiratory viruses. Although we did not detect the viruses of interest during this particular expedition, previous research conducted by our team has shown the presence of the H11N2 subtype of influenza A virus in penguin fecal samples from the same region. Given the continuous emergence of new viral strains worldwide, it is crucial to maintain active surveillance in the area, contributing to strengthening integrated One Health surveillance efforts.</t>
  </si>
  <si>
    <t>[Gomes, Fernanda; Prado, Tatiana; Siqueira, Marilda; Ogrzewalska, Maria] Fundacao Oswaldo Cruz, Lab Virus Resp Exantemat &amp; Enter &amp; Emergencias Vir, Inst Oswaldo Cruz, Ave Brasil 4365, BR-21040900 Rio De Janeiro, RJ, Brazil; [Degrave, Wim; Magalhaes, Maithe] Fundacao Oswaldo Cruz, Lab Genom Aplicada &amp; Bioinovacao, Inst Oswaldo Cruz, Av Brasil 4365, BR-21040900 Rio De Janeiro, RJ, Brazil; [Moreira, Lucas] Fundacao Oswaldo Cruz, Lab Micol, Inst Nacl Infectol Evandro Chagas, Av Brasil 4365, BR-21045900 Rio De Janeiro, RJ, Brazil; [Magdinier, Harrison] Fundacao Oswaldo Cruz, Lab Biol Mol Aplicada Micobacterias, Inst Oswaldo Cruz, Av Brasil 4365, BR-21040900 Rio De Janeiro, RJ, Brazil; [Vilela, Roberto] Fundacao Oswaldo Cruz, Lab Biol &amp; Parasitol Mamiferos Silvestres Reservat, Inst Oswaldo Cruz, Av Brasil 4365, BR-21040900 Rio De Janeiro, RJ, Brazil; [Brandao, Martha] Fundacao Oswaldo Cruz, Vice Presidencia Prod &amp; Inovacao Saude, Av Brasil 4365, BR-21040360 Rio De Janeiro, RJ, Brazil</t>
  </si>
  <si>
    <t>Fundacao Oswaldo Cruz; Fundacao Oswaldo Cruz; Fundacao Oswaldo Cruz; Fundacao Oswaldo Cruz; Fundacao Oswaldo Cruz; Fundacao Oswaldo Cruz</t>
  </si>
  <si>
    <t>Ogrzewalska, M (corresponding author), Fundacao Oswaldo Cruz, Lab Virus Resp Exantemat &amp; Enter &amp; Emergencias Vir, Inst Oswaldo Cruz, Ave Brasil 4365, BR-21040900 Rio De Janeiro, RJ, Brazil.</t>
  </si>
  <si>
    <t>mogrzewalska@gmail.com</t>
  </si>
  <si>
    <t>Ogrzewalska, Maria/J-8700-2013; Vilela, Roberto do Val/D-1525-2015</t>
  </si>
  <si>
    <t>Ogrzewalska, Maria/0000-0002-9207-743X; Vilela, Roberto do Val/0000-0003-3275-2648; Machado Moreira, Lucas/0000-0002-8084-7513; Magalhaes, Maithe/0000-0003-3340-2236; Degrave, Wim/0000-0003-3533-4580; Lima Brandao, Martha/0000-0001-8529-8202</t>
  </si>
  <si>
    <t>INOVA - EDITAL 2/2018 - GERACO DE CONHECIMENTO [CNPq 442646/2018-6, 4720463444, IOC-026-FIO-21]; Conselho Nacional de Desenvolvimento Cientifico e Tecnologico (CNPq); Ministerio da Ciencia, Tecnologia, Inovaces e Comunicaces (MCTIC); Coordenaco de Aperfeicoamento de Pessoal de Nivel Superior (CAPES)/FNDCT [CNPq 442646/2018-6, 21/2018]; Fundaco para o Desenvolvimento Cientifico e Tecnologico em Saude - FIOTEC [IOC-026-FIO-21]</t>
  </si>
  <si>
    <t>INOVA - EDITAL 2/2018 - GERACO DE CONHECIMENTO; Conselho Nacional de Desenvolvimento Cientifico e Tecnologico (CNPq)(Conselho Nacional de Desenvolvimento Cientifico e Tecnologico (CNPQ)); Ministerio da Ciencia, Tecnologia, Inovaces e Comunicaces (MCTIC); Coordenaco de Aperfeicoamento de Pessoal de Nivel Superior (CAPES)/FNDCT(Coordenacao de Aperfeicoamento de Pessoal de Nivel Superior (CAPES)); Fundaco para o Desenvolvimento Cientifico e Tecnologico em Saude - FIOTEC</t>
  </si>
  <si>
    <t>FIOANTAR Working Group (https://fioantar.fiocruz.br/equipe), Programa Antartico Brasileiro - PROANTAR and Vice-Presidencia de Produc &amp; atilde;o e Inovac &amp; atilde;o em Saude (VPPIS). This study was partly supported by INOVA - EDITAL 2/2018 - GERAC &amp; Atilde;O DE CONHECIMENTO [grant number: 4720463444], and Conselho Nacional de Desenvolvimento Cientifico e Tecnologico (CNPq), Ministerio da Ciencia, Tecnologia, Inovac &amp; otilde;es e Comunicac &amp; otilde;es (MCTIC), Coordenac &amp; atilde;o de Aperfeicoamento de Pessoal de Nivel Superior (CAPES)/FNDCT N degrees 21/2018 - PROANTAR [grant number: CNPq 442646/2018-6]. Fundac &amp; atilde;o para o Desenvolvimento Cientifico e Tecnologico em Saude - FIOTEC [process: IOC-026-FIO-21] in award a scholarship.</t>
  </si>
  <si>
    <t>e20230741</t>
  </si>
  <si>
    <t>10.1590/0001-3765202320230741</t>
  </si>
  <si>
    <t>DH0D7</t>
  </si>
  <si>
    <t>WOS:001131011600001</t>
  </si>
  <si>
    <t>Portella, MBP; Simoes, JC; Bernardo, RT; Ilha, JG; Casassa, G</t>
  </si>
  <si>
    <t>Portella, Manoela B. P.; Simoes, Jefferson C.; Bernardo, Ronaldo T.; Ilha, Joao G.; Casassa, Gino</t>
  </si>
  <si>
    <t>Stable-isotope ratios (δ18O and δD) in a firn core from West Antarctica</t>
  </si>
  <si>
    <t>Antarctica; firn core; glaciology; stable isotopes</t>
  </si>
  <si>
    <t>ICE-CORE; SURFACE SNOW; DEUTERIUM EXCESS; MASS-BALANCE; SHEET; ACCUMULATION; VARIABILITY; GREENLAND; SCIENCE; COASTAL</t>
  </si>
  <si>
    <t>A 22.48 m long ice core (BR-IC-4) was collected in the West Antarctic Ice Sheet (at 83 degrees 58'59.4 S, 80 degrees 07'01.4 W, 1,295 m above the sea level) during the Austral summer of 2004-2005, as a contribution to the International Trans-Antarctic Expedition program. The isotopic composition (delta D and delta 18O) of 599 samples, corresponding to the upper 12.98 m of the ice core, was determined by gas source mass spectrometry and cavity ring-down spectroscopy. Relative dating was based on the isotopic ratios and major ions (MS-, Na+, nssSO42-) and trace elements (Na, S, Sr) concentrations. The record covers approximately 13 years - from 1990 to 2003. The mean accumulation rate of 0.48 +/- 0.09 m water equivalent per year (m eq H2O a-1) is relatively high for the geographical area and possibly results from snowdrifting from near areas, as attested by ice glaze surfaces in other sites in the region. The stable isotope delta D content varies between-367.90%degrees and-256.30%degrees (mean-314.42 +/- 19.01%degrees); and delta 18O ranges from-44.96%degrees to-35.08%degrees (mean-39.95 +/- 2.05%degrees). Deuterium excess values (mean 3.70 +/- 1.54%degrees) indicate episodic intense oceanic evaporation and high relative humidity in the moisture sources.</t>
  </si>
  <si>
    <t>[Portella, Manoela B. P.; Simoes, Jefferson C.; Ilha, Joao G.] Univ Fed Rio Grande do Sul, Programa Posgrad Geociencias, Av Bento Goncalves 9500, BR-91540000 Porto Alegre, RS, Brazil; [Portella, Manoela B. P.; Simoes, Jefferson C.; Bernardo, Ronaldo T.; Ilha, Joao G.] Univ Fed Rio Grande do Sul, Ctr Climat &amp; Polar, Inst Geociencias, Av Bento Goncalves 9500, BR-91540000 Porto Alegre, RS, Brazil; [Simoes, Jefferson C.] Univ Maine, Climate Change Inst, Orono, ME 04469 USA; [Casassa, Gino] Univ Magallanes, Av Pdte Manuel Bulnes 01855, Punta Arenas, Chile</t>
  </si>
  <si>
    <t>Universidade Federal do Rio Grande do Sul; Universidade Federal do Rio Grande do Sul; University of Maine System; University of Maine Orono; Universidad de Magallanes</t>
  </si>
  <si>
    <t>Portella, MBP (corresponding author), Univ Fed Rio Grande do Sul, Programa Posgrad Geociencias, Av Bento Goncalves 9500, BR-91540000 Porto Alegre, RS, Brazil.;Portella, MBP (corresponding author), Univ Fed Rio Grande do Sul, Ctr Climat &amp; Polar, Inst Geociencias, Av Bento Goncalves 9500, BR-91540000 Porto Alegre, RS, Brazil.</t>
  </si>
  <si>
    <t>manoela_@hotmail.com</t>
  </si>
  <si>
    <t>Chilean Army and the Chilean Air Force (FACh)</t>
  </si>
  <si>
    <t>This research is part of the Brazilian Antarctic Program (PROANTAR) and was financed with funds from the Conselho Nacional de Desenvolvimento Cientifico e Tecnologico (CNPq), processes 558117/2005-8 and 557053/2009-9, and from the National Institute of Science and Technology of the Cryosphere (CNPq process 465680/2014-3). The fieldwork was a collaboration between the Centro de Estudios Cientificos de Valdivia (Chile) and the Centro Polar e Climatico/UFRGS. The logistic support was provided by the Chilean Army and the Chilean Air Force (FACh). The authors have declared no conflicts of interest for this article.r logistic support was provided by the Chilean Army and the Chilean Air Force (FACh) . The authors have declared no conflicts of interest for this article.</t>
  </si>
  <si>
    <t>e20230132</t>
  </si>
  <si>
    <t>10.1590/0001-3765202320230132</t>
  </si>
  <si>
    <t>DG3W1</t>
  </si>
  <si>
    <t>WOS:001130846100001</t>
  </si>
  <si>
    <t>Özyurt, M; Demir, Y; Özkan, K; Kandemir, R</t>
  </si>
  <si>
    <t>Ozyurt, Merve; Demir, Yilmaz; Ozkan, Korhan; Kandemir, Raif</t>
  </si>
  <si>
    <t>Geochemistry of the Lake Sediments on Robert Island, South Shetland Islands, Antarctica: implications for weathering processes in Polar areas</t>
  </si>
  <si>
    <t>TURKISH JOURNAL OF EARTH SCIENCES</t>
  </si>
  <si>
    <t>Antarctic Peninsula; Robert Island; lake sediments; REE; trace element</t>
  </si>
  <si>
    <t>RARE-EARTH-ELEMENTS; EAST ANTARCTICA; SCHIRMACHER OASIS; EVOLUTION; PROVENANCE; ROCKS; CHEMISTRY; PENINSULA; SHELF; DUST</t>
  </si>
  <si>
    <t>The preliminary results of geochemical analyses of the surface sediments from 4 lakes on Robert Island, South Shetland, Antarctica, are presented herein. The samples were collected during the Turkish Antarctic Expedition (TAE-II) in 2018. Sediment samples were obtained from the littoral zone (approximately 20 cm) of 4 different lakes exposed on the glacier-free land area on Robert Island. The lake sediments predominantly consist of fine-grained sand, clay, and silt particles. These particles include Fe-shale and graywacke geochemical characteristics. Their plagioclase index of alteration, chemical index of weathering, chemical index of alteration, and other weathering index values, suggest that the studied sediments have likely undergone low to moderate weathering and alteration processes. The Th/U ratios generally indicated a lower distribution relatively to the upper continental crust, and they displayed slight enrichment in alkali elements, indicating a low degree of chemical weathering that has slightly influenced the sediment chemistry. Moreover, the Gd/Yb, Zr/Y, and La/Yb ratios exhibited similarities with the surrounding volcanic rocks on Robert Island. Additionally, their chondrite-normalized rare earth element (REE) patterns exhibited a similar trend, implying that the REE composition of the sediments is predominantly controlled by the local source rocks. Nevertheless, there were slight differences in the Y/Ho ratios and heavy REE (HREE) contents, suggesting the presence of additional sources contributing to the REE supply in the lake basins. The Co/ Th, La/Sc, Th/Sc, and Zr/Sc ratios mostly resembled those of basic volcanic rocks, while the Rb, K, HREE, and Ni values dominantly indicated basic rocks with a minor input from felsic magmatic or quartzose sedimentary rocks. Considering the geomorphology and location of the basins, which are mostly situated along the coast where foehn winds have a limited influence over ice-free areas, it is likely that locally resuspended materials have had a significant impact. This factor may mask any potential signals of modern dust fallout and accumulation. However, possible dust sources include nearby or distant areas, such as exposed rock and sediment within the immediate vicinity of the lakes, including dry lakebeds, glacial outwash plains, or exposed moraines. Based on multiproxy element analyses, including REEs, high field strength elements, and lithophile elements, the geochemistry of the studied sediments, the overall geochemical characteristics cannot be fully explained by the local sources, suggesting that weathering processes and minor contributions from dust materials have played a nonnegligible role in shaping their chemistry.</t>
  </si>
  <si>
    <t>[Ozyurt, Merve] Karadeniz Tech Univ, Dept Geol Engn, Trabzon, Turkiye; [Demir, Yilmaz; Kandemir, Raif] Recep Tayyip Erdogan Univ, Dept Geol Engn, Rize, Turkiye; [Ozkan, Korhan] Middle East Tech Univ, Inst Marine Sci, Mersin, Turkiye</t>
  </si>
  <si>
    <t>Karadeniz Technical University; Recep Tayyip Erdogan University; Middle East Technical University</t>
  </si>
  <si>
    <t>Kandemir, R (corresponding author), Recep Tayyip Erdogan Univ, Dept Geol Engn, Rize, Turkiye.</t>
  </si>
  <si>
    <t>raif.kandemir@erdogan.edu.tr</t>
  </si>
  <si>
    <t>Auspices of the Turkish Republic Presidency; Ministry of Science, Industry, and Technology; Scientific and Technological Research Council of Turkiye (TUBIdot;TAK) [118Y330]; Recep Tayyip Erdogan University, Scientific Research Projects [FBA-2020-1108]</t>
  </si>
  <si>
    <t>Auspices of the Turkish Republic Presidency; Ministry of Science, Industry, and Technology; Scientific and Technological Research Council of Turkiye (TUBIdot;TAK); Recep Tayyip Erdogan University, Scientific Research Projects</t>
  </si>
  <si>
    <t>This study was carried out under the auspices of the Turkish Republic Presidency, supported by the Ministry of Science, Industry, and Technology, and coordinated by the &amp; Idot;stanbul Technical University (ITU) Polar Research Center (PolReC). This project was partially funded by The Scientific and Technological Research Council of Turkiye (TUB &amp; Idot;TAK) (Project number 118Y330) and Recep Tayyip Erdogan University, Scientific Research Projects (FBA-2020-1108).</t>
  </si>
  <si>
    <t>Tubitak Scientific &amp; Technological Research Council Turkey</t>
  </si>
  <si>
    <t>ANKARA</t>
  </si>
  <si>
    <t>ATATURK BULVARI NO 221, KAVAKLIDERE, TR-06100 ANKARA, TURKIYE</t>
  </si>
  <si>
    <t>1300-0985</t>
  </si>
  <si>
    <t>TURK J EARTH SCI</t>
  </si>
  <si>
    <t>Turk. J. Earth Sci.</t>
  </si>
  <si>
    <t>10.55730/1300-0985.1885</t>
  </si>
  <si>
    <t>CS2G5</t>
  </si>
  <si>
    <t>WOS:001127159300007</t>
  </si>
  <si>
    <t>Kandemir, R; Demir, Y; Sen, C; Yagcioglu, UC</t>
  </si>
  <si>
    <t>Kandemir, Raif; Demir, Yilmaz; Sen, Cuneyt; Yagcioglu, Ufuk Celal</t>
  </si>
  <si>
    <t>The petrogenesis of analcime in the Coppermine Formation on Robert Island, South Shetland Islands, Antarctica</t>
  </si>
  <si>
    <t>Antarctica; South Shetland Islands; Robert Island; Coppermine Formation; vesicle fillings; analcime</t>
  </si>
  <si>
    <t>ZEOLITES; SEDIMENTS; EVOLUTION; ROCKS</t>
  </si>
  <si>
    <t>The South Shetland Islands were shaped by island arc volcanism that occurred from the Jurassic to the Quaternary. Robert Island is located in the center of this archipelago, and Coppermine Peninsula, located on the southwestern part of Robert Island, exposures significant rock outcrops of basalts and andesitic-basaltic agglomerates of the Coppermine Formation. The investigated samples were collected during Turkish Antarctic Expedition 2 (TAE-II), in March-April 2018, from the area northeast of Triplet Hill. The volcanic rocks exhibited an amygdaloidal microlithic-porphyritic texture. Subhedral to anhedral phenocrysts of labradorite, augite, and olivine were observed with holocrystalline groundmass composed of plagioclase, pyroxene, and opaques. Petrographic studies revealed that the vesicles were initially coated with clay minerals, and X-ray diffraction studies showed that mostly analcime and carbonates, and less amount of zeolites filled the vesicles. Herein, it was aimed to discuss the analcime formation. Fluid inclusion studies performed on the analcime revealed homogenization temperatures ranging from 83 to 268 degrees C. The eutectic temperatures of the fluid inclusions suggested that these minerals were formed from NaCl-dominated solutions that contained a limited amount of MgCl2 and CaCl2. The salinity of these inclusions ranged between 0.2-2.9 wt.% NaCl equivalent, and exhibited final ice melting temperatures of -1.7 to -0.1 degrees C. These salinity values, which are lower than the average salinity values of seawater, suggest that the formation of the analcime and the fibrous zeolites (thomsonite and stilbite) was closely associated with meteoric solutions. Consequently, the salinity values of the fluid inclusions suggest the mixing of meteoric waters form from glaciers and seawater at different rates.</t>
  </si>
  <si>
    <t>[Kandemir, Raif; Demir, Yilmaz] Recep Tayyip Erdogan Univ, Engn Fac, Dept Geol Engn, Rize, Turkiye; [Sen, Cuneyt; Yagcioglu, Ufuk Celal] Karadeniz Tech Univ, Engn Fac, Dept Geol Engn, Trabzon, Turkiye</t>
  </si>
  <si>
    <t>Recep Tayyip Erdogan University; Karadeniz Technical University</t>
  </si>
  <si>
    <t>Sen, C (corresponding author), Karadeniz Tech Univ, Engn Fac, Dept Geol Engn, Trabzon, Turkiye.</t>
  </si>
  <si>
    <t>csen@ktu.edu.tr</t>
  </si>
  <si>
    <t>Ministry of Science, Industry, and Technology; Idot;stanbul Technical University Polar Research Center</t>
  </si>
  <si>
    <t>This study was carried out under the generosity of the Presidency of the Republic of Tuerkiye, supported by the Ministry of Science, Industry, and Technology, and coordinated by the &amp; Idot;stanbul Technical University Polar Research Center.</t>
  </si>
  <si>
    <t>10.55730/1300-0985.1886</t>
  </si>
  <si>
    <t>WOS:001127159300004</t>
  </si>
  <si>
    <t>Karaoglan, F; Karatas, B; Özdemir, Y; Gülyüz, E; Vassilev, O; Selbesoglu, MO; Gildir, S</t>
  </si>
  <si>
    <t>Karaoglan, Fatih; Karatas, Burcu; Ozdemir, Yavuz; Gulyuz, Erhan; Vassilev, Oleg; Selbesoglu, Mahmut Oguz; Gildir, Semih</t>
  </si>
  <si>
    <t>The geo/thermochronology of Dismal Island (Marguerite Bay, Antarctic Peninsula)</t>
  </si>
  <si>
    <t>Antarctic Peninsula; Dismal Island; zircon U-Pb; apatite fission-track; apatite U-Th/He; ridge-trench collision</t>
  </si>
  <si>
    <t>TECTONIC EVOLUTION; FORE-ARC; ALEXANDER ISLAND; MAGMATISM; (U-TH)/HE; HISTORY; APATITE; ACCRETION; ZIRCON</t>
  </si>
  <si>
    <t>Dismal Island is located at the entrance of Marguerite Bay between Adelaide Island to the northeast and Alexander Island to the southwest within the Antarctic Peninsula (AP). Its unique position between Alexander and Adelaide islands provides the opportunity to perform testing and link these regions through Cenozoic magmatism and tectonics due to the subduction of the Pacific plate beneath the AP along the northern margin. Dismal Island was visited in February 2021 within the framework of the sixth Turkish Antarctic Expedition (TAE-VI). Thirteen samples were collected for petrography, geochronology, and low-temperature thermochronology (LTT). Of the samples, 3 were dated using laser ablation-inductively coupled plasma-mass spectrometer zircon U-Pb geochronology, 2 were dated using apatite fission-track (AFT) analysis, and 1 was dated using apatite uranium-thorium-helium (U-Th/He) (AHe) thermochronology. The island comprises massif quartz-diorite, tonalite, mafic, and felsic dikes, indicating a hybrid magma source. The 3 zircon U-Pb ages yielded a crystallization age of 47-48 for the magmatic body. The AFT ages yielded a cooling age of 41 Ma, suggesting either a shallow emplacement at a depth of similar to 4 km or an uplift/exhumation during middle-late Eocene boundary. In contrast, the AHe age of 1 sample was 20.1 +/- 1.1 Ma, together with a fast-cooling profile during the same period, which indicated an early Miocene uplift in the region. Similar early-middle Eocene crystallization ages within similar rock outcrops were determined on Adelaide and Alexander islands, Adelaide Island Intrusive Suite. The AFT ages obtained in this study (similar to 41 Ma), close to formation age, were also found on Adelaide and Alexander islands. The (LTT) literature of the region shows that the LTT ages get younger to the north along the AP, reflecting the northward migration of the ridge-trench collision and opening of the slab window along the western coast of the AP. The AHe age and the fast-cooling profile suggested that the ridge-subduction between the Tula and Adelaide fracture zones to the north of Dismal Island reached the region during Aquitanian-Burdigalian.</t>
  </si>
  <si>
    <t>[Karaoglan, Fatih; Karatas, Burcu; Gildir, Semih] Cukurova Univ, Engn Fac, Geol Engn Dept, Adana, Turkiye; [Karaoglan, Fatih] Czech Acad Sci, Inst Geol, Dept Geol Proc, Prague, Lysolaje, Czech Republic; [Ozdemir, Yavuz; Gulyuz, Erhan] Van Yuzuncuyil Univ, Fac Engn, Dept Geol Engn, Van, Turkiye; [Gulyuz, Erhan] Czech Acad Sci, Inst Rock Struct &amp; Mech, Dept Neotecton &amp; Thermochronol, Prague 8, Czech Republic; [Vassilev, Oleg] Bulgarian Antarctic Inst, Sofia, Bulgaria; [Selbesoglu, Mahmut Oguz] Istanbul Tech Univ, Engn Fac, Dept Geomat Engn, Istanbul, Turkiye</t>
  </si>
  <si>
    <t>Cukurova University; Czech Academy of Sciences; Institute of Geology of the Czech Academy of Sciences; Yuzuncu Yil University; Czech Academy of Sciences; Institute of Rock Structure &amp; Mechanics of the Czech Academy of Sciences; Istanbul Technical University</t>
  </si>
  <si>
    <t>Karaoglan, F (corresponding author), Cukurova Univ, Engn Fac, Geol Engn Dept, Adana, Turkiye.;Karaoglan, F (corresponding author), Czech Acad Sci, Inst Geol, Dept Geol Proc, Prague, Lysolaje, Czech Republic.</t>
  </si>
  <si>
    <t>fkaraoglan@cu.edu.tr</t>
  </si>
  <si>
    <t>SELBESOĞLU, Mahmut Oğuz/AAJ-2569-2021; KARAOĞLAN, Fatih/M-5541-2014</t>
  </si>
  <si>
    <t>SELBESOĞLU, Mahmut Oğuz/0000-0002-1132-3978; KARAOĞLAN, Fatih/0000-0002-0038-6631</t>
  </si>
  <si>
    <t>Presidency of The Republic of Turkiye by the Ministry of Industry and Technology; Scientific and Technological Research Council of Turkiye (TUBITAK) MAM Polar Research Institute [TUBITAK-121Y357]</t>
  </si>
  <si>
    <t>Presidency of The Republic of Turkiye by the Ministry of Industry and Technology; Scientific and Technological Research Council of Turkiye (TUBITAK) MAM Polar Research Institute(Turkiye Bilimsel ve Teknolojik Arastirma Kurumu (TUBITAK))</t>
  </si>
  <si>
    <t>This study was carried out under the auspices of the Presidency of The Republic of Turkiye, supported by the Ministry of Industry and Technology, and coordinated by The Scientific and Technological Research Council of Turkiye (TUBITAK) MAM Polar Research Institute under project number: TUBITAK-121Y357. The authors thank the TAE -VI members for their support in the field.</t>
  </si>
  <si>
    <t>10.55730/1300-0985.1887</t>
  </si>
  <si>
    <t>WOS:001127159300009</t>
  </si>
  <si>
    <t>Özkan, K</t>
  </si>
  <si>
    <t>Ozkan, Korhan</t>
  </si>
  <si>
    <t>Water chemistry and pigment composition of 13 lakes and ponds in Maritime Antarctica</t>
  </si>
  <si>
    <t>Phytoplankton; Antarctic lakes; high latitude ecosystems; land-sea interaction</t>
  </si>
  <si>
    <t>PHOTOSYNTHETIC PIGMENTS; ALGAL CAROTENOIDS; CLIMATE-CHANGE; MARINE; ICE; GRADIENT</t>
  </si>
  <si>
    <t>The Antarctic Peninsula has been rapidly warming, resulting in changes to the abundance and surface cover of terrestrial aquatic ecosystems, as well as their ecosystem structure and function. Therefore, comparative studies of aquatic ecosystems across large latitudinal gradients can be useful in better understanding these changes and making more reliable predictions regarding the consequences of climate change. During Turkish Antarctic Expeditions in 2018 and 2019, samples were collected from 10 lakes and 3 ponds across Maritime Antarctica (north-western coasts of the Antarctic Peninsula). These lakes and ponds were located on Ardley, Robert, Livingstone, Galindez, and Horseshoe islands, covering a latitudinal gradient of over 800 km. Snapshot samplings were conducted of the water chemistry, including nutrient, major ion, and trace metal concentrations, as well as pigment compositions representing the primary productivity and plankton community composition. These lakes and ponds had large variations in nutrient concentrations (0.8-771 mu g/L PO4 and 30-886 mu g/L total dissolved inorganic N) and conductivity (30-735 mu S), representing a trophic status ranging from ultra-oligotrophic to a few eutrophic sites (for example a pond near penguin colonies). The total productivity, measured as the chlorophyll-a (Chl-a) level, was generally low (0.02-3.2 mu g/L) in the lakes, reflecting their oligotrophic characteristics. However, the composition of pigments in the water column showed significant variation across the lakes. Both the patterns in the total Chl-a concentrations and pigment compositions reflected the patterns in conductivity and nutrient gradients across the lakes. Overall, the observed patterns suggested a predominant role of nutrient transport from the sea in driving the chemical composition and primary productivity of Antarctic lakes, mediated by the distance to the sea, as well as the activities of seals and penguin colonies.</t>
  </si>
  <si>
    <t>[Ozkan, Korhan] Middle East Tech Univ, Inst Marine Sci, Mersin, Turkiye</t>
  </si>
  <si>
    <t>Middle East Technical University</t>
  </si>
  <si>
    <t>Özkan, K (corresponding author), Middle East Tech Univ, Inst Marine Sci, Mersin, Turkiye.</t>
  </si>
  <si>
    <t>okorhan@metu.edu.tr</t>
  </si>
  <si>
    <t>Scientific and Technological Research Council of Tuerkiye (TUBITAK) [118Y330]; Presidency of The Republic of Tuerkiye; Ministry of Industry and Technology</t>
  </si>
  <si>
    <t>Scientific and Technological Research Council of Tuerkiye (TUBITAK)(Turkiye Bilimsel ve Teknolojik Arastirma Kurumu (TUBITAK)); Presidency of The Republic of Tuerkiye; Ministry of Industry and Technology</t>
  </si>
  <si>
    <t>The author is grateful to Prof. Dr. Burcu OEzsoy, Prof. Dr. Ersan Ba &amp; scedil;ar, Kristof Soete, Prof. Dr. Raif Kandemir, Prof. Dr. Sedat Serce, and the entire TAE -II and TAE -III team for their invaluable help during the fieldwork, Dr. Hasan OErek and &amp; Scedil;ehmus Ba &amp; scedil;duvar for their help in laboratory analyses, Hasan Arslan and Onat Ar &amp; imath;kan for their aid with the Tables and Figures. The author acknowledges the use of ChatGPT for textual and language improvements. The author is also grateful to the editors and two anonymous reviewers for their helpful comments. This research was funded by the Scientific and Technological Research Council of Tuerkiye (TUBITAK) under Project No.: 118Y330 and was carried under the auspices of Presidency of The Republic of Tuerkiye, supported by the Ministry of Industry and Technology, and coordinated by &amp; Idot;stanbul Technical University (&amp; Idot;TU) Polar Research Center (PolReC) .</t>
  </si>
  <si>
    <t>10.55730/1300-0985.1888</t>
  </si>
  <si>
    <t>WOS:001127159300005</t>
  </si>
  <si>
    <t>Selbesoglu, MO; Karabulut, MF; Oktar, Ö; Akpinar, B; Vassilev, O; Arkali, M; Tufan, SN; Ayyildiz, AS; Günaydin, E; Yilmaz, A; Isiler, DB; Özsoy, B</t>
  </si>
  <si>
    <t>Selbesoglu, Mahmut Oguz; Karabulut, Mustafa Fahri; Oktar, Ozgun; Akpinar, Burak; Vassilev, Oleg; Arkali, Mehmet; Tufan, Seyma Nur; Ayyildiz, Alptug Seref; Gunaydin, Esra; Yilmaz, Atilla; Isiler, Dogac Baybars; Ozsoy, Burcu</t>
  </si>
  <si>
    <t>Accuracy assessment of glacier depth monitoring based on UAV-GPR on Horseshoe Island, Antarctica</t>
  </si>
  <si>
    <t>Ground-penetrating radar; Antarctica; Turkish Antarctic Expedition; climate change; glacier</t>
  </si>
  <si>
    <t>GROUND-PENETRATING RADAR; ICE-THICKNESS; ERRORS; PENINSULA; LAND; SNOW</t>
  </si>
  <si>
    <t>Unmanned aerial systems have a wide range of uses in studying the impacts of climate change over several fields. Recently, its combination with a ground-penetrating radar (GPR) technology has been demonstrated to be highly effective for surveying glaciers, especially in difficult and inaccessible terrains like Antarctica. In this context, this study focused on exploring the potential of using an unmanned aerial vehicle (UAV)-GPR to measure the depth of glaciers on Horseshoe Island, West Antarctica. The data were collected during the seventh Turkish Antarctic Expedition (TAE-VII) in February and March 2023, within the scope of the international project titled Glacier monitoring and 3D modeling in Horseshoe Island Antarctica based on UAV-GPR observations, carried out by the bilateral cooperation of Istanbul Technical University and the Bulgarian Academy of Sciences. In order to determine the depth of the glacier, this investigation utilized both terrestrial GPR and UAV-GPR data. The UAV-GPR depth was determined as 9 cm root mean square error as a consequence of comparison with terrestrial GPR results. Furthermore, it was demonstrated that measurements performed with the UAV were completed approximately 25 times faster than those conducted with the terrestrial GPR, demonstrating a significant efficiency benefit. As a result, it can be concluded that using the airborne GPR approach offers a beneficial and effective way to undertake surveys of glaciers quickly and affordably with promising accuracy.</t>
  </si>
  <si>
    <t>[Selbesoglu, Mahmut Oguz; Arkali, Mehmet; Tufan, Seyma Nur; Ayyildiz, Alptug Seref; Gunaydin, Esra] İstanbul Tech Univ, Fac Civil Engn, Dept Geomat Engn, Istanbul, Turkiye; [Karabulut, Mustafa Fahri; Akpinar, Burak] Yıldız Tech Univ, Fac Civil Engn, Dept Geomat Engn, Istanbul, Turkiye; [Oktar, Ozgun; Yilmaz, Atilla; Isiler, Dogac Baybars; Ozsoy, Burcu] TUBITAK Marmara Res Ctr, Polar Res Inst, Kocaeli, Turkiye; [Vassilev, Oleg] Bulgarian Antarctic Inst, Sofia, Bulgaria; [Ozsoy, Burcu] Fac Maritime, Dept Maritime Transportat &amp; Management Engn, Istanbul, Turkiye</t>
  </si>
  <si>
    <t>Turkiye Bilimsel ve Teknolojik Arastirma Kurumu (TUBITAK)</t>
  </si>
  <si>
    <t>Karabulut, MF (corresponding author), Yıldız Tech Univ, Fac Civil Engn, Dept Geomat Engn, Istanbul, Turkiye.</t>
  </si>
  <si>
    <t>mfahri@yildiz.edu.tr</t>
  </si>
  <si>
    <t>Ozsoy, Burcu/AAH-5348-2020; SELBESOĞLU, Mahmut Oğuz/AAJ-2569-2021; ARKALI, Mehmet/GPT-5081-2022; Karabulut, Mustafa Fahri/HPH-2036-2023</t>
  </si>
  <si>
    <t>Ozsoy, Burcu/0000-0003-4320-1796; SELBESOĞLU, Mahmut Oğuz/0000-0002-1132-3978; ARKALI, Mehmet/0000-0001-9745-9309; Karabulut, Mustafa Fahri/0000-0001-8513-3475</t>
  </si>
  <si>
    <t>Scientific and Technological Research Council of Turkiye (TUBITAK), 1071 program; Presidency of the Republic of Trkiye; Presidency of the Republic of Turkiye - Ministry of Industry and Technology; [121N033]</t>
  </si>
  <si>
    <t>Scientific and Technological Research Council of Turkiye (TUBITAK), 1071 program(Turkiye Bilimsel ve Teknolojik Arastirma Kurumu (TUBITAK)); Presidency of the Republic of Trkiye; Presidency of the Republic of Turkiye - Ministry of Industry and Technology;</t>
  </si>
  <si>
    <t>This study was funded by The Scientific and Technological Research Council of Turkiye (TUBITAK) , 1071 program, project no: 121N033. This study was carried under the auspices of the Presidency of the Republic of Turkiye, supported by the Ministry of Industry and Technology, and coordinated by TUBITAK MAM Polar Research Institute.</t>
  </si>
  <si>
    <t>10.55730/1300-0985.1889</t>
  </si>
  <si>
    <t>WOS:001127159300001</t>
  </si>
  <si>
    <t>Selbesoglu, MO; Yavasoglu, HH; Karabulut, MF; Oktar, Ö; Gülal, VE; Karaman, H; Kamasak, ME</t>
  </si>
  <si>
    <t>Selbesoglu, Mahmut Oguz; Yavasoglu, H. Hakan; Karabulut, M. Fahri; Oktar, Ozgun; Gulal, V. Engin; Karaman, Himmet; Kamasak, M. Ersel</t>
  </si>
  <si>
    <t>Accuracy investigation of GNSS-reflectometry for sea level monitoring on Horseshoe Island, Antarctica: preliminary results of the Turkish permanent GNSS station (TUR1)</t>
  </si>
  <si>
    <t>Antarctica; sea level change; climate change; GNSS-reflectometry</t>
  </si>
  <si>
    <t>MULTI-GNSS; IMPACT; RISE</t>
  </si>
  <si>
    <t>Antarctica is called a natural laboratory and is highly important for investigating climate change and its evolution over time. Sustainability is a critical concern due to the challenges posed by glacier melting and rising sea levels due to global warming. According to the Intergovernmental Panel on Climate Change, since the industrial age, the global mean sea level has risen by about 20 cm as a result of the increase in the average world temperature by 1 degrees C. Therefore, long-term observations by satellite-based techniques in and around Antarctica are of great importance for monitoring the impacts of climate change. In the last two decades, the Earth has been monitored by satellite-based remote sensing systems with high temporal and spatial resolution. Nowadays, Global Navigation Satellite System (GNSS) signals are increasingly being used in climate change studies. In this context, Turkiye's first GNSS stations were successfully installed during the fourth Turkish Antarctic Expedition (TAE-IV) on Horseshoe Island, Antarctica, within the scope of a project by the Scientific and Technological Research Council of Turkey (TuBITAK) titled Monitoring the troposphere and snow depth/thickness in the Antarctic region with GNSS meteorology and GNSS-reflectometer methods. These stations have been monitoring atmospheric water vapor and changes in snow/sea levels since February 24th, 2020. In this study, one of the permanent GNSS Station (TUR1) signals was analyzed using GNSS-reflectometry (GNSS-R) in order to monitor the sea level changes on Horseshoe Island. Sea level changes of around 1 m in this region, due to the tidal effect, were observed using GNSS-R and compared with ultrasonic distance measurement sensor results for validation. The first results for monitoring sea levels obtained from the TUR1 GNSS Station demonstrated that sea levels in the region can be monitored using GNSS-R with an accuracy of 3-4 cm and correlation of 0.91.</t>
  </si>
  <si>
    <t>[Selbesoglu, Mahmut Oguz; Yavasoglu, H. Hakan; Karaman, Himmet] İstanbul Tech Univ, Fac Civil Engn, Dept Geomat Engn, Istanbul, Turkiye; [Yavasoglu, H. Hakan; Oktar, Ozgun] TUBITAK Marmara Res Ctr, Polar Res Inst, Kocaeli, Turkiye; [Karabulut, M. Fahri] Yildiz Tech Univ, Fac Civil Engn, Dept Geomat Engn, Istanbul, Turkiye; [Gulal, V. Engin] Atlas Univ, Fac Engn &amp; Nat Sci, Dept Comp Engn, Istanbul, Turkiye; [Kamasak, M. Ersel] Istanbul Tech Univ, Fac Comp &amp; Informat Engn, Dept Comp Engn, Istanbul, Turkiye</t>
  </si>
  <si>
    <t>Turkiye Bilimsel ve Teknolojik Arastirma Kurumu (TUBITAK); Yildiz Technical University; Istanbul Atlas University; Istanbul Technical University</t>
  </si>
  <si>
    <t>Selbesoglu, MO (corresponding author), İstanbul Tech Univ, Fac Civil Engn, Dept Geomat Engn, Istanbul, Turkiye.</t>
  </si>
  <si>
    <t>selbesoglu@itu.edu.tr</t>
  </si>
  <si>
    <t>Karabulut, Mustafa Fahri/HPH-2036-2023; SELBESOĞLU, Mahmut Oğuz/AAJ-2569-2021</t>
  </si>
  <si>
    <t>Karabulut, Mustafa Fahri/0000-0001-8513-3475; SELBESOĞLU, Mahmut Oğuz/0000-0002-1132-3978; VAHAP ENGIN, GULAL/0000-0002-5397-3303</t>
  </si>
  <si>
    <t>Scientific and Technological Research Council of Turkiye (TUBITAK) [118Y322]; Ministry of Industry and Technology</t>
  </si>
  <si>
    <t>Scientific and Technological Research Council of Turkiye (TUBITAK)(Turkiye Bilimsel ve Teknolojik Arastirma Kurumu (TUBITAK)); Ministry of Industry and Technology</t>
  </si>
  <si>
    <t>This study was funded by The Scientific and Technological Research Council of Turkiye (TUBITAK), 1001 program, project no: 118Y322. This study was carried under the auspices of the Presidency of the Republic of Turkiye, supported by the Ministry of Industry and Technology, and coordinated by the TUBITAK MAM Polar Research Institute.</t>
  </si>
  <si>
    <t>10.55730/1300-0985.1890</t>
  </si>
  <si>
    <t>WOS:001127159300008</t>
  </si>
  <si>
    <t>Alkan, RM; Erol, S; Mutlu, B</t>
  </si>
  <si>
    <t>Alkan, Reha Metin; Erol, Serdar; Mutlu, Bilal</t>
  </si>
  <si>
    <t>Applicability of real-time PPP technique in polar regions as an accurate and efficient real-time positioning system</t>
  </si>
  <si>
    <t>Antarctica; Arctic; polar region; real-time-precise point positioning; IGS-Real-Time Service; NAVCAST</t>
  </si>
  <si>
    <t>GNSS; AR</t>
  </si>
  <si>
    <t>The polar regions, which include the Arctic and Antarctic areas, attract the attention of people every day, and issues that are closely related to the future of humanity make these regions even more important. Accurate and reliable positioning in polar regions is very critical for scientific research projects and also for commercial, touristic, and other human activities. In this study, the usability and the accuracy performance of the real-time precise point positioning (RT-PPP) technique in high-latitude polar regions with harsh environmental and extreme atmospheric conditions were investigated. Within that framework, the GNSS dataset of six IGS multi-GNSS stations located at different latitudes in the north and south polar regions and two different Real-Time Service products (precise satellite orbits and clock corrections and biases) were used. The 3D RT-PPP coordinates of the reference stations were estimated for each 1-s epoch during the 26.5-h measurement period (total of approximately 95,000 epochs). The RT-PPP-derived coordinates were calculated using real-time products generated by IGS Centre National D'etudes Spatiales (CNES) and Spaceopal NAVCAST services with different GNSS constellations including GPS-only, Galileo-only, and a combination of GPS and Galileo. It was shown that the RT-PPP technique provides a decimeter to centimeter level of positioning accuracy using data from only one GNSS receiver after the initialization period. The results also proved that RT-PPP performance strongly depended on the real-time products that were used and the GNSS constellation type. This attainable accuracy from the RT-PPP technique can meet the requirements of many Arctic and Antarctic projects. In general, it can be said that the RT-PPP technique has become an alternative to the conventional relative GNSS techniques in remote areas.</t>
  </si>
  <si>
    <t>[Alkan, Reha Metin; Erol, Serdar; Mutlu, Bilal] İstanbul Tech Univ, Fac Civil Engn, Dept Geomat Engn, Istanbul, Turkiye</t>
  </si>
  <si>
    <t>Alkan, RM (corresponding author), İstanbul Tech Univ, Fac Civil Engn, Dept Geomat Engn, Istanbul, Turkiye.</t>
  </si>
  <si>
    <t>alkanr@itu.edu.tr</t>
  </si>
  <si>
    <t>EROL, Serdar/ABB-1357-2020; ALKAN, Reha Metin/AAL-8237-2020; MUTLU, Bilal/AAP-1639-2020</t>
  </si>
  <si>
    <t>EROL, Serdar/0000-0002-7100-8267; ALKAN, Reha Metin/0000-0002-1981-9783; MUTLU, Bilal/0000-0002-9763-0345</t>
  </si>
  <si>
    <t>10.55730/1300-0985.1891</t>
  </si>
  <si>
    <t>WOS:001127159300002</t>
  </si>
  <si>
    <t>Gülnerman, AG</t>
  </si>
  <si>
    <t>Gulnerman, Ayse Giz</t>
  </si>
  <si>
    <t>Exploring crowdsourcing accountability for mapping Antarctica: a case study using 5 years of social media data</t>
  </si>
  <si>
    <t>Polar monitoring; crowdsourcing; new forms of geodata; geo-social media</t>
  </si>
  <si>
    <t>The continent of Antarctica is one of the most challenging regions in terms of generating and updating geodata. Extensive research has been conducted on geodata acquisition, primarily focusing on earth observation satellites and local surveys in polar regions. Earth observation satellites offer limited spatial, temporal, and semantic data, while local surveys are constrained by polar regions' size and challenging conditions. This article delves into the crowdsourced data, aiming to significantly enhance geodata contribution in polar regions beyond current methods. To our knowledge, this study is the first of its kind to address social media data, a form of crowdsourcing, specifically for the Antarctic continent. Encompassing 5 years of social media data collection, the study uniquely presents original insights by investigating data reliability based on user activity levels and user movement consistency. The primary outcome of the study is that the activity level of users negatively correlates with spatial behavior consistency. This indicates that dominant user influence has led to inconsistent content manipulation. However, while the overall rate summary indicates a high inconsistency ratio for the active group, there still exists consistent behavior within these groups. A tight method to discriminate these reliable data generators with consistent behavior should be aimed as proposed in this study to prevent valuable data loss. This study contributes to reliable data scrutiny techniques from social media data in a general sense while providing a glimpse into the spatial quality of data generated specifi-cally for Antarctica. This glimpse will enable future assessments of data collected in Antarctica for reliability checks and offer benefits in terms of processing workload and result accuracy in preprocessing steps for text, image, and spatial-based data processing.</t>
  </si>
  <si>
    <t>[Gulnerman, Ayse Giz] Ankara Haci Bayram Veli Univ, Land Registry &amp; Cadastre Dept, Ankara, Turkiye</t>
  </si>
  <si>
    <t>Ankara Haci Bayram Veli University</t>
  </si>
  <si>
    <t>Gülnerman, AG (corresponding author), Ankara Haci Bayram Veli Univ, Land Registry &amp; Cadastre Dept, Ankara, Turkiye.</t>
  </si>
  <si>
    <t>ayse.gulnerman@hbv.edu.tr</t>
  </si>
  <si>
    <t>Gulnerman, Ayse Giz/AAL-8292-2020</t>
  </si>
  <si>
    <t>Gulnerman, Ayse Giz/0000-0002-9163-6068</t>
  </si>
  <si>
    <t>Ministry of Industry and Technology (TUBITAK) [122Y193]</t>
  </si>
  <si>
    <t>Ministry of Industry and Technology (TUBITAK)</t>
  </si>
  <si>
    <t>This study was carried out under the auspices of the Presidency of the Republic of Turkey, supported by the Ministry of Industry and Technology (TUBITAK, project no. 122Y193) , and coordinated by TUBITAK MAM Polar Research Institute.</t>
  </si>
  <si>
    <t>10.55730/1300-0985.1892</t>
  </si>
  <si>
    <t>WOS:001127159300006</t>
  </si>
  <si>
    <t>Senel, M; Yavasoglu, HH; Özsoy, B; Karaman, H; Gümüsay, MÜ</t>
  </si>
  <si>
    <t>Senel, Muge; Yavasoglu, H. Hakan; Ozsoy, Burcu; Karaman, Himmet; Gumusay, M. Umit</t>
  </si>
  <si>
    <t>WebGIS-based data center design for polar science studies: simulation of Türkiye</t>
  </si>
  <si>
    <t>Polar science; Antarctica; data center; QGIS; WebGIS</t>
  </si>
  <si>
    <t>Scientific studies concentrated in Antarctica hold great value and importance for humanity. Research projects are conducted in various disciplines on the continent, where nearly 100 research stations from 30 countries are established. Despite the challenges posed by Antarctica's natural structure, unique environment, difficult working conditions, and limited logistics opportunities, scientific research conducted there is indispensable due to the valuable information it offers. In pursuit of accessing this information, Turkish Antarctic expeditions have been organized since 2017. In this study, a polar data center was established through a web-based geographic information system (WebGIS), a significant infrastructure for the continuity of scientific studies. The implemented projects and raw/ processed data from previous expeditions in diverse subjects and disciplines, including geology, geophysics, geography, hydrology, meteorology, oceanography, glaciology, atmospheric physics, chemistry, microbiology, and remote sensing, were incorporated into this information system. Studies in Antarctica have primarily focused on observing the effects of global warming, necessitating the monitoring of past and current data related to sea ice, sea level, and coastal changes. The data also encompasses seismic, volcanic, tectonic, and Global Navigation Satellite System (GNSS) monitoring. As suggested by the Antarctic Treaty, a user-friendly website was designed and made accessible for research projects, data, and publications. An entity relationship diagram was created for the fields to be included in the database. These fields were structured as tables using structured query language (SQL) queries in PgAdmin. A workspace and storage area were created in GeoServer, and a connection was established with PostGIS. Layers of spatial and nonspatial data from the PgAdmin application were added to the GeoServer workspace. The data transferred to GeoServer were presented in an OpenLayers web map with Web Map Service (WMS) and Web Feature Service (WFS) according to Open Geospatial Consortium (OGC) standards. Additionally, a mini web map was designed using the desktop Quantum GIS (QGIS) application and GIS Cloud collaboration, displaying GNSS and meteorological (weather) observation stations on the continent. A dynamic web project was employed for coding in Eclipse software, where backend coding was done with JavaScript. SQL was used as a part of the backend to integrate data from the database per request. Frontend coding for the website's visual side was completed with HTML, CSS, and JavaScript. As a result, a WebGIS platform was developed where researchers can register, add projects, and publications, and view data on a map. Users can download, analyze, and utilize the available data. The data center's existence underscores the importance of polar science and serves as an incentive for further research.</t>
  </si>
  <si>
    <t>[Senel, Muge; Yavasoglu, H. Hakan; Karaman, Himmet] İstanbul Tech Univ, Dept Geomat Engn, Istanbul, Turkiye; [Yavasoglu, H. Hakan; Ozsoy, Burcu] TUBITAK Marmara Res Ctr, Polar Res Inst, Gebze, Turkiye; [Gumusay, M. Umit] Alaaddin Keykubat Univ, Dept Civil Engn, Antalya, Turkiye</t>
  </si>
  <si>
    <t>Senel, M (corresponding author), İstanbul Tech Univ, Dept Geomat Engn, Istanbul, Turkiye.</t>
  </si>
  <si>
    <t>mugejb@gmail.com</t>
  </si>
  <si>
    <t>Ozsoy, Burcu/AAH-5348-2020</t>
  </si>
  <si>
    <t>Ozsoy, Burcu/0000-0003-4320-1796</t>
  </si>
  <si>
    <t>10.55730/1300-0985.1893</t>
  </si>
  <si>
    <t>WOS:001127159300003</t>
  </si>
  <si>
    <t>da Fonseca, EL; Dos Santos, EC; De Figueiredo, AR; Simoes, JC</t>
  </si>
  <si>
    <t>da Fonseca, Eliana L.; Dos Santos, Edvan C.; De Figueiredo, Anderson R.; Simoes, Jefferson C.</t>
  </si>
  <si>
    <t>The use of sentinel-2 imagery to generate vegetations maps for the Northern Antarctic peninsula and offshore islands</t>
  </si>
  <si>
    <t>Biological soil crusts; Google Earth Engine; Microenvironments; South Shet-land Islands; Vegetation cover; Spectral profiles</t>
  </si>
  <si>
    <t>SPATIAL-DISTRIBUTION; PRASIOLA-CRISPA; GROWTH-RATE; MOSS; DIVERSITY; LICHENS</t>
  </si>
  <si>
    <t>We used Sentinel-2 imagery time series to generate a vegetation map for the Northern part of the Antarctica Peninsula and offshore islands, including the South Shetlands. The vegetation cover was identified in the NDVI maximum value composite image. The NDVI values were associated with the occurrence of algae (0.15 - 0.20), lichens (0.20 - 0.50), and mosses (0.50 - 0.80). The vegetation cover distribution map was validated using the literature information. Generating a vegetation map distribution on an annual basis was not possible due to high cloud cover in the Antarctic region, especially in coastal areas, so optical images from 2016 to 2021 were necessary to map the vegetation distribution in the entire study area. The final map analyzed in association with the weather data shows the occurrence of a microenvironment over the western islands of the Antarctic Peninsula that provided vegetation growth conditions. The Sentinel-2 images with 10m spatial resolution allow the assembly of accurate vegetation distribution maps for the Antarctica Peninsula and Islands, the Google Earth Engine cloud computing being essential to process a large amount of the satellite images necessary for processing these maps.</t>
  </si>
  <si>
    <t>[da Fonseca, Eliana L.; Simoes, Jefferson C.] Univ Fed Rio Grande do Sul, Ctr Polar &amp; Climat, Dept Geog, Ave Bento Goncalves 9500, BR-91501970 Porto Alegre, RS, Brazil; [Dos Santos, Edvan C.; De Figueiredo, Anderson R.] Univ Fed Rio Grande do Sul, Ctr Polar &amp; Climat, Ave Bento Goncalves 9500, BR-91501970 Porto Alegre, RS, Brazil; [Simoes, Jefferson C.] Univ Maine, Climate Change Inst, Orono, ME 04469 USA</t>
  </si>
  <si>
    <t>Universidade Federal do Rio Grande do Sul; Universidade Federal do Rio Grande do Sul; University of Maine System; University of Maine Orono</t>
  </si>
  <si>
    <t>da Fonseca, EL (corresponding author), Univ Fed Rio Grande do Sul, Ctr Polar &amp; Climat, Dept Geog, Ave Bento Goncalves 9500, BR-91501970 Porto Alegre, RS, Brazil.</t>
  </si>
  <si>
    <t>eliana.fonseca@ufrgs.br</t>
  </si>
  <si>
    <t>da Fonseca, Eliana Lima/AAK-8246-2021; Simoes, Jefferson Cardia/D-7232-2013</t>
  </si>
  <si>
    <t>da Fonseca, Eliana Lima/0000-0002-9129-2939; Simoes, Jefferson Cardia/0000-0001-5555-3401; Ribeiro de Figueiredo, Anderson/0000-0002-0228-249X</t>
  </si>
  <si>
    <t>Conselho Nacional de Desenvolvimento Cientifico e Tecnologico (CNPq) [465680/2014-3]; Fundacao de Amparo a pesquisa do Estado do Rio Grande do Sul (FAPERGS) through Brazilian National Institute for Cryospheric Sciences (INCT da Criosfera) [17/25510000518-0]; Brazilian National Institute for Cryospheric Sciences (INCT da Criosfera)</t>
  </si>
  <si>
    <t>Conselho Nacional de Desenvolvimento Cientifico e Tecnologico (CNPq)(Conselho Nacional de Desenvolvimento Cientifico e Tecnologico (CNPQ)); Fundacao de Amparo a pesquisa do Estado do Rio Grande do Sul (FAPERGS) through Brazilian National Institute for Cryospheric Sciences (INCT da Criosfera); Brazilian National Institute for Cryospheric Sciences (INCT da Criosfera)</t>
  </si>
  <si>
    <t>This work was supported financially by Conselho Nacional de Desenvolvimento Cientifico e Tecnologico (CNPq) -Process 465680/2014-3 and the Fundac &amp; atilde;o de Amparo a pesquisa do Estado do Rio Grande do Sul (FAPERGS) -Process 17/25510000518-0 through the Brazilian National Institute for Cryospheric Sciences (INCT da Criosfera) .</t>
  </si>
  <si>
    <t>e20230710</t>
  </si>
  <si>
    <t>10.1590/0001-3765202320230710</t>
  </si>
  <si>
    <t>DH0I2</t>
  </si>
  <si>
    <t>WOS:001131016100001</t>
  </si>
  <si>
    <t>Vieira, IS; de Oliveira, FS; Michel, RFM</t>
  </si>
  <si>
    <t>Vieira, Icaro S.; de Oliveira, Fabio S.; Michel, Roberto F. M.</t>
  </si>
  <si>
    <t>Spatial and Scientometric study of the Brazilian scientific production on Antarctic soils and permafrost</t>
  </si>
  <si>
    <t>Antarctica; Brazil; Scientific Production; Spatial Scientiometrics; Soil</t>
  </si>
  <si>
    <t>KING GEORGE ISLAND; GLACIER RETREAT ZONE; JAMES-ROSS-ISLAND; ACTIVE-LAYER; MARITIME ANTARCTICA; THERMAL REGIME; ELLSWORTH MOUNTAINS; ORNITHOGENIC SOILS; KELLER PENINSULA; FILDES PENINSULA</t>
  </si>
  <si>
    <t>This article carried out the first scientometric and spatial analysis of Brazilian scientific production on Antarctic soils and permafrost, based on all publications available from the Scopus and Web of Science databases. Information on co-authorship, citation, research topics, and sampling sites was used to understand the social and theoretical structure as well as the spatial dynamics of this research field in Brazil over the last 25 years. We highlight that Brazil is presently, the main country to study the soils and permafrost of Maritime Antarctica, in addition to having an international robust and prolific production, with high impact on the literature, and widely distributed throughout the studied region. It was also possible to identify potential future international partners, new research locations and strategic research themes.</t>
  </si>
  <si>
    <t>[Vieira, Icaro S.; de Oliveira, Fabio S.] Univ Fed Minas Gerais, Inst Geosci, Av Antonio Carlos 6-627, BR-31270901 Belo Horizonte, MG, Brazil; [Michel, Roberto F. M.] Univ Estadual Santa Cruz, Dept Agrarian &amp; Environm Sci, Rod Jorge Amado,Km 16, BR-45662900 Ilheus, BA, Brazil</t>
  </si>
  <si>
    <t>Universidade Federal de Minas Gerais; Universidade Estadual de Santa Cruz</t>
  </si>
  <si>
    <t>Vieira, IS (corresponding author), Univ Fed Minas Gerais, Inst Geosci, Av Antonio Carlos 6-627, BR-31270901 Belo Horizonte, MG, Brazil.</t>
  </si>
  <si>
    <t>icarosvieira@hotmail.com</t>
  </si>
  <si>
    <t>Vieira, Ícaro/AET-1906-2022</t>
  </si>
  <si>
    <t>Oliveira, Fabio/0000-0002-1450-7609</t>
  </si>
  <si>
    <t>Graduate Program in Geography, of the Institute of Geosciences of the Federal University of Minas Gerais; Brazilian Coordination for the Improvement of Higher Education Personnel (CAPES)</t>
  </si>
  <si>
    <t>Graduate Program in Geography, of the Institute of Geosciences of the Federal University of Minas Gerais; Brazilian Coordination for the Improvement of Higher Education Personnel (CAPES)(Coordenacao de Aperfeicoamento de Pessoal de Nivel Superior (CAPES))</t>
  </si>
  <si>
    <t>To the Graduate Program in Geography, of the Institute of Geosciences of the Federal University of Minas Gerais and to the Brazilian Coordination for the Improvement of Higher Education Personnel (CAPES) for granting a research scholarship.</t>
  </si>
  <si>
    <t>e20230823</t>
  </si>
  <si>
    <t>10.1590/0001-3765202320230823</t>
  </si>
  <si>
    <t>DF8L5</t>
  </si>
  <si>
    <t>WOS:001130704900001</t>
  </si>
  <si>
    <t>Terekhov, AV; Vasilevich, II; Prokhorova, UV</t>
  </si>
  <si>
    <t>Terekhov, A. V.; Vasilevich, I. I.; Prokhorova, U. V.</t>
  </si>
  <si>
    <t>Uncertainty Assessment for Mean Snow Cover Depth Derived from Direct Measurements on Aldegondabreen Glacier (Svalbard)</t>
  </si>
  <si>
    <t>snow survey; uncertainty estimation; bootstrap; snow depth; Svalbard; Arctic</t>
  </si>
  <si>
    <t>MASS-BALANCE; GRONFJORDBREEN; REANALYSIS; SERIES</t>
  </si>
  <si>
    <t>This study introduces an empirical equation allowing to estimate an uncertainty of area-averaged snow depth on the Aldegondabreen Glacier, computed from standard snow surveys and made by an avalanche probe or by similar equipment. The two-decade history of the ongoing mass-balance monitoring program on this glacier shows that the methodology of field work on snow-measuring survey varies somewhat from year to year: the number and location of measurement points change. To identify and quantify long-term trends and variations in snow cover, it is crucial to assess the inter-comparability of the data in the obtained measurement series. The proposed equation was intended to solve this task basing on the collected data only, allowing to estimate the uncertainty even retrospectively. To build this equation, we applied a bootstrap statistical approach to the results of snow surveys carried out in Svalbard in 2015-2021. After interpolating the field measurements, obtained rasters were sampled sequentially with different numbers of points, simulating the real snow survey. The points were initially located in a form of a quasiregular grid and then randomly shifted between the iterations. After a thousand simulations for each number of points, the standard deviations were calculated relative to the true values, derived from corresponding rasters. These standard deviations, which we admit to be a random error of the area-averaged snow depth value, expectedly decrease with the number of sampling points and increase with the coefficient of variation ( ). The well-known index indirectly Cv C v characterizes the irregularity of snow cover. After approximating the bootstrap results, the authors derived an equation that yields a relative error. The equation includes only two predictors which are the probing density per area unit and the , which potentially allows using it for the other glaciers. However, the universality of C v the empirically obtained coefficients is debatable, since they may vary due toa glacier size, its morphology and other parameters.</t>
  </si>
  <si>
    <t>[Terekhov, A. V.; Vasilevich, I. I.; Prokhorova, U. V.] Arctic &amp; Antarctic Res Inst, St Petersburg, Russia</t>
  </si>
  <si>
    <t>Arctic &amp; Antarctic Research Institute</t>
  </si>
  <si>
    <t>Terekhov, AV (corresponding author), Arctic &amp; Antarctic Res Inst, St Petersburg, Russia.</t>
  </si>
  <si>
    <t>antonvterekhov@gmail.com</t>
  </si>
  <si>
    <t>10.31857/S2076673423030122</t>
  </si>
  <si>
    <t>Y9WZ6</t>
  </si>
  <si>
    <t>WOS:001108704200004</t>
  </si>
  <si>
    <t>Galvao, JC; Neto, AA; Vieira, R; Simoes, JC</t>
  </si>
  <si>
    <t>Galvao, Janayna Cynthia; Neto, Arthur Ayres; Vieira, Rosemary; Simoes, Jefferson C.</t>
  </si>
  <si>
    <t>Elemental and mineralogical characterization of marine sediments and their relationship to sedimentary and oceanographic processes in Central Bransfield Basin</t>
  </si>
  <si>
    <t>Antarctic; geochemistry; mineralogy; Sediments; oceanographic processes</t>
  </si>
  <si>
    <t>ANTARCTIC PENINSULA; SURFACE; EVOLUTION; STRAIT</t>
  </si>
  <si>
    <t>This work consists of the sedimentological, mineralogical, and geochemical characterization of eight marine sediment cores collected in the Central Bransfield Basin, along a transect between the South Shetland Islands to the Antarctic Peninsula and its correlation to the sedimentary and oceanographic processes of the area. A chemical characterization based on X-ray fluorescence dispersive spectrometry was implemented to obtain geochemical data of the marine sediment while the minerals were identified by X-ray diffraction. The study allowed to classify the cores into three groups according to their sediment source and chemical and mineralogical characteristics. The joint assessment of the geochemical and mineralogical signature of the sediment has confirmed that the elemental ratios Ti/Ca and Fe/Ca can be applied as proxies in the reconstitution of the terrigenous contribution to the Central Bransfield Basin if we consider the sedimentary contribution of the volcanic edifices present in the region. The Fe/K ratio associated with the Chemical Index of Alteration reinforced an increase in the degree of weathering near South Shetland Island, which is also pointed out by other authors in studies on climate change mainly in the subantarctic islands. The trend of temperature increase implies the importance of monitoring the region.</t>
  </si>
  <si>
    <t>[Galvao, Janayna Cynthia; Neto, Arthur Ayres; Vieira, Rosemary] Univ Fed Fluminense, Av Gal Milton Tavares de Souza S-N,Campus Praia Ve, BR-24210346 Niteroi, RJ, Brazil; [Simoes, Jefferson C.] Univ Fed Rio Grande do Sul, Av Bento Goncalves,9500,Campus Vale,Caixa Postal 1, BR-91501970 Porto Alegre, RS, Brazil</t>
  </si>
  <si>
    <t>Universidade Federal Fluminense; Universidade Federal do Rio Grande do Sul</t>
  </si>
  <si>
    <t>Galvao, JC (corresponding author), Univ Fed Fluminense, Av Gal Milton Tavares de Souza S-N,Campus Praia Ve, BR-24210346 Niteroi, RJ, Brazil.</t>
  </si>
  <si>
    <t>jcynthia@id.uff.br</t>
  </si>
  <si>
    <t>Cardia Simoes, Jefferson/D-7232-2013</t>
  </si>
  <si>
    <t>Cardia Simoes, Jefferson/0000-0001-5555-3401; Vieira, Rosemary/0000-0003-0312-2890; Ayres Neto, Arthur/0000-0002-2982-245X</t>
  </si>
  <si>
    <t>Conselho Nacional de Pesquisas (CNPq); Coordenaco de Aperfeicoamento de Pessoal de Nivel Superior (CAPES); Programa Antrtico Brasileiro (PROANTAR); SECIRM-Brazilian Navy</t>
  </si>
  <si>
    <t>Conselho Nacional de Pesquisas (CNPq)(Conselho Nacional de Desenvolvimento Cientifico e Tecnologico (CNPQ)); Coordenaco de Aperfeicoamento de Pessoal de Nivel Superior (CAPES)(Coordenacao de Aperfeicoamento de Pessoal de Nivel Superior (CAPES)); Programa Antrtico Brasileiro (PROANTAR); SECIRM-Brazilian Navy</t>
  </si>
  <si>
    <t>We thank the many scientists and crew members of LAPSA for their efforts in collecting samples. This work was supported by the Conselho Nacional de Pesquisas (CNPq) , Coordenac &amp; atilde;o de Aperfeicoamento de Pessoal de Nivel Superior (CAPES) , Programa Antartico Brasileiro (PROANTAR) , and SECIRM-Brazilian Navy.</t>
  </si>
  <si>
    <t>e20230990</t>
  </si>
  <si>
    <t>10.1590/0001-3765202320230990</t>
  </si>
  <si>
    <t>DG3M9</t>
  </si>
  <si>
    <t>WOS:001130836900001</t>
  </si>
  <si>
    <t>Fan, Y; Hao, WF; Ma, C; Gao, SJ; Li, F</t>
  </si>
  <si>
    <t>Fan, Yi; Hao, Weifeng; Ma, Chao; Gao, Shengjun; Li, Fei</t>
  </si>
  <si>
    <t>Identification and Activity of Subglacial Lakes Beneath the Mercer and Whillans Ice Streams and Slessor Glacier</t>
  </si>
  <si>
    <t>IEEE JOURNAL OF SELECTED TOPICS IN APPLIED EARTH OBSERVATIONS AND REMOTE SENSING</t>
  </si>
  <si>
    <t>Antarctica; identification; remote sensing; satellite altimetry; subglacial lake</t>
  </si>
  <si>
    <t>WEST ANTARCTICA; FLOW BENEATH; INVENTORY; ALTIMETRY; NETWORKS; SYSTEM; LAND</t>
  </si>
  <si>
    <t>The identification and activity monitoring of Antarctic subglacial lakes contribute to the analysis of the mass balance and sea level change. Remote sensing techniques, especially satellite altimetry, are ideal ways for identifying active subglacial lakes and indirectly monitoring their hydrological activity. Based on ICESat-2 altimetry data, we propose two methods to generate the rates of ice surface elevation changes for identifying active subglacial lakes in Antarctica. We identify 15 new active subglacial lakes and provide denser and more precise outline detail for known subglacial lakes in the Mercer and Whillans Ice Streams and Slessor Glacier regions. Then, we use ICESat-2 and earlier CryoSat-2 data to get the time series of ice surface elevation changes for subglacial lakes to further understand their hydrological processes. Results show that subglacial lakes have exhibited periodic activity and at least two fill-drain cycles in the Mercer and Whillans Ice Streams region. Owing to data limitations, the time series shows less periodic lake activity in the Slessor Glacier region. However, subglacial water movements are similarly active and have various activity patterns.</t>
  </si>
  <si>
    <t>[Fan, Yi; Hao, Weifeng; Ma, Chao; Gao, Shengjun; Li, Fei] Wuhan Univ, Chinese Antarctic Ctr Surveying &amp; Mapping, Wuhan 430079, Peoples R China; [Hao, Weifeng; Li, Fei] Hubei Luojia Lab, Wuhan 430079, Peoples R China; [Hao, Weifeng; Li, Fei] Wuhan Univ, Key Lab Polar Environm Monitoring &amp; Publ Governanc, Minist Educ, Wuhan 430079, Peoples R China</t>
  </si>
  <si>
    <t>Hao, WF (corresponding author), Wuhan Univ, Chinese Antarctic Ctr Surveying &amp; Mapping, Wuhan 430079, Peoples R China.</t>
  </si>
  <si>
    <t>fany@whu.edu.cn; haowf@whu.edu.cn; macwhu@whu.edu.cn; sjgao@whu.edu.cn; fli@whu.edu.cn</t>
  </si>
  <si>
    <t>Chao, Ma/0000-0002-3383-6643</t>
  </si>
  <si>
    <t>National Key Research and Development Project of China</t>
  </si>
  <si>
    <t>1939-1404</t>
  </si>
  <si>
    <t>2151-1535</t>
  </si>
  <si>
    <t>IEEE J-STARS</t>
  </si>
  <si>
    <t>IEEE J. Sel. Top. Appl. Earth Observ. Remote Sens.</t>
  </si>
  <si>
    <t>10.1109/JSTARS.2023.3328056</t>
  </si>
  <si>
    <t>Engineering, Electrical &amp; Electronic; Geography, Physical; Remote Sensing; Imaging Science &amp; Photographic Technology</t>
  </si>
  <si>
    <t>Engineering; Physical Geography; Remote Sensing; Imaging Science &amp; Photographic Technology</t>
  </si>
  <si>
    <t>CF9J1</t>
  </si>
  <si>
    <t>WOS:001123950300011</t>
  </si>
  <si>
    <t>Wråkberg, U</t>
  </si>
  <si>
    <t>Wrakberg, Urban</t>
  </si>
  <si>
    <t>Science as Arbitrator on Arctic Land-Use Issues: a Historical Appraisal</t>
  </si>
  <si>
    <t>ISTORIYA-ELEKTRONNYI NAUCHNO-OBRAZOVATELNYI ZHURNAL</t>
  </si>
  <si>
    <t>Arctic cultural heritage; science diplomacy; Svalbard; polar tourism; Arctic governance; geodeterminism</t>
  </si>
  <si>
    <t>The article offers a historical review of the practice of prioritizing scientific advice in land-use policies of the Arctic. It uses the high-arctic Svalbard archipelago as its main case study. It articulates the need for historians to contribute insights into the ways scientific communities have set much of the international agenda of Arctic and Antarctic matters over the last century. From a cultural heritage standpoint, today's situation on Svalbard illustrates some problems of the currently widely accepted ideas of global (Arctic) governance. The author raises the question, according some points of view, whether the idea of Circumarctic, globally governed by scientific diplomacy, will not turn into something sectorally divided - a future that, as Arctic historians know, has a past in Arctic geopolitics from which lessons can be learned.</t>
  </si>
  <si>
    <t>[Wrakberg, Urban] Univ Tromso, Arctic Univ Norway, Tromso, Norway</t>
  </si>
  <si>
    <t>Wråkberg, U (corresponding author), Univ Tromso, Arctic Univ Norway, Tromso, Norway.</t>
  </si>
  <si>
    <t>STATE ACAD UNIV HUMANITIES</t>
  </si>
  <si>
    <t>LENINSKII PR-KT 32A, MOSCOW, 119334, RUSSIA</t>
  </si>
  <si>
    <t>2079-8784</t>
  </si>
  <si>
    <t>ISTORIYA-ELEKTRON</t>
  </si>
  <si>
    <t>Istoriya</t>
  </si>
  <si>
    <t>10.18254/S207987840027803-2</t>
  </si>
  <si>
    <t>History</t>
  </si>
  <si>
    <t>Y8BS5</t>
  </si>
  <si>
    <t>WOS:001107463600011</t>
  </si>
  <si>
    <t>Mendes, CW Jr; Neto, JA; Hillebrand, FL; De Freitas, MWD; Costi, J; Simoes, JC</t>
  </si>
  <si>
    <t>Mendes Junior, Claudio W.; Neto, Jorge Arigony; Hillebrand, Fernando L.; De Freitas, Marcos W. D.; Costi, Juliana; Simoes, Jefferson C.</t>
  </si>
  <si>
    <t>Spectral Linear Mixing Model application in passive microwave data to analyze Antarctic surface melting dynamics (1978-2018)</t>
  </si>
  <si>
    <t>Antarctica; Remote sensing; Passive microwave sensor; snowmelt; Spectral Linear Mixing Model</t>
  </si>
  <si>
    <t>ICE SHELVES; BREAK-UP; PENINSULA; TEMPERATURES; DURATION; TRENDS</t>
  </si>
  <si>
    <t>Several studies have utilized passive microwave imagery for monitoring snowmelt in Antarctica. However, due to the low spatial resolution of these images (25 km), the quantification of snowmelt is not precise. To enhance the accuracy of these estimations, this study proposed a subpixel analysis approach based on a Spectral Linear Mixing Model. This approach was applied to images obtained from channels 18/19 GHz and 37 GHz, both horizontally and vertically polarized, acquired from the Scanning Multichannel Microwave Radiometer (SMMR), Special Sensor Microwave Imager (SSM/I), and Special Sensor Microwave Imager/Sounder (SSM/IS) instruments, spanning the period 1978-2018. The spatiotemporal analysis of the estimated snowmelt fraction images indicated that the most persistent and intensive melt was observed on the Antarctic Peninsula, particularly on the Larsen, Wilkins, George VI, and Wordie ice shelves. The melting period in the Antarctic Peninsula began in late October, with a peak in early January, and ended in late March. Other regions with persistent and intensive snowmelt were Mary Bird Land and Wilkes Land, followed by Dronning Maud Land, Amery Ice Shelf, Filchner-Ronne Ice Shelf, and Ross Ice Shelf. These snowmelt data are valuable for modeling the impacts of snowmelt on glacial systems, local coastal environments, and sea-level rise.</t>
  </si>
  <si>
    <t>[Mendes Junior, Claudio W.] Univ Fed Rio Grande Do Sul UFRGS, Dept Geodesia, Av Bento Goncalves 9500, BR-91509900 Porto Alegre, RS, Brazil; [Neto, Jorge Arigony; Costi, Juliana] Univ Fed Rio Grande FURG, Inst Oceanog, Ave Italia s-n,Km 8, BR-96201900 Rio Grande, RS, Brazil; [Hillebrand, Fernando L.] Inst Fed Educ Ciencia &amp; Tecnol Rio Grande Do Sul I, Rodovia RS-239,Km 68,3505, BR-95700000 Rolante, RS, Brazil; [De Freitas, Marcos W. D.; Simoes, Jefferson C.] Univ Fed Rio Grande Do Sul UFRGS, Dept Geodesia, Av Bento Goncalves 9500, BR-91501970 Porto Alegre, RS, Brazil</t>
  </si>
  <si>
    <t>Universidade Federal do Rio Grande do Sul; Universidade Federal do Rio Grande; Universidade Federal do Rio Grande do Sul</t>
  </si>
  <si>
    <t>Mendes, CW Jr (corresponding author), Univ Fed Rio Grande Do Sul UFRGS, Dept Geodesia, Av Bento Goncalves 9500, BR-91509900 Porto Alegre, RS, Brazil.</t>
  </si>
  <si>
    <t>claudio.mendes@ufrgs.br</t>
  </si>
  <si>
    <t>Costi, Juliana/AHI-7948-2022; Hillebrand, Fernando Luis/AAK-5772-2020; Simoes, Jefferson Cardia/D-7232-2013</t>
  </si>
  <si>
    <t>Costi, Juliana/0000-0001-6220-2343; Hillebrand, Fernando Luis/0000-0002-0182-8526; Simoes, Jefferson Cardia/0000-0001-5555-3401; Freitas, Marcos/0000-0001-9879-2584</t>
  </si>
  <si>
    <t>e20230732</t>
  </si>
  <si>
    <t>10.1590/0001-3765202320230732</t>
  </si>
  <si>
    <t>DG6E8</t>
  </si>
  <si>
    <t>WOS:001130906800001</t>
  </si>
  <si>
    <t>de Andrade, AM; Michel, RFM; Bremer, UF; Neto, ED; Vieira, GBTG; Schaefer, CEGR; Simoes, JC</t>
  </si>
  <si>
    <t>de Andrade, Andre M.; Michel, Roberto F. M.; Bremer, Ulisses Franz; Neto, Elias De Lima; Vieira, Goncalo Brito T. G.; Schaefer, Carlos Ernesto G. R.; Simoes, Jefferson C.</t>
  </si>
  <si>
    <t>Thermal variations of the active layer in Fildes Peninsula, King George Island, Maritime Antarctica</t>
  </si>
  <si>
    <t>active layer; maritime Antarctic; Permafrost; monitoring</t>
  </si>
  <si>
    <t>PERMAFROST; VARIABILITY; REGIME; TEMPERATURE; VEGETATION; CLIMATE; SOILS; DYNAMICS; GLACIER; IMPACT</t>
  </si>
  <si>
    <t>This work aimed to characterize the variation in the thermal regime of the active layer in a permafrost area on Fildes Peninsula, Antarctica, and relate this variability with meteorological data between 2014 and 2016. The monitoring site was installed to continuously monitor the temperature and moisture of the active layer, radiation flow on the surface, and air temperature. We used data collected to generate the indexes freezing degree-days, thawing degree-days, frost number, n-factor, apparent thermal diffusivity, and active layer thickness. The temperature of the active layer is not homogeneous, varying with depth and position in the transect, with the greatest variations in soil with better drainage and lower moisture content. Among the evaluated factors, air and soil surface temperature are the ones that most influence the thermal gradient of the active layer. We identified that near the surface there is a greater influence of albedo and cloudiness and at-35 cm depth there is a greater influence of net radiation and soil moisture. The average depth of the active layer in 2014 was-44.3 cm and in 2015-47.7 cm and the frost number index indicates that there was a predominance of continuous permafrost in the transect during the monitoring.</t>
  </si>
  <si>
    <t>[de Andrade, Andre M.] Univ Fed Vales Jequitinhonha &amp; Mucuri, Ave Univ 1000, BR-38620870 Unai, MG, Brazil; [Michel, Roberto F. M.] Univ Estadual Santa Cruz, Rodovia Jorge Amado Km 16, BR-45000000 Ilheus, BA, Brazil; [Bremer, Ulisses Franz; Simoes, Jefferson C.] Univ Fed Rio Grande do Sul, Ave Bento Goncalves 9500, BR-91501970 Porto Alegre, RS, Brazil; [Neto, Elias De Lima] Univ Sao Paulo, Ave Trabalhador Sao Carlense 400, BR-13566590 Sao Carlos, SP, Brazil; [Vieira, Goncalo Brito T. G.] Univ Lisbon, Rua Branca Edmee Marques, P-1600276 Lisbon, Portugal; [Schaefer, Carlos Ernesto G. R.] Univ Fed Vicosa, Ave Peter Henry Rolfs S-N, BR-36570900 Vicosa, MG, Brazil</t>
  </si>
  <si>
    <t>Universidade Federal dos Vales do Jequitinhonha e Mucuri (UFVJM); Universidade Estadual de Santa Cruz; Universidade Federal do Rio Grande do Sul; Universidade de Sao Paulo; Universidade de Lisboa; Universidade Federal de Vicosa</t>
  </si>
  <si>
    <t>de Andrade, AM (corresponding author), Univ Fed Vales Jequitinhonha &amp; Mucuri, Ave Univ 1000, BR-38620870 Unai, MG, Brazil.</t>
  </si>
  <si>
    <t>andre.medeiros@ufvjm.edu.br</t>
  </si>
  <si>
    <t>Simoes, Jefferson Cardia/D-7232-2013; Vieira, Goncalo/G-5958-2010; Bremer, Ulisses/AAT-8733-2021</t>
  </si>
  <si>
    <t>Simoes, Jefferson Cardia/0000-0001-5555-3401; Vieira, Goncalo/0000-0001-7611-3464; Bremer, Ulisses/0000-0003-0519-5807</t>
  </si>
  <si>
    <t>Coordenaco de Aperfeicoamento de Pessoal de Nivel Superior (CAPES); Conselho Nacional de Pesquisas e Instituto Nacional de Ciencia e Tecnologia da Criosfera CNPq/INCT [465680/2014-3]; Brazilian National Institute of Cryospheric Science and Technology, Proantar, Brazilian Navy; Federal University of Rio Grande do Sul (UFRGS); Federal University of Vicosa (UFV)</t>
  </si>
  <si>
    <t>Coordenaco de Aperfeicoamento de Pessoal de Nivel Superior (CAPES)(Coordenacao de Aperfeicoamento de Pessoal de Nivel Superior (CAPES)); Conselho Nacional de Pesquisas e Instituto Nacional de Ciencia e Tecnologia da Criosfera CNPq/INCT(Conselho Nacional de Desenvolvimento Cientifico e Tecnologico (CNPQ)); Brazilian National Institute of Cryospheric Science and Technology, Proantar, Brazilian Navy; Federal University of Rio Grande do Sul (UFRGS); Federal University of Vicosa (UFV)</t>
  </si>
  <si>
    <t>This study was supported by Coordenac &amp; atilde;o de Aperfeicoamento de Pessoal de Nivel Superior (CAPES) , Conselho Nacional de Pesquisas e Instituto Nacional de Ciencia e Tecnologia da Criosfera CNPq/INCT 465680/2014-3, Brazilian National Institute of Cryospheric Science and Technology, Proantar, Brazilian Navy, Federal University of Rio Grande do Sul (UFRGS) and Federal University of Vicosa (UFV)</t>
  </si>
  <si>
    <t>e20230181</t>
  </si>
  <si>
    <t>10.1590/0001-3765202320230181</t>
  </si>
  <si>
    <t>DG3V3</t>
  </si>
  <si>
    <t>WOS:001130845300001</t>
  </si>
  <si>
    <t>Torres, C; Bozkurt, D; Arigony-Neto, J</t>
  </si>
  <si>
    <t>Torres, Christian; Bozkurt, Deniz; Arigony-Neto, Jorge</t>
  </si>
  <si>
    <t>Large-scale and regional climatic influences on surface temperature and precipitation in the South Shetland Islands, northern Antarctic Peninsula</t>
  </si>
  <si>
    <t>Temperature; Precipitation; Drake Passage; South Shetland Islands</t>
  </si>
  <si>
    <t>KING GEORGE ISLAND; MASS-BALANCE; RETREAT</t>
  </si>
  <si>
    <t>Using data from SCAR observations, ERA5 reanalysis, and regional climate model simulations (RACMO), we examined the influence of large-and regional-scale climate forcing on temperature and precipitation variations in the South Shetland Islands (SSI). Specifically, we focused on understanding how regional climate indices influence the temporal variability of temperature and precipitation on the SSI. Our findings indicate that both large-and regional-scale climate indices significantly impact the interannual and seasonal temperature variability in the SSI. For instance, the Amundsen Sea Low, characterised by low-pressure systems over the Amundsen Sea, and sea ice extent in the northwestern part of the Weddell Sea, exert a strong influence on temperature variability (r from-0.64 to-0.87; p &lt; 0.05). In contrast, precipitation variability in this region is primarily controlled by regional climatic indices. Particularly, anomalies in atmospheric and surface pressure over the Drake Passage region strongly regulate the interannual variability of precipitation in the SSI (r from-0.46 to-0.70; p &lt; 0.05). Large-scale climatic indices demonstrate low but statistically significant correlations, including the Southern Annular Mode and deep convection in the central tropical Pacific. Given the importance of temperature and precipitation in the glacier changes, we recommend assessing the impact of the Drake region on SSI glaciers.</t>
  </si>
  <si>
    <t>[Torres, Christian; Arigony-Neto, Jorge] Univ Fed Rio Grande, FURG, Inst Oceanog, Av Italia,S-N,Km 8, BR-96201900 Rio Grande, RS, Brazil; [Torres, Christian; Bozkurt, Deniz] Univ Valparaiso, Dept Meteorol, Gran Bretana 644, Valparaiso 2340000, Chile; [Bozkurt, Deniz] Univ Chile, Ctr Climate &amp; Resilience Res CR 2, Blanco Encalada 2002,4th floor, Santiago 8330015, Chile; [Bozkurt, Deniz] Univ Concepcion, Ctr Oceanog Res COPAS COASTAL, Edmundo Larenas 219, Concepcion 4070409, Chile</t>
  </si>
  <si>
    <t>Universidade Federal do Rio Grande; Universidad de Valparaiso; Universidad de Chile; Universidad de Concepcion</t>
  </si>
  <si>
    <t>Torres, C (corresponding author), Univ Fed Rio Grande, FURG, Inst Oceanog, Av Italia,S-N,Km 8, BR-96201900 Rio Grande, RS, Brazil.;Torres, C (corresponding author), Univ Valparaiso, Dept Meteorol, Gran Bretana 644, Valparaiso 2340000, Chile.</t>
  </si>
  <si>
    <t>christian010194@gmail.com</t>
  </si>
  <si>
    <t>Torres Ramos, Christian Manuel/0000-0001-5530-2119</t>
  </si>
  <si>
    <t>Coordenacao de Aperfeicoamento de Pessoal de Nivel Superior (CAPES); Graduate Program in Oceanology at Universidade Federal do Rio Grande (FURG); CAPES</t>
  </si>
  <si>
    <t>Coordenacao de Aperfeicoamento de Pessoal de Nivel Superior (CAPES)(Coordenacao de Aperfeicoamento de Pessoal de Nivel Superior (CAPES)); Graduate Program in Oceanology at Universidade Federal do Rio Grande (FURG); CAPES(Coordenacao de Aperfeicoamento de Pessoal de Nivel Superior (CAPES))</t>
  </si>
  <si>
    <t>We thanked the resources provided by the Coordenac &amp; atilde;o de Aperfeicoamento de Pessoal de Nivel Superior (CAPES) to support the Graduate Program in Oceanology at Universidade Federal do Rio Grande (FURG) . The first author also thanked CAPES for the PhD scholarship. We wish to acknowledge ECMWF for ERA5 data and JM van Wessem and Jordi Bolibar at Utrecht University for RACMO data. In addition, we would like to thank Tomas Carrasco-Escaff for his useful discussions on this research and share his scripts for the elaboration of some figures. We also appreciate the comments and suggestions of the three anonymous reviewers, as they helped to improve our manuscript. Finally, we are grateful for the SCAR fellowships (https:// www.scar.org/general-scar-news/2022-scar-fellows/) that allowed the first author to conduct a research exchange at the University of Valparaiso, Chile.</t>
  </si>
  <si>
    <t>e20230685</t>
  </si>
  <si>
    <t>10.1590/0001-3765202320230685</t>
  </si>
  <si>
    <t>DM4L0</t>
  </si>
  <si>
    <t>WOS:001132445900001</t>
  </si>
  <si>
    <t>Nielsen, HEF</t>
  </si>
  <si>
    <t>Nielsen, Hanne Elliot Fonss</t>
  </si>
  <si>
    <t>In the Footsteps of Heroes Reprising and Rethinking Antarctic Histories</t>
  </si>
  <si>
    <t>BRAND ANTARCTICA: How Global Consumer Culture Shapes Our Perceptions of the Ice Continent</t>
  </si>
  <si>
    <t>Polar Studies</t>
  </si>
  <si>
    <t>UNIV NEBRASKA PRESS</t>
  </si>
  <si>
    <t>LINCOLN</t>
  </si>
  <si>
    <t>1111 LINCOLN MALL, LINCOLN, NE 68588-0630 USA</t>
  </si>
  <si>
    <t>978-1-4962-3825-2; 978-1-4962-2121-6</t>
  </si>
  <si>
    <t>Business; Cultural Studies; Environmental Studies</t>
  </si>
  <si>
    <t>Book Citation Index – Social Sciences &amp; Humanities (BKCI-SSH)</t>
  </si>
  <si>
    <t>Business &amp; Economics; Cultural Studies; Environmental Sciences &amp; Ecology</t>
  </si>
  <si>
    <t>BW2JF</t>
  </si>
  <si>
    <t>WOS:001117216500004</t>
  </si>
  <si>
    <t>Coughlin, JM; Bloom, LE</t>
  </si>
  <si>
    <t>Coughlin, Jenna M.; Bloom, Lisa E.</t>
  </si>
  <si>
    <t>Climate Change and the New Polar Aesthetics: Artists Reimagine the Arctic and Antarctic</t>
  </si>
  <si>
    <t>SCANDINAVIAN STUDIES</t>
  </si>
  <si>
    <t>[Coughlin, Jenna M.] St Olaf Coll, Northfield, MN 55057 USA</t>
  </si>
  <si>
    <t>Saint Olaf College</t>
  </si>
  <si>
    <t>Coughlin, JM (corresponding author), St Olaf Coll, Northfield, MN 55057 USA.</t>
  </si>
  <si>
    <t>SOC ADVANCEMENT SCAND STUD</t>
  </si>
  <si>
    <t>EUGENE</t>
  </si>
  <si>
    <t>UNIV OREGON DEPT GERMANIC LANG &amp; LIT, EUGENE, OR 97403 USA</t>
  </si>
  <si>
    <t>0036-5637</t>
  </si>
  <si>
    <t>2163-8195</t>
  </si>
  <si>
    <t>SCAND STUD</t>
  </si>
  <si>
    <t>Scand. Stud.</t>
  </si>
  <si>
    <t>Humanities, Multidisciplinary</t>
  </si>
  <si>
    <t>Arts &amp; Humanities Citation Index (A&amp;HCI)</t>
  </si>
  <si>
    <t>Arts &amp; Humanities - Other Topics</t>
  </si>
  <si>
    <t>CE9M6</t>
  </si>
  <si>
    <t>WOS:001123692100009</t>
  </si>
  <si>
    <t>Iancheva, T; Boyanov, D; Panayotov, N</t>
  </si>
  <si>
    <t>Iancheva, Tatiana; Boyanov, Doychin; Panayotov, Nikolay</t>
  </si>
  <si>
    <t>NEED FOR SECURITY AND STRESS COPING STRATEGIES OF PARTICIPANTS FROM THE XXXI BULGARIAN ANTARCTIC EXPEDITION</t>
  </si>
  <si>
    <t>STRATEGIES FOR POLICY IN SCIENCE AND EDUCATION-STRATEGII NA OBRAZOVATELNATA I NAUCHNATA POLITIKA</t>
  </si>
  <si>
    <t>need for security; stress; coping strategies; extreme activity; Antarctic expedition</t>
  </si>
  <si>
    <t>EMOTIONS; PERFORMANCE; PSYCHOLOGY; MODEL</t>
  </si>
  <si>
    <t>There is a growing interest in the behavior, psychological changes, and stress management of polar expedition members in the specialist literature. The need for security as the primary motivation of the individual is one of the personality parameters that significantly influence behavior strategies and the adaptation process, especially in situations of potential threat, tension, and risk. The present study aims to investigate the need for security as a basic motivation of the personality, the primary stress factors, and the preferred coping strategies of the participants in the XXXI Bulgarian Antarctic Expedition on Livingstone Island. The study involved 28 participants from the XXXI BulgarianAntarctic Expedition aged 33 to 71. 1) Methodology for the study of the need for security in the behavior of the individual - Bulgarian validation of the test by A. Velichkov et al. 1998; 2) Coping Orientations to Problems Experienced scale (COPE - 1, Carver et al. 1989), adapted for Bulgarian conditions (Georgiev et al. 2003); 3) Methodology for investigating the sources of stress in participants in Antarctic expeditions. The majority of participants had a low level of need for security. Significant differences were found according to the level of need for security regarding the Climatic conditions and work mode stress factor. Prior experience significantly influenced preferred coping strategies, Climatic conditions, and work mode stress factors. The results can support adaptation and adequate preventive actions to reduce psychological distress in participants.</t>
  </si>
  <si>
    <t>[Iancheva, Tatiana; Boyanov, Doychin; Panayotov, Nikolay] Natl Sports Acad Vassil Levski, Sofia, Bulgaria</t>
  </si>
  <si>
    <t>National Sports Academy - Bulgaria</t>
  </si>
  <si>
    <t>Iancheva, T (corresponding author), Natl Sports Acad Vassil Levski, Sofia, Bulgaria.</t>
  </si>
  <si>
    <t>iancheva.tatiana@gmail.com</t>
  </si>
  <si>
    <t>Iancheva, Tatiana/AAT-9078-2020</t>
  </si>
  <si>
    <t>Iancheva, Tatiana/0000-0001-9718-6056</t>
  </si>
  <si>
    <t>NATL IZDATELSTVO AZ BUKI</t>
  </si>
  <si>
    <t>BUL TSARIGRADSKO SHOSE, 125, BL 5, SOFIA, 1113, BULGARIA</t>
  </si>
  <si>
    <t>1310-0270</t>
  </si>
  <si>
    <t>1314-8575</t>
  </si>
  <si>
    <t>STRATEG POLICY SCI E</t>
  </si>
  <si>
    <t>Strateg. Policy Sci. Educ.</t>
  </si>
  <si>
    <t>S</t>
  </si>
  <si>
    <t>10.53656/str2023-5s-1-nee</t>
  </si>
  <si>
    <t>Education &amp; Educational Research</t>
  </si>
  <si>
    <t>CJ0G7</t>
  </si>
  <si>
    <t>WOS:001124761400001</t>
  </si>
  <si>
    <t>Ezer, T; Carniel, S; Amin, C; de Camargo, R; Estrada-Allis, SN; Gao, GP; Greatbatch, RJ; Lermusiaux, PFJ; Liu, ZY; Miyazawa, Y; Forster, AO; Panickal, S; Phillips, H; Pinones, A; Stanev, E; Volker, C; Xu, FH; Young, E</t>
  </si>
  <si>
    <t>Ezer, Tal; Carniel, Sandro; Amin, Chabchoub; de Camargo, Ricardo; Estrada-Allis, Sheila N.; Gao, Guoping; Greatbatch, Richard J.; Lermusiaux, Pierre F. J.; Liu, Zhiyu; Miyazawa, Yasumasa; Forster, Alejandro Orfila; Panickal, Swapna; Phillips, Helen; Pinones, Andrea; Stanev, Emil; Volker, Christoph; Xu, Fanghua; Young, Emma</t>
  </si>
  <si>
    <t>Thank you to 2022 Ocean Dynamics reviewers</t>
  </si>
  <si>
    <t>OCEAN DYNAMICS</t>
  </si>
  <si>
    <t>[Ezer, Tal] Old Dominion Univ, Norfolk, VA 23529 USA; [Carniel, Sandro] Ctr Maritime Res, La Spezia, Italy; [Amin, Chabchoub] Univ Sydney, Sydney, NSW, Australia; [de Camargo, Ricardo] Univ Sao Paulo, Sao Paulo, Brazil; [Estrada-Allis, Sheila N.] Ensenada Ctr Sci Res &amp; Higher Educ, Ensenada, Baja California, Mexico; [Gao, Guoping] Shanghai Ocean Univ, Shanghai, Peoples R China; [Greatbatch, Richard J.] Helmholtz Ctr Ocean Res, Kiel, Germany; [Lermusiaux, Pierre F. J.] MIT, Cambridge, MA 02139 USA; [Liu, Zhiyu] Xiamen Univ, Xiamen, Peoples R China; [Miyazawa, Yasumasa] Japan Agcy Marine Sci &amp; Technol, Yokohama, Kanagawa, Japan; [Forster, Alejandro Orfila] Inst Mediterrani Estudis Avancats, Liies Balears, Mallorca, Spain; [Panickal, Swapna] Indian Inst Trop Meteorol, Pune, Maharashtra, India; [Phillips, Helen] Univ Tasmania, Hobart, Tas, Australia; [Pinones, Andrea] Univ Austral Chile, Valdivia, Chile; [Stanev, Emil] Helmholtz Zent, Inst Coastal Syst, Geesthacht, Germany; [Volker, Christoph] Helmholtz Ctr Polar &amp; Marine Res, Bremerhaven, Germany; [Xu, Fanghua] Tsinghua Univ, Beijing, Peoples R China; [Young, Emma] British Antarctic Survey, Cambridge, England</t>
  </si>
  <si>
    <t>Old Dominion University; University of Sydney; Universidade de Sao Paulo; Shanghai Ocean University; Helmholtz Association; GEOMAR Helmholtz Center for Ocean Research Kiel; Massachusetts Institute of Technology (MIT); Xiamen University; Japan Agency for Marine-Earth Science &amp; Technology (JAMSTEC); Consejo Superior de Investigaciones Cientificas (CSIC); ATTITUS Educacao; Ministry of Earth Sciences (MoES) - India; Indian Institute of Tropical Meteorology (IITM); University of Tasmania; Universidad Austral de Chile; Helmholtz Association; Alfred Wegener Institute, Helmholtz Centre for Polar &amp; Marine Research; Tsinghua University; UK Research &amp; Innovation (UKRI); Natural Environment Research Council (NERC); NERC British Antarctic Survey</t>
  </si>
  <si>
    <t>Ezer, T (corresponding author), Old Dominion Univ, Norfolk, VA 23529 USA.</t>
  </si>
  <si>
    <t>tezer@odu.edu</t>
  </si>
  <si>
    <t>Liu, Zhiyu/G-3386-2010; Phillips, Helen/I-3761-2013</t>
  </si>
  <si>
    <t>Liu, Zhiyu/0000-0001-5293-1390; Phillips, Helen/0000-0002-2941-7577; Orfila, Alejandro/0000-0002-1016-8726; Pinones, Andrea/0000-0002-1737-9016; Estrada-Allis, Sheila/0000-0002-0005-4629</t>
  </si>
  <si>
    <t>SPRINGER HEIDELBERG</t>
  </si>
  <si>
    <t>HEIDELBERG</t>
  </si>
  <si>
    <t>TIERGARTENSTRASSE 17, D-69121 HEIDELBERG, GERMANY</t>
  </si>
  <si>
    <t>1616-7341</t>
  </si>
  <si>
    <t>1616-7228</t>
  </si>
  <si>
    <t>OCEAN DYNAM</t>
  </si>
  <si>
    <t>Ocean Dyn.</t>
  </si>
  <si>
    <t>10.1007/s10236-022-01535-7</t>
  </si>
  <si>
    <t>Z9OC3</t>
  </si>
  <si>
    <t>Green Submitted, Bronze, Green Published</t>
  </si>
  <si>
    <t>WOS:001115291100003</t>
  </si>
  <si>
    <t>Dos Santos, EB; Brum, AS; De Souza, GA; Figueiredo, RG; Usma, CD; Ricetti, JHZ; Trevisan, C; Leppe, M; Sayao, JM; Lima, FJ; Oliveira, GR; Kellner, AWA</t>
  </si>
  <si>
    <t>Dos Santos Filho, Edilson B.; Brum, Arthur S.; De Souza, Geovane A.; Figueiredo, Rodrigo G.; Usma, Cristian D.; Ricetti, Joao Henrique Z.; Trevisan, Cristine; Leppe, Marcelo; Sayao, Juliana M.; Lima, Flaviana J.; Oliveira, Gustavo R.; Kellner, Alexander W. A.</t>
  </si>
  <si>
    <t>First record of insect-plant interaction in Late Cretaceous fossils from Nelson Island (South Shetland Islands Archipelago), Antarctica</t>
  </si>
  <si>
    <t>Paleoecology; Nelson Island; insect-plant interaction; Cretaceous; Antarctica</t>
  </si>
  <si>
    <t>HERBIVORY; NOTHOFAGACEAE; BIOGEOGRAPHY; DIVERSITY; EVOLUTION; PATTERNS; INSIGHTS; HISTORY; FLORAS</t>
  </si>
  <si>
    <t>Despite the enormous paleobotanical record on different islands of the Antarctic Peninsula, the evidence of insect activity associated with fossilized plants is scarce. Here we report the first evidence of insect-plant interaction from Cretaceous deposits, more precisely from a new locality at the Rip Point area, Nelson Island (Antarctic Peninsula). The macrofossil assemblage includes isolated Nothofagus sp. leaf impressions, a common component of the Antarctic paleoflora. Two hundred leaves were examined, of which 15 showed evidence of insect activity, displaying variations in size, shape, and preservation. Two types of interaction damage, galls and mines, were identified. A single specimen retained a circular scar recognized as galling scar, while meandering tracks were considered mines. These traces of herbivore insect activity, correspond to the oldest known record of this type of interaction of West Antarctica and the oldest record of insect-plant interaction in Nothofagus sp. reported so far.</t>
  </si>
  <si>
    <t>[Dos Santos Filho, Edilson B.] Univ Fed Pernambuco, Programa Posgrad Geociencias, Ave Prof Moraes Rego 1235, BR-50670901 Recife, PE, Brazil; [Brum, Arthur S.; De Souza, Geovane A.] Univ Fed Rio de Janeiro, Museu Nacl, Programa Posgrad Zool, Quinta Boa Vista S-N, BR-20940040 Rio De Janeiro, RJ, Brazil; [Brum, Arthur S.; De Souza, Geovane A.; Sayao, Juliana M.; Kellner, Alexander W. A.] Univ Fed Rio de Janeiro, Dept Geol &amp; Paleontol, Lab Paleobiol &amp; Paleogeog Antartica, Museu Nacl, BR-20940040 Rio De Janeiro, RJ, Brazil; [Figueiredo, Rodrigo G.] Univ Fed Espirito Santo, Ctr Ciencias Exatas Nat &amp; Saude, Dept Biol, Alto Univ S-N, BR-29500000 Alegre, ES, Brazil; [Usma, Cristian D.] Univ Fed Pernambuco, Lab Isotopos Estaveis, Nucleo Estudos Geoquim, NEG,LABISE,CTG, Ave Acad Helio Ramos S-N, BR-50740530 Recife, PE, Brazil; [Ricetti, Joao Henrique Z.] Univ Fed Rio Grande do Sul, Inst Geociencias, Programa Posgrad Geociencias, Ave Bento Goncalves 9500, BR-91509900 Porto Alegre, RS, Brazil; [Ricetti, Joao Henrique Z.] Univ Contestado, Ctr Pesquisas Paleontol, Ave Pres Nereu Ramos 1071, BR-89304076 Mafra, SC, Brazil; [Trevisan, Cristine; Leppe, Marcelo] Chilean Antarctic Inst INACH, Antarctic &amp; Patagonia Paleobiol Lab, Lautaro Navarro 1245, Punta Arenas, Chile; [Lima, Flaviana J.] Univ Fed Pernambuco, Ctr Acad Vitoria, Lab Plantas Gondwana, Rua Alto Reservatorio S-N, BR-55608680 Vitoria De Santo Antao, PE, Brazil; [Oliveira, Gustavo R.] Univ Fed Rural Pernambuco, Dept Biol, Lab Paleontol &amp; Sistemat, Rua Dom Manuel de Medeiros S-N, BR-52171900 Recife, PE, Brazil; [Kellner, Alexander W. A.] Univ Fed Rio de Janeiro, Dept Geol &amp; Paleontol, Lab Sistemat &amp; Tafon Vertebrados Fosseis, Museu Nacl, Quinta Boa Vista S-N, Rio De Janeiro, RJ, Brazil</t>
  </si>
  <si>
    <t>Universidade Federal de Pernambuco; Universidade Federal do Rio de Janeiro; Universidade Federal do Rio de Janeiro; Universidade Federal do Espirito Santo; Universidade Federal de Pernambuco; Universidade Federal do Rio Grande do Sul; Universidade do Contestado; Universidade Federal de Pernambuco; Universidade Federal Rural de Pernambuco (UFRPE); Universidade Federal do Rio de Janeiro</t>
  </si>
  <si>
    <t>Dos Santos, EB (corresponding author), Univ Fed Pernambuco, Programa Posgrad Geociencias, Ave Prof Moraes Rego 1235, BR-50670901 Recife, PE, Brazil.</t>
  </si>
  <si>
    <t>edilson.bsf@gmail.com</t>
  </si>
  <si>
    <t>Souza, Geovane Alves de/HTN-7985-2023; Oliveira, Gustavo R/F-7432-2012; Leppe, Marcelo/L-5447-2014; Lima, Flaviana Jorge de/JJC-7699-2023; Oliveira, Gustavo/IQW-7983-2023</t>
  </si>
  <si>
    <t>Souza, Geovane Alves de/0000-0003-0979-1526; Leppe, Marcelo/0000-0002-1545-8167; Lima, Flaviana Jorge de/0000-0001-8602-6508; da Costa, Arthur Souza Brum/0000-0003-3927-0318; Sayao, juliana/0000-0002-3619-0323; Usma Cuervo, Cristian David/0000-0001-6848-445X</t>
  </si>
  <si>
    <t>Conselho Nacional de Desenvolvimento Cientifico e Tecnologico (CNPq) [313461/2018-0, 406779/2021-0, CNPq/PROANTAR 442677/2018-9, 314222/2020-0, 406902/2022-4 INCT PALEOVERT]; Fundacao Coordenacao de Aperfeicoamento de Pessoal de Nivel Superior [CAPES/PROANTAR 88887.336584/2019-00]</t>
  </si>
  <si>
    <t>Conselho Nacional de Desenvolvimento Cientifico e Tecnologico (CNPq)(Conselho Nacional de Desenvolvimento Cientifico e Tecnologico (CNPQ)); Fundacao Coordenacao de Aperfeicoamento de Pessoal de Nivel Superior(Coordenacao de Aperfeicoamento de Pessoal de Nivel Superior (CAPES))</t>
  </si>
  <si>
    <t>We thank the Marinha do Brasil for providing logistical support during the fieldwork conducted as part of the OPERANTAR activities when these and other fossils were collected by the PALEOANTAR team. Thatiany Batista (Universidade Regional do Cariri, Crato) is thanked for helping with the pictu res that illustrate the present article, and Renan Bantim (Universidade Regional do Cariri, Crato) for assisting with the figures and comments in the initial version of the ms. We thanktwo anonymous reviewers for their comments that greatly improved this ms. The results of this study are the sole responsibility of the authors. This study was funded by the Conselho Nacional de Desenvolvimento Cientifico e Tecnologico (CNPq #313461/2018-0, #406779/2021-0 and CNPq/PROANTAR 442677/2018-9 to AWAK, #314222/2020-0 to JMS, #406902/2022-4 INCT PALEOVERT to GRO, FJL, JMS and AWAK) and Fundacao Coordenacao de Aperfeicoamento de Pessoal de Nivel Superior (CAPES/PROANTAR 88887.336584/2019-00 to EBSF and ASB).</t>
  </si>
  <si>
    <t>e20231268</t>
  </si>
  <si>
    <t>10.1590/0001-3765202320231268</t>
  </si>
  <si>
    <t>CJ7V8</t>
  </si>
  <si>
    <t>WOS:001124959900001</t>
  </si>
  <si>
    <t>Smith, JE; Keane, J; Oellermann, M; Mundy, C; Gardner, C</t>
  </si>
  <si>
    <t>Smith, Jennifer E.; Keane, John; Oellermann, Michael; Mundy, Craig; Gardner, Caleb</t>
  </si>
  <si>
    <t>Lobster predation on barren-forming sea urchins is more prevalent in habitats where small urchins are common: a multi-method diet analysis</t>
  </si>
  <si>
    <t>biodiversity; climate change; crustaceans; diet; echinoderms; ecology; fisheries; genetics; invertebrates; marine; stable isotopes</t>
  </si>
  <si>
    <t>NATIVE PREDATORS; SPINY LOBSTERS; KELP BEDS; PREY</t>
  </si>
  <si>
    <t>ContextIn Tasmania, Australia, the government's response to range-extending, barren-forming longspined sea urchin (Centrostephanus rodgersii) includes rebuilding of southern rock lobster (Jasus edwardsii) stocks to increase predation. But lobster preference for native species and continued barren expansion challenges the control efficacy.AimsTo determine the impact of lobster predation on C. rodgersii in different habitats.MethodsMulti-method dietary analysis consisting of stomach contents, faecal DNA and stable isotopes was performed on 64 lobsters from four habitats varying in barren extent and density of urchins and lobsters.Key resultsC. rodgersii contributed to lobster diet in all barren habitats and was found in lobsters of every size class. Stable isotope and DNA analyses showed that C. rodgersii was more common in lobster diet than were targeted native species at incipient barren sites. Surprisingly, in extensive barrens C. rodgersii is less prominent in lobster diet.ConclusionsCombined with site-specific urchin population data, our findings indicated that lobster predation may be less effective at sites where most C. rodgersii individuals have reached a size refuge than at sites dominated by small urchins.ImplicationsLobster predation may provide a useful control for smaller C. rodgersii, but top-down predatory control may be constrained at sites dominated by urchins that exceed the size suitable for lobster predation. Using a diverse set of methods, we investigated lobster diet in Tasmania to see whether lobsters prey on, and, consequently, contribute to the control of a destructive, range-extending sea urchin. We found that lobsters do consume the urchins, but to a lesser extent in the habitat where suitably sized urchins are scarce. These findings highlight the complexity of using native predators for pest control.</t>
  </si>
  <si>
    <t>[Smith, Jennifer E.; Keane, John; Oellermann, Michael; Mundy, Craig; Gardner, Caleb] Univ Tasmania, Inst Marine &amp; Antarctic Studies, Hobart, Tas, Australia; [Oellermann, Michael] Alfred Wegener Inst, Helmholtz Ctr Polar &amp; Marine Res, Bremerhaven, Germany</t>
  </si>
  <si>
    <t>University of Tasmania; Helmholtz Association; Alfred Wegener Institute, Helmholtz Centre for Polar &amp; Marine Research</t>
  </si>
  <si>
    <t>Smith, JE (corresponding author), Univ Tasmania, Inst Marine &amp; Antarctic Studies, Hobart, Tas, Australia.</t>
  </si>
  <si>
    <t>je.smith@utas.edu.au</t>
  </si>
  <si>
    <t>Mundy, Craig/G-3390-2014</t>
  </si>
  <si>
    <t>Mundy, Craig/0000-0002-1945-3750; Keane, John Patrick/0000-0001-8950-5176; Smith, Jennifer/0000-0001-5051-3769</t>
  </si>
  <si>
    <t>Holsworth Wildlife Research Endowment-Equity Trustees Charitable Foundation; Ecological Society of Australia; Tasmanian Government under FRDC Project [2021-020]; German Research Foundation [326692763]; Australian Government</t>
  </si>
  <si>
    <t>Holsworth Wildlife Research Endowment-Equity Trustees Charitable Foundation; Ecological Society of Australia; Tasmanian Government under FRDC Project; German Research Foundation(German Research Foundation (DFG)); Australian Government(Australian Government)</t>
  </si>
  <si>
    <t>This project and J. E. Smith were partly funded by the Holsworth Wildlife Research Endowment-Equity Trustees Charitable Foundation &amp; the Ecological Society of Australia and by the Tasmanian Government under FRDC Project: 2021-020. M. Oellermann was supported by the German Research Foundation Fellowship 326692763. J. E. Smith was supported by an Australian Government Research Training Program (RTP) Scholarship</t>
  </si>
  <si>
    <t>10.1071/MF23140</t>
  </si>
  <si>
    <t>CQ7L3</t>
  </si>
  <si>
    <t>WOS:001126773500004</t>
  </si>
  <si>
    <t>De Miranda, CO; Schaefer, CEGR; De Souza, JJLL; Guimaraes, LM; Maia, PVS; Do Sul, JAI</t>
  </si>
  <si>
    <t>De Miranda, Caik O.; Schaefer, Carlos Ernesto G. R.; De Souza, Jose Joao L. L.; Guimaraes, Luciano M.; Maia, Paulo Victor S.; Do Sul, Juliana A. Ivar</t>
  </si>
  <si>
    <t>Low numbers of large microplastics on environmentally-protected Antarctic beaches reveals no widespread contamination: insights into beach sedimentary dynamics</t>
  </si>
  <si>
    <t>Antarctic Specially Protected Areas; raman spectroscopy; sedimentary dynamics; South Shetlands Islands; stranded plastics</t>
  </si>
  <si>
    <t>SOUTH-SHETLAND ISLANDS; KING-GEORGE-ISLAND; SURFACE-ENERGY BALANCE; LIVINGSTON ISLAND; BYERS PENINSULA; PLASTIC PELLETS; ROSS SEA; CURRENTS; LANDFORMS; IDENTIFICATION</t>
  </si>
  <si>
    <t>Microplastics are ubiquitous contaminants of marine ecosystems around the world and Antarctica is no exception. Microplastics can be influenced by sedimentary dynamics mainly on coastal areas where they are more abundant in Antarctica. This study evaluated microplastic contamination in beach environments from two Antarctic Specially Protected Areas, aiming to identify relationships between microplastic numbers and sedimentological parameters on beach sediments. Low numbers of microplastics were found (&gt; 0.5 mm; fibers excluded) - one particle per sample in 4 of 15 samples analyzed - and there is no evidence of widespread contamination. Sedimentological parameters reveal differences between sampled environments, but low numbers of microplastics impaired statistical comparison. All sediment samples are coarse, denoting high-energy depositional environments that are likely little susceptible to microplastic accumulation. Microplastic contamination in the Antarctic coastal ecosystem is heterogeneous, and their detailed characterization assisted by a systematization of methods can improve the understanding of microplastics distribution patterns in the cold coastal ecosystem.</t>
  </si>
  <si>
    <t>[De Miranda, Caik O.; Schaefer, Carlos Ernesto G. R.; Do Sul, Juliana A. Ivar] Univ Fed Vicosa, Dept Solos, Edificio Sylvio Starling Brandao,Av Peter Henry Ro, BR-36570900 Vicosa, MG, Brazil; [Guimaraes, Luciano M.; Maia, Paulo Victor S.] Campus Univ, Univ Fed Vicosa, Ctr Ciencias Exatas, Av Peter Henry Rolfs S-N,Campus Univ, BR-36570900 Vicosa, MG, Brazil; Leibniz Inst Balt Sea Res, Seestr 15, D-18119 Rostock, Germany</t>
  </si>
  <si>
    <t>Universidade Federal de Vicosa; Universidade Federal de Vicosa; Leibniz Institut fur Ostseeforschung Warnemunde</t>
  </si>
  <si>
    <t>De Miranda, CO (corresponding author), Univ Fed Vicosa, Dept Solos, Edificio Sylvio Starling Brandao,Av Peter Henry Ro, BR-36570900 Vicosa, MG, Brazil.</t>
  </si>
  <si>
    <t>caik.miranda@ufv.br</t>
  </si>
  <si>
    <t>Souza, José João Lelis Leal de/G-5960-2018</t>
  </si>
  <si>
    <t>Souza, José João Lelis Leal de/0000-0003-4670-6626; A. IVAR DO SUL, JULIANA/0000-0003-0851-3559; Oliveira de Miranda, Caik/0000-0002-3510-2678; Guimaraes, Luciano de Moura/0000-0001-9656-2996; Sciammarella Maia, Paulo Victor/0000-0002-1767-1375</t>
  </si>
  <si>
    <t>Coordenacao de Aperfeicoamento de Pessoal de Nivel Superior (CAPES, Brazil) [001]; Conselho Nacional Desenvolvimento Cientifico e Tecnologico (CNPq) Brazilian Minitry of Science, Technology, Innovation and communication - MCTIC, under the scope of Brazilian Antarctic Program (PROANTAR); Brazilian Ministries of Science, Technology and Innovation (MCTI), Environment (MMA); Inter-Ministry Commission for Sea Resources (CIRM)</t>
  </si>
  <si>
    <t>Coordenacao de Aperfeicoamento de Pessoal de Nivel Superior (CAPES, Brazil)(Coordenacao de Aperfeicoamento de Pessoal de Nivel Superior (CAPES)); Conselho Nacional Desenvolvimento Cientifico e Tecnologico (CNPq) Brazilian Minitry of Science, Technology, Innovation and communication - MCTIC, under the scope of Brazilian Antarctic Program (PROANTAR); Brazilian Ministries of Science, Technology and Innovation (MCTI), Environment (MMA); Inter-Ministry Commission for Sea Resources (CIRM)</t>
  </si>
  <si>
    <t>The present work was carried out with the support of the Coordenacao de Aperfeicoamento de Pessoal de Nivel Superior (CAPES, Brazil) - Financing Code 001. This study was conducted within activities of project PERMACLIMA/TERRANTAR, financed by Conselho Nacional Desenvolvimento Cientifico e Tecnologico (CNPq) of the Brazilian Minitry of Science, Technology, Innovation and communication - MCTIC, under the scope of Brazilian Antarctic Program (PROANTAR) . The authors thank the support of the Brazilian Ministries of Science, Technology and Innovation (MCTI), Environment (MMA) and Inter-Ministry Commission for Sea Resources (CIRM) . We also thank F. Menges for providing the Spectragryph-id v1.2.15 license.</t>
  </si>
  <si>
    <t>e20230283</t>
  </si>
  <si>
    <t>10.1590/0001-3765202320230283</t>
  </si>
  <si>
    <t>CL4X9</t>
  </si>
  <si>
    <t>WOS:001125405300001</t>
  </si>
  <si>
    <t>Knyazkov, VV</t>
  </si>
  <si>
    <t>Knyazkov, Vladimir V.</t>
  </si>
  <si>
    <t>Modeling of the stress-strain state of the ice cover</t>
  </si>
  <si>
    <t>MARINE INTELLECTUAL TECHNOLOGIES</t>
  </si>
  <si>
    <t>modeling; finite element method; ice cover; destruction experiments</t>
  </si>
  <si>
    <t>Recently, human activity in the Arctic and Antarctic regions has intensified, and in parallel with this, the need for a full understanding of the process of ice destruction has increased. This information is directly applicable to many tasks of engineering practice, and not only in polar regions, but also in temperate latitudes in relation to winter conditions. Such tasks include: the destruction of the ice cover by icebreakers or other technical means, the construction of ice roads and crossings, runways, etc. Many problems related to ice have been solved and are being solved in the laboratory. Moreover, in recent years, the share of laboratory research has been constantly increasing. This is because laboratory equipment is becoming more and more complicated, the method of conducting experiments in each series of experiments is being improved, and the experimental conditions are subject to more precise control. However, with the advent of computer-aided design systems, which include modules for structural analysis, it became possible to predict the behavior of products and structures in a real environment by virtual testing of CAD models. The described method of modeling the stress-strain state of an ice plate separated by cracks by the finite element method (linear static analysis) allows us to estimate the bearing capacity of the ice cover without expensive experimental studies.</t>
  </si>
  <si>
    <t>[Knyazkov, Vladimir V.] Nizhny Novgorod State Tech Univ RE Alekseev, Dept Shipbldg &amp; Eviat Technol, Minin st,24, Nizhnii Novgorod 603950, Russia</t>
  </si>
  <si>
    <t>Nizhny Novgorod State Technical University</t>
  </si>
  <si>
    <t>Knyazkov, VV (corresponding author), Nizhny Novgorod State Tech Univ RE Alekseev, Dept Shipbldg &amp; Eviat Technol, Minin st,24, Nizhnii Novgorod 603950, Russia.</t>
  </si>
  <si>
    <t>vl.knyazkov@yandex.ru</t>
  </si>
  <si>
    <t>Russian Science Foundation [2219-00376]</t>
  </si>
  <si>
    <t>the presented results were obtained under the project of the Russian Science Foundation No. 2219-00376 &lt;&lt; Experimental and theoretical study of semi-empirical models of the interaction of ships with ice &gt;&gt;.</t>
  </si>
  <si>
    <t>RESEARCH CENTRE MARINE INTELLIGENT TECHNOLOGIES</t>
  </si>
  <si>
    <t>ST PETERSBURG</t>
  </si>
  <si>
    <t>190121, LOTSMANSKAYA ST, 3, ST PETERSBURG, 00000, RUSSIA</t>
  </si>
  <si>
    <t>2073-7173</t>
  </si>
  <si>
    <t>MAR INTELLECT TECHNO</t>
  </si>
  <si>
    <t>Mar. Intellect. Technol.</t>
  </si>
  <si>
    <t>10.37220/MIT.2023.61.3.055</t>
  </si>
  <si>
    <t>Engineering, Marine</t>
  </si>
  <si>
    <t>Engineering</t>
  </si>
  <si>
    <t>Z5TP7</t>
  </si>
  <si>
    <t>WOS:001112699900019</t>
  </si>
  <si>
    <t>De Souza, GA; Bulak, BA; Soares, MB; Sayao, JM; Weinschuetz, LC; Batezelli, A; Kellner, AWA</t>
  </si>
  <si>
    <t>De Souza, Geovane A.; Bulak, Bruno A.; Soares, Marina B.; Sayao, Juliana M.; Weinschuetz, Luiz Carlos; Batezelli, Alessandro; Kellner, Alexander W. A.</t>
  </si>
  <si>
    <t>The Cretaceous Neornithine record and new Vegaviidae specimens from the López de Bertodano Formation (Upper Maastrichthian) of Vega Island, Antarctic Peninsula</t>
  </si>
  <si>
    <t>Mesozoic birds; Neornithes; Vegavis; Antarctica; James Ross</t>
  </si>
  <si>
    <t>JAMES-ROSS-ISLAND; MASS EXTINCTION; FOSSIL EVIDENCE; GROWTH-RATES; SANTA-MARTA; BIRDS; AVES; ORIGIN; STRATIGRAPHY; DIVERSITY</t>
  </si>
  <si>
    <t>A worldwide revision of the Cretaceous record of Neornithes (crown birds) revealed that unambiguous neornithine taxa are extremely scarce, with only a few showing diagnostic features to be confidently assigned to that group. Here we report two new neornithine specimens from Vega Island (Lopez de Bertodano Formation). The first is a synsacrum (MN 7832-V) that shows a complex pattern of transversal diverticula intercepting the canalis synsacri, as in extant neornithines. Micro-CT scanning revealed a camerate pattern of trabeculae typical of neornithines. It further shows the oldest occurrence of lumbosacral canals in Neornithes, which are related to a balance sensing system acting in the control of walking and perching. The second specimen (MN 7833-V) is a distal portion of a tarsometatarsus sharing with Vegavis iaai a straight apical border of the crista plantaris lateralis. Osteohistologically the tarsometatarsus shows a thick and highly vascularized cortex that lacks any growth marks, resembling Polarornis gregorii. The cortex is osteosclerotic as in other extinct and extant diving neornithines. These new specimens increase the occurrences of the Cretaceous avian material recovered from the Upper Cretaceous strata of the James Ross Sub-Basin, suggesting that a Vegaviidaedominated avian assemblage was present in the Antarctic Peninsula during the upper Maastrichtian.</t>
  </si>
  <si>
    <t>[De Souza, Geovane A.] Univ Fed Rio de Janeiro, Museu Nacl, Programa Posgrad Zool, Parque Quinta Boa Vista S-N, BR-20940040 Rio De Janeiro, RJ, Brazil; [Bulak, Bruno A.; Soares, Marina B.; Sayao, Juliana M.; Kellner, Alexander W. A.] Univ Fed Rio de Janeiro, Lab Sistemat &amp; Tafon Vertebrados Fosseis, Museu Nacl, Quinta Boa Vista S-N, BR-20940040 Rio De Janeiro, RJ, Brazil; [Soares, Marina B.; Sayao, Juliana M.; Kellner, Alexander W. A.] Univ Fed Rio de Janeiro, Dept Geol &amp; Paleontol, Lab Paleobiol &amp; Paleogeog Antart, Museu Nacl, Parque Quinta Boa Vista S-N, BR-20940040 Rio De Janeiro, RJ, Brazil; [Weinschuetz, Luiz Carlos] Univ Contestado, Ctr Pesquisa Paleontol UNC CENPALEO, Ave Nereu Ramos, BR-89300000 Mafra, SC, Brazil; [Batezelli, Alessandro] Univ Estadual Campinas, Dept Geol &amp; Recursos Nat, Inst Geociencias, Rua Joao Pandia Calogeras 51, BR-13083870 Campinas, SP, Brazil</t>
  </si>
  <si>
    <t>Universidade Federal do Rio de Janeiro; Universidade Federal do Rio de Janeiro; Universidade Federal do Rio de Janeiro; Universidade do Contestado; Universidade Estadual de Campinas</t>
  </si>
  <si>
    <t>De Souza, GA (corresponding author), Univ Fed Rio de Janeiro, Museu Nacl, Programa Posgrad Zool, Parque Quinta Boa Vista S-N, BR-20940040 Rio De Janeiro, RJ, Brazil.</t>
  </si>
  <si>
    <t>geoosoouza@gmail.com</t>
  </si>
  <si>
    <t>Souza, Geovane Alves de/HTN-7985-2023</t>
  </si>
  <si>
    <t>Souza, Geovane Alves de/0000-0003-0979-1526</t>
  </si>
  <si>
    <t>Conselho Nacional de Desenvolvimento Cientifico e Tecnologico (CNPq) [313461/20 18-0, 406779/2021-0, 442677/2018-9, 406902/2022- 4, 307938/2019-0, 314222/2020- 0, 310734/2020-7]; Coordenacao de Aperfeicoamento de Pessoal de Nivel Superior (CAPES) [88887314459/2019-00, 88887371713/2019- 00]; Brazilian Antarctic Program; Fundacao de Amparo a Pesquisa do Estado do Rio de Janeiro (FAPERJ) [313461/20 18-0, 406779/2021-0, 442677/2018-9, 406902/2022- 4]; [E-26/201.095/2022]; [E-26/010.002178/2019]; [E-26/201.066/2021]; [E-26/210.066/2023]</t>
  </si>
  <si>
    <t>Conselho Nacional de Desenvolvimento Cientifico e Tecnologico (CNPq)(Conselho Nacional de Desenvolvimento Cientifico e Tecnologico (CNPQ)); Coordenacao de Aperfeicoamento de Pessoal de Nivel Superior (CAPES)(Coordenacao de Aperfeicoamento de Pessoal de Nivel Superior (CAPES)); Brazilian Antarctic Program; Fundacao de Amparo a Pesquisa do Estado do Rio de Janeiro (FAPERJ)(Fundacao Carlos Chagas Filho de Amparo a Pesquisa do Estado do Rio De Janeiro (FAPERJ)); ; ; ;</t>
  </si>
  <si>
    <t>We thank Dr. Renata Stopiglia and Dr. Marcos Andre Raposo Ferreira (Setor de Ornitologia, Museu Nacional/UFRJ) for curatorial assistance, Dr. Maria Elizabeth Zucolotto for help in the preparation of the osteohistological slide and Dr. Luciana Carvalho (Departamento de Geologia e Paleontologia, Museu Nacional/UFRJ) for assistance with cataloging specimens. The Marinha do Brasil provided key logistical support for fieldwork during the OPERANTAR XXXVII (37th Brazilian Antarctic Operation) . The Brazilian Antarctic Program to supports the PALEOANTAR Project. This study was funded by the Conselho Nacional de Desenvolvimento Cientifico e Tecnologico (CNPq #313461/20 18-0, #406779/2021-0, #442677/2018-9, and #406902/2022- 4 to AWAK, #307938/2019-0 to MBS, #314222/2020- 0 to JMS, #310734/2020-7 to AB) , Coordenacao de Aperfeicoamento de Pessoal de Nivel Superior (CAPES# 88887314459/2019-00 to AWAK, #88887371713/2019- 00 to GAS) , and Fundacao de Amparo a Pesquisa do Estado do Rio de Janeiro (FAPERJ#E-26/201.095/2022 to AWAK, E-26/010.002178/2019, E-26/201.066/2021 to MBS, E-26/210.066/2023 to JMS) .</t>
  </si>
  <si>
    <t>e20230802</t>
  </si>
  <si>
    <t>10.1590/0001-3765202320230802</t>
  </si>
  <si>
    <t>CJ9A0</t>
  </si>
  <si>
    <t>WOS:001124990300001</t>
  </si>
  <si>
    <t>Lorenz, JL; Da Rosa, KK; Petsch, C; Perondi, C; Idalino, FD; Auger, JD; Vieira, R; Simoes, JC</t>
  </si>
  <si>
    <t>Lorenz, Julia L.; Da Rosa, Katia K.; Petsch, Carina; Perondi, Cleiva; Idalino, Filipe D.; Auger, Jeffrey Daniel; Vieira, Rosemary; Simoes, Jefferson C.</t>
  </si>
  <si>
    <t>Short-term glacier area changes, glacier geometry dependence, and regional climatic variations forcing, King George Island, Antarctica</t>
  </si>
  <si>
    <t>climate change; glacier fluctuations; NDSI; Sentinel; snowline</t>
  </si>
  <si>
    <t>ICE CAP; SNOW COVER; PENINSULA; RETREAT; GREENLAND; PRECIPITATION; FLUCTUATIONS; INVENTORY; NORTH; FIELD</t>
  </si>
  <si>
    <t>This study investigates the transient snowline (TSL) altitude for summer 2020, as well as glacial area loss in King George Island Icefields since 1988 using Sentinel-1 and 2 and Landsat Thematic Mapper (TM) imagery. Trends and anomalies in atmospheric temperature, U-wind, and V-wind were examined using ERA5 solutions. Results show the wet-snow zone corresponds to values of &lt;= -13dB, and 44.3% of the glacial area is located above the TSL (&gt;= 300 m). Glacial area for 2020 is 999.95 km(2), and losses in the period represent 104.9 km(2) (error &lt;1%) - a retreat of 3.17 km(2) / year. Glaciers in Keller Peninsula and Bellingshausen Dome lost the most area (28% and 17%, respectively) and did not have a TSL in 2020; followed by Warszawa (15%), Krak &amp; oacute;w (13%), and Eastern (10%), where the TSL was verified. Percentage area loss values increased with decreases in dimensions, area above TSL, and maximum elevation. Calving glaciers with ice-flow toward deeper and steeper submarine sectors (Bransfield Strait) exhibited greater glacier variations. The trend in warming atmospheric temperature was greater in the Bransfield Strait than in the Drake Passage. TSL and retreat difference between glaciers were influenced by climatic and ocean input, as well as multiple environmental factors.</t>
  </si>
  <si>
    <t>[Lorenz, Julia L.; Da Rosa, Katia K.; Petsch, Carina; Perondi, Cleiva; Idalino, Filipe D.; Auger, Jeffrey Daniel; Simoes, Jefferson C.] Univ Fed Rio Grande do Sul, Ctr Polar &amp; Climat, Ave Bento Goncalves 9500, BR-91501970 Porto Alegre, RS, Brazil; [Petsch, Carina] Univ Fed Santa Maria, Programa Posgrad Geog, Ave Roraima 1000, BR-97105900 Santa Maria, RS, Brazil; [Vieira, Rosemary] Univ Fed Fluminense, Dept Geog, Lab Proc Sedimentares &amp; Ambientais, Campus Praia Vermelha,Ave Gen Milton Tavares da So, BR-24210346 Niteroi, RJ, Brazil</t>
  </si>
  <si>
    <t>Universidade Federal do Rio Grande do Sul; Universidade Federal de Santa Maria (UFSM); Universidade Federal Fluminense</t>
  </si>
  <si>
    <t>Lorenz, JL (corresponding author), Univ Fed Rio Grande do Sul, Ctr Polar &amp; Climat, Ave Bento Goncalves 9500, BR-91501970 Porto Alegre, RS, Brazil.</t>
  </si>
  <si>
    <t>jlopeslorenz@gmail.com</t>
  </si>
  <si>
    <t>Simoes, Jefferson Cardia/D-7232-2013</t>
  </si>
  <si>
    <t>Simoes, Jefferson Cardia/0000-0001-5555-3401; Idalino, Filipe/0000-0001-5587-5208; Vieira, Rosemary/0000-0003-0312-2890; Lopes Lorenz, Julia/0000-0003-1695-1807; Rosa, Katia Kellem da/0000-0003-0977-9658; Petsch, Carina/0000-0002-1079-0080</t>
  </si>
  <si>
    <t>Conselho Nacional de Desenvolvimento Cientfico e Tecnolgico (CNPq) [465680/2014-3]; Coordenacao de Aperfeicoamento de Pessoal de Nivel Superior (CAPES); Brazilian Antarctic Program (PROANTAR); Foundation of Research Support of the State of Rio Grande do Sul (FAPERGS); Pr-reitoria de Pesquisa of UFRGS (PROPESQ); Programa de Pos-Graduacao em Geografia of UFRGS</t>
  </si>
  <si>
    <t>Conselho Nacional de Desenvolvimento Cientfico e Tecnolgico (CNPq)(Conselho Nacional de Desenvolvimento Cientifico e Tecnologico (CNPQ)); Coordenacao de Aperfeicoamento de Pessoal de Nivel Superior (CAPES)(Coordenacao de Aperfeicoamento de Pessoal de Nivel Superior (CAPES)); Brazilian Antarctic Program (PROANTAR); Foundation of Research Support of the State of Rio Grande do Sul (FAPERGS)(Fundacao de Amparo a Ciencia e Tecnologia do Estado do Rio Grande do Sul (FAPERGS)); Pr-reitoria de Pesquisa of UFRGS (PROPESQ); Programa de Pos-Graduacao em Geografia of UFRGS</t>
  </si>
  <si>
    <t>We acknowledge Jeffrey Auger and Maria Eliza Sotille for assistance in language editing. We also acknowledge the Conselho Nacional de Desenvolvimento Cientifico e Tecnologico (CNPq) Project 465680/2014-3 (INCT da Criosfera); Coordenac &amp; atilde;o de Aperfeicoamento de Pessoal de Nivel Superior (CAPES); Brazilian Antarctic Program (PROANTAR); Foundation of Research Support of the State of Rio Grande do Sul (FAPERGS) for financial support; Pro-reitoria de Pesquisa of UFRGS (PROPESQ) and Programa de Pos-Graduacao em Geografia of UFRGS.</t>
  </si>
  <si>
    <t>e20211627</t>
  </si>
  <si>
    <t>10.1590/0001-3765202320211627</t>
  </si>
  <si>
    <t>CJ1A4</t>
  </si>
  <si>
    <t>WOS:001124781400001</t>
  </si>
  <si>
    <t>Schaefer, CEGR; Senra, EO; Schmitz, D; Siqueira, RG; De Paula, MD; Putzke, J; De Oliveira, FS; Maia, LG; Ibraimo, ASM; Francelino, MR</t>
  </si>
  <si>
    <t>Schaefer, Carlos Ernesto G. R.; Senra, Eduardo O.; Schmitz, Daniela; Siqueira, Rafael G.; De Paula, Mayara D.; Putzke, Jair; De Oliveira, Fabio S.; Maia, Lara G.; Ibraimo, Anifo S. M.; Francelino, Marcio R.</t>
  </si>
  <si>
    <t>Soils under seal carcasses with varying degrees of decomposition: oasis of nutrients and vegetation in Antarctica</t>
  </si>
  <si>
    <t>animal bones; Antarctic soils; nutrient cycling; phosphatization</t>
  </si>
  <si>
    <t>JAMES-ROSS-ISLAND; KING GEORGE ISLAND; CRAB-EATER SEALS; MARITIME ANTARCTICA; ORNITHOGENIC CRYOSOLS; SEYMOUR ISLAND; MCMURDO SOUND; ULU PENINSULA; WEDDELL SEA; HOPE BAY</t>
  </si>
  <si>
    <t>Areas of high concentration of seal carcasses have been observed in localized areas of James Ross Island, Antarctica. Such carcasses show an unusual vegetation development, in a semi-arid area with bare soils under intense winds, high salinity and sandy texture. We investigated carcasses of seals around a lake in James Ross Island, with four different stages of decomposition, with three replicates: Seal (S01), with recently mummified carcasses; S02, with partially degraded carcasses; S03, with broken carcasses with partially degraded exposed bones, and S04, with completely broken, scattered skeletons. The vegetation showed a maximum degree of development in carcasses at stages S02 and S03, with the environment between the skin and the skeleton as the preferred place for vegetation establishment. The chemical alteration was greater with increasing carcass decomposition but reduced with the spreading and final decomposition of the bones, with anomalous values observed only in the vicinity of the carcasses. It is concluded that the presence of carcasses of seals, concentrated in wet places, even in a semi-desert climate, represent important oases of nutrients, with a combination of physical and chemical effects throughout the decomposition process that favor plant establishment and succession.</t>
  </si>
  <si>
    <t>[Schaefer, Carlos Ernesto G. R.; Schmitz, Daniela; Siqueira, Rafael G.; De Paula, Mayara D.; Ibraimo, Anifo S. M.; Francelino, Marcio R.] Univ Fed Vicosa, Nucleo Terrantar, Dept Solos, Av PH Rolfs S-N, BR-36570000 Vicosa, MG, Brazil; [Senra, Eduardo O.] Univ Fed Uberlandia, Unidade Araras, Rodovia LMG 746,Km 1, BR-38500000 Monte Carmelo, MG, Brazil; [Schmitz, Daniela] Univ Fed Vicosa, Dept Biol Vegetal, Av PH Rolfs S-N, BR-36570900 Vicosa, MG, Brazil; [Schmitz, Daniela] Assoc Conservacao Biodiversidade, ProBioDiversa Brasil, Rua Doutor Milton Bandeira 75, BR-36570172 Vicosa, MG, Brazil; [Putzke, Jair] Univ Fed Pampa, Rua Aluizio Barros Macedo S-N,BR 290,Km 423, BR-97307020 Sao Gabriel, RS, Brazil; [De Oliveira, Fabio S.] Univ Fed Minas Gerais, Dept Geog, Av Antonio Carlos 6627, BR-31270901 Belo Horizonte, MG, Brazil; [Maia, Lara G.] Univ Fed Ouro Preto, Dept Geol, Campus Morro Cruzeiro S-N, BR-35400000 Ouro Preto, MG, Brazil</t>
  </si>
  <si>
    <t>Universidade Federal de Vicosa; Universidade Federal de Uberlandia; Universidade Federal de Vicosa; Universidade Federal do Pampa; Universidade Federal de Minas Gerais; Universidade Federal de Ouro Preto</t>
  </si>
  <si>
    <t>Schmitz, D (corresponding author), Univ Fed Vicosa, Nucleo Terrantar, Dept Solos, Av PH Rolfs S-N, BR-36570000 Vicosa, MG, Brazil.;Schmitz, D (corresponding author), Univ Fed Vicosa, Dept Biol Vegetal, Av PH Rolfs S-N, BR-36570900 Vicosa, MG, Brazil.;Schmitz, D (corresponding author), Assoc Conservacao Biodiversidade, ProBioDiversa Brasil, Rua Doutor Milton Bandeira 75, BR-36570172 Vicosa, MG, Brazil.</t>
  </si>
  <si>
    <t>daniela.schmitz@ufv.br</t>
  </si>
  <si>
    <t>Francelino, Marcio Rocha/0000-0001-8837-1372; Guilherme Maia, Lara/0009-0003-5169-2246; Oliveira, Fabio/0000-0002-1450-7609; , jair/0000-0002-9018-9024; Siqueira, Rafael Gomes/0000-0003-2779-136X</t>
  </si>
  <si>
    <t>Coordenao de Aperfeioamento de Pessoal de Nvel Superior (CAPES); Coordenacao de Aperfeicoamento de Pessoal de Nivel Superior (CAPES); Conselho Nacional de Desenvolvimento Cientifico e Tecnologico (CNPq) [42703/2018-0, 150391/2022-6]; Secretaria Interministerial para os Recursos do MAR (SECIRM)</t>
  </si>
  <si>
    <t>Coordenao de Aperfeioamento de Pessoal de Nvel Superior (CAPES)(Coordenacao de Aperfeicoamento de Pessoal de Nivel Superior (CAPES)); Coordenacao de Aperfeicoamento de Pessoal de Nivel Superior (CAPES)(Coordenacao de Aperfeicoamento de Pessoal de Nivel Superior (CAPES)); Conselho Nacional de Desenvolvimento Cientifico e Tecnologico (CNPq)(Conselho Nacional de Desenvolvimento Cientifico e Tecnologico (CNPQ)); Secretaria Interministerial para os Recursos do MAR (SECIRM)</t>
  </si>
  <si>
    <t>We acknowledge Coordenacao de Aperfeicoamento de Pessoal de Nivel Superior (CAPES) , the Conselho Nacional de Desenvolvimento Cientifico e Tecnologico (CNPq) for financial support of this project #442703/2018-0 PROANTAR- Permaclima, and the third author's PDJ grant #150391/2022-6 (CNPq) . We are grateful to Marinha do Brasil and the Brazilian Navy for the logistic support during the Antarctic expeditions. Secretaria Interministerial para os Recursos do MAR (SECIRM) for financial support and field assistance. This work is a contribution of the INCT-Criosfera TERRANTAR group.</t>
  </si>
  <si>
    <t>e20230747</t>
  </si>
  <si>
    <t>10.1590/0001-3765202320230747</t>
  </si>
  <si>
    <t>CJ9E8</t>
  </si>
  <si>
    <t>WOS:001124995100001</t>
  </si>
  <si>
    <t>Simoes, JC; Alder, V; Sayao, JM</t>
  </si>
  <si>
    <t>Simoes, Jefferson C.; Alder, Viviana; Sayao, Juliana M.</t>
  </si>
  <si>
    <t>Forty years of Brazilian Antarctic research: A second volume</t>
  </si>
  <si>
    <t>[Simoes, Jefferson C.] Univ Fed Rio Grande do Sul, UFRGS, Inst Geociencias, Ave Bento Goncalves 9500, BR-90650001 Porto Alegre, RS, Brazil; [Simoes, Jefferson C.] Univ Maine, Climate Change Inst, Orono, ME 04469 USA; [Alder, Viviana] UBA, Dept Ecol Genet &amp; Evoluc, Fac Ciencias Exactas &amp; Nat, Pabellon 2,4 Piso,Intendente Guiraldes 2620, Buenos Aires, DF, Argentina; [Alder, Viviana] Inst Ecol Genet &amp; Evoluc Buenos Aires UBA CONICET, Lab Ecol Marina Microbiana, Pabellon 2,4 Piso,Intendente Guiraldes 2620, Buenos Aires, DF, Argentina; [Alder, Viviana] Univ Nacl San Martin UNSAM, Inst Antartico Argentino, Ave 25 Mayo 1143,Campus Miguelete, RA-1650 San Martin, Buenos Aires, Argentina; [Sayao, Juliana M.] Univ Fed Rio de Janeiro, Lab Paleobiol &amp; Paleogeog Antartica, Museu Nacl, Quinta Boa Vista S-N, BR-29040040 Rio De Janeiro, RJ, Brazil</t>
  </si>
  <si>
    <t>Universidade Federal do Rio Grande do Sul; University of Maine System; University of Maine Orono; University of Buenos Aires; Instituto Antartico Argentino; Universidade Federal do Rio de Janeiro</t>
  </si>
  <si>
    <t>Simoes, JC (corresponding author), Univ Fed Rio Grande do Sul, UFRGS, Inst Geociencias, Ave Bento Goncalves 9500, BR-90650001 Porto Alegre, RS, Brazil.;Simoes, JC (corresponding author), Univ Maine, Climate Change Inst, Orono, ME 04469 USA.</t>
  </si>
  <si>
    <t>e20231270</t>
  </si>
  <si>
    <t>10.1590/0001-3765202320231270</t>
  </si>
  <si>
    <t>CL4R8</t>
  </si>
  <si>
    <t>WOS:001125399200001</t>
  </si>
  <si>
    <t>Suarez, W; Bello, C; Cruz, R; Zegarra, J; Arias, S; Brondi, F</t>
  </si>
  <si>
    <t>Suarez, Wilson; Bello, Cinthya; Cruz, Rolando; Zegarra, Juan; Arias, Sandro; Brondi, Fabian</t>
  </si>
  <si>
    <t>Glaciological Mass balance of Znosko Glacier, King George Island</t>
  </si>
  <si>
    <t>Antarctic; King George Island; Admiralty Bay; Mass balance; Znosko Glacier</t>
  </si>
  <si>
    <t>ANTARCTIC PENINSULA; ICE CAP; RETREAT; FIELD</t>
  </si>
  <si>
    <t>The present article objective is to determine the net mass balance of the glacier Znosko for periods 2018-2019 and 2019-2020. It is situated on King George Island which belongs to the groups Shetland of the South, Antarctic Peninsula region. For this objective, during February 2018 a net of 19 stakes (which were controlled once during February 2019 and 2020) were installed on the glacier ablation zone, drilling in the accumulation zone and about flights using unmanned aerial vehicles (UAV) to control the glacier zone and geomorphological changes. For the year 2020, it was determined a glacier area of 1.71 +/- 0.02 km2 , moreover, using five different methods of interpolation, it was obtained on average, as a result, a specific net balance of-590.7 +/- 46.6 mm w.e (in water equivalent) for 2018-2019 and-686.7 +/- 28.2 mm w.e for 2019-2020, being the ELA altitude 146.5 +/- 18.2 m and 144.2 +/- 8.3 m respectively. The two consecutive years represent negative net mass balances which are in accordance with other similar studies on this region, also glacier data were obtained on a zone that is characterized by its difficult access.</t>
  </si>
  <si>
    <t>[Suarez, Wilson; Arias, Sandro] Natl Meteorol &amp; Hydrol Serv Peru SENAMHI, St Cahuide 785, Lima, Peru; [Suarez, Wilson] Natl Agrarian Univ La Molina UNALM, Water Resources, Ave La Molina s-n, Lima, Peru; [Bello, Cinthya] Univ Cient Sur, Carrera Biol Marina,Panamer Sur km 19, Villa El Salvador 15067, Peru; [Cruz, Rolando; Zegarra, Juan] Natl Water Author ANA, St Petirrojos 355, Lima, Peru; [Brondi, Fabian] Nacl Geog Inst Peru IGN, Ave Andres Aramburu 1184, Lima, Peru</t>
  </si>
  <si>
    <t>Universidad Cientifica del Sur (CIENTIFICA)</t>
  </si>
  <si>
    <t>Suarez, W (corresponding author), Natl Meteorol &amp; Hydrol Serv Peru SENAMHI, St Cahuide 785, Lima, Peru.;Suarez, W (corresponding author), Natl Agrarian Univ La Molina UNALM, Water Resources, Ave La Molina s-n, Lima, Peru.</t>
  </si>
  <si>
    <t>wsuarez@senamhi.gob.pe</t>
  </si>
  <si>
    <t>Bello Chirinos, Cinthya Elizabeth/KHU-5900-2024; Suarez, Wilson/JPY-4299-2023</t>
  </si>
  <si>
    <t>Suarez, Wilson/0000-0002-3409-790X</t>
  </si>
  <si>
    <t>e20220821</t>
  </si>
  <si>
    <t>10.1590/0001-3765202320220821</t>
  </si>
  <si>
    <t>CJ9E6</t>
  </si>
  <si>
    <t>WOS:001124994900001</t>
  </si>
  <si>
    <t>Goldsmith, PF</t>
  </si>
  <si>
    <t>Goldsmith, Paul F.</t>
  </si>
  <si>
    <t>GUSTO Sci Team; ASTHROS Sci Team</t>
  </si>
  <si>
    <t>Stratospheric Balloon Missions for High Resolution Submillimeter-FIR Astronomical Spectroscopy</t>
  </si>
  <si>
    <t>2023 48TH INTERNATIONAL CONFERENCE ON INFRARED, MILLIMETER, AND TERAHERTZ WAVES, IRMMW-THZ</t>
  </si>
  <si>
    <t>International Conference on Infrared Millimeter and Terahertz Waves</t>
  </si>
  <si>
    <t>48th International Conference on Infrared, Millimeter, and Terahertz Waves (IRMMW-THz)</t>
  </si>
  <si>
    <t>SEP 17-22, 2023</t>
  </si>
  <si>
    <t>McGill Univ, Montreal, CANADA</t>
  </si>
  <si>
    <t>McGill Univ</t>
  </si>
  <si>
    <t>Many spectral lines that are key tracers of star formation lie in the submillimeter and far-infrared. This wavelength range is almost completely blocked for astronomical observations by terrestrial water vapor, and studies must be carried out from stratospheric or space platforms. The termination of the NASA/DLR airborne observatory SOFIA and the lack of any space mission for at least the remainder of the decade leaves stratospheric balloons as the only platforms for carrying out observations throughout the 1000 - 5000 GHz frequency range. I will present the science goals of two NASA Antarctic balloon missions that are being developed to observe some of the most important fine structure lines of abundant elements. The first is the Galactic/Extragalactic Ultra/Long Stratospheric Terahertz Observatory (GUSTO; C. Walker, [University of Arizona], PI), which will observe lines of N+, C+, and O-0. Employing a 90cm diameter telescope, GUSTO will map the central portion of the Milky Way and the Large Magellanic Cloud. The second is the Astrophysics Stratospheric Telescope for High Spectral Resolution Observations at Submillimeter wavelengths (ASTHROS; J. Pineda, [JPL], PI), which will observe both fine structure lines of ionized nitrogen. With a 2.5m diameter telescope, ASTHROS will have high angular resolution and be able to make detailed measurements of the electron density in ionized regions. These two missions both depend on advances in technology that allow sensitive heterodyne focal plane arrays at submillimeter wavelengths with only modest power consumption.</t>
  </si>
  <si>
    <t>[Goldsmith, Paul F.] CALTECH, Jet Prop Lab, 4800 Oak Grove Dr, Pasadena, CA 91109 USA</t>
  </si>
  <si>
    <t>National Aeronautics &amp; Space Administration (NASA); NASA Jet Propulsion Laboratory (JPL); California Institute of Technology</t>
  </si>
  <si>
    <t>Goldsmith, PF (corresponding author), CALTECH, Jet Prop Lab, 4800 Oak Grove Dr, Pasadena, CA 91109 USA.</t>
  </si>
  <si>
    <t>Goldsmith, Paul/H-3159-2016</t>
  </si>
  <si>
    <t>2162-2027</t>
  </si>
  <si>
    <t>979-8-3503-3660-3</t>
  </si>
  <si>
    <t>INT CONF INFRA MILLI</t>
  </si>
  <si>
    <t>10.1109/IRMMW-THz57677.2023.10298904</t>
  </si>
  <si>
    <t>Engineering, Electrical &amp; Electronic; Physics, Applied</t>
  </si>
  <si>
    <t>Engineering; Physics</t>
  </si>
  <si>
    <t>BW0PK</t>
  </si>
  <si>
    <t>WOS:001098999800055</t>
  </si>
  <si>
    <t>White, J; Mattern, T; Pütz, K; Mattern, H; Houston, D; Long, R; Keys, BC; Ellenberg, U; Garcia-borboroglu, P</t>
  </si>
  <si>
    <t>White, Jeff; Mattern, Thomas; Puetz, Klemens; Mattern, Hannah; Houston, David; Long, Robin; Keys, Bianca c.; Ellenberg, Ursula; Garcia-borboroglu, Pablo</t>
  </si>
  <si>
    <t>Plumage colour aberrations in erect-crested penguins (Eudyptes sclateri) on Antipodes Island</t>
  </si>
  <si>
    <t>NOTORNIS</t>
  </si>
  <si>
    <t>erect-crested penguin; leucism; isabelline; colour aberration; Eudyptes scalteri; Antipodes Island</t>
  </si>
  <si>
    <t>LEUCISM</t>
  </si>
  <si>
    <t>[White, Jeff] Univ Miami, Dept Biol, Coral Gables, FL 33124 USA; [Mattern, Thomas; Keys, Bianca c.] Univ Otago, Dept Zool, Dunedin, New Zealand; [Mattern, Thomas; Puetz, Klemens; Garcia-borboroglu, Pablo] Global Penguin Soc, Puerto Madryn, Chubut, Argentina; [Mattern, Hannah; Houston, David; Garcia-borboroglu, Pablo] Tawaki Trust, Dunedin, New Zealand; [Puetz, Klemens] Antarctic Res Trust, Bremervorde, Germany; [Mattern, Hannah] Logan Pk High Sch, Dunedin, New Zealand; [Houston, David] Dept Conservat, Auckland, New Zealand; [Long, Robin; Ellenberg, Ursula] Lincoln Univ, Christchurch, New Zealand; [Garcia-borboroglu, Pablo] CNR, CONICET, Santa Fe, Argentina</t>
  </si>
  <si>
    <t>University of Miami; University of Otago; Consejo Nacional de Investigaciones Cientificas y Tecnicas (CONICET)</t>
  </si>
  <si>
    <t>White, J (corresponding author), Univ Miami, Dept Biol, Coral Gables, FL 33124 USA.</t>
  </si>
  <si>
    <t>jwhite61890@gmail.com</t>
  </si>
  <si>
    <t>Vontobel Foundation, Switzerland; Antarctic Research Trust, Germany</t>
  </si>
  <si>
    <t>We would first like to thank the Vontobel Foundation, Switzerland, and the Antarctic Research Trust, Germany, for the financial support of the Tawaki Project expedition (https:// www.tawaki-trust.org/) . We would also like to thank skipper Steve Kafka and the crew of the research vessel Evohe for getting us safely to and from Antipodes Island. Special thanks to Graeme Taylor, Igor Debski, Johannes Fischer, Hendrik Schultz, and Sanjay Thakur (Department of Conservation) for their support in obtaining the research permits for the Tawaki Project expedition. Finally, we would like to thank Sharon Trainor and Janice Kevern for logistical assistance and clearing our gear through DOC biosecurity checks.</t>
  </si>
  <si>
    <t>ORNITHOLOGICAL SOC NEW ZEALAND</t>
  </si>
  <si>
    <t>NELSON</t>
  </si>
  <si>
    <t>PO BOX 834, NELSON, 7040, NEW ZEALAND</t>
  </si>
  <si>
    <t>0029-4470</t>
  </si>
  <si>
    <t>1177-7680</t>
  </si>
  <si>
    <t>Ornithology</t>
  </si>
  <si>
    <t>Zoology</t>
  </si>
  <si>
    <t>CI3A2</t>
  </si>
  <si>
    <t>WOS:001124572300005</t>
  </si>
  <si>
    <t>Ilha, JG; Simoes, JC; Portella, MBP; Bernardo, RT; Thoen, IU; Casassa, G</t>
  </si>
  <si>
    <t>Ilha, Joao G.; Simoes, Jefferson C.; Portella, Manoela B. P.; Bernardo, Ronaldo T.; Thoen, Isaias U.; Casassa, Gino</t>
  </si>
  <si>
    <t>Ionic and stable isotopic content in two Antarctic firn cores under different environment settings</t>
  </si>
  <si>
    <t>Antarctica; ice core; ionic content; stable isotopes</t>
  </si>
  <si>
    <t>SOUTH-POLE SNOW; SEA-ICE; DEUTERIUM; PRECIPITATION; BALANCE; O-18; AREA</t>
  </si>
  <si>
    <t>This article compares isotopic, ionic and climatic data from two firn cores from the West Antarctic Ice Sheet (WAIS). The IC-02 (88 degrees 01'21.3S , 82 degrees 04'21.7W) and the IC-05 (82 degrees 30'30.8S , 79 degrees 28'02.7W) closer to the coast. The IC-02 had 488 samples analyzed covering 14.58 meters depth while the IC-05 had 602 samples analyzed covering 19.73 meters depth. The time interval for both ice cores is 25 years ranging from 1978 to 2003. Sodium, sulfate and chloride were analyzed via ion chromatography using three DionexTM ionic chromatographers at the laboratories of Centro Polar e Climatico (CPC) and at the Climate Change Institute. Stable isotope data was determined using cavity ring-down spectroscopy in a Picarro (R) spectrometer at the CPC. Annual accumulation was greater at IC-05 with an average of 0.35 m.eq.w.a-1 compared to 0.25 m.eq.w.a-1 at the IC-02. Stable isotope data was approximately 1.3 times more negative at the IC-02 which also presented higher d values. Na+ and Cl- were in higher concentrations at the IC-05 however Cl/Na was greater in the IC-02. The Cl excess was found to be derived from fractionation of sea salt aerosols and not related to volcanism. This work presents new insights regarding the chemical differences between ice cores.</t>
  </si>
  <si>
    <t>[Ilha, Joao G.; Simoes, Jefferson C.; Portella, Manoela B. P.] Univ Fed Rio Grande do Sul, Programa Posgrad Geociencias, Av Bento Goncalves 9500, BR-91501970 Porto Alegre, RS, Brazil; [Ilha, Joao G.; Simoes, Jefferson C.; Portella, Manoela B. P.; Bernardo, Ronaldo T.; Thoen, Isaias U.] Univ Fed Rio Grande do Sul, Ctr Polar &amp; Climat, Inst Geociencias, Av Bento Goncalves 9500,Predio 43136,Salas 208 &amp; 2, BR-91501970 Porto Alegre, RS, Brazil; [Simoes, Jefferson C.] Univ Maine, Climate Change Inst, 5764 Sawyer Environm Res Ctr, Orono, ME 04469 USA; [Casassa, Gino] Univ Magallanes, Av Pdte Manuel Bulnes 01855, Punta Arenas, Chile</t>
  </si>
  <si>
    <t>Ilha, JG (corresponding author), Univ Fed Rio Grande do Sul, Programa Posgrad Geociencias, Av Bento Goncalves 9500, BR-91501970 Porto Alegre, RS, Brazil.;Ilha, JG (corresponding author), Univ Fed Rio Grande do Sul, Ctr Polar &amp; Climat, Inst Geociencias, Av Bento Goncalves 9500,Predio 43136,Salas 208 &amp; 2, BR-91501970 Porto Alegre, RS, Brazil.</t>
  </si>
  <si>
    <t>joao.gomes.ilha@gmail.com</t>
  </si>
  <si>
    <t>Simoes, Jefferson Cardia/0000-0001-5555-3401; Thoen, Isaias/0000-0002-2419-8838; Brum Poitevin Portella, Manoela/0000-0002-9758-6743; Bernardo, Ronaldo/0000-0002-1143-7916; Casassa, Gino/0000-0002-7888-071X; Gomes Ilha, Joao/0000-0001-6188-0126</t>
  </si>
  <si>
    <t>Brazilian Antarctic Program (PROANTAR); Conselho Nacional de Desenvolvimento Cientifico e Tecnologico (CNPq) [558117/2005-8, 557053/2009-9]; National Institute of Science and Technology of the Cryosphere (CNPq) [465680/2014-3]; Centro Polar e Climatico/UFRGS</t>
  </si>
  <si>
    <t>Brazilian Antarctic Program (PROANTAR); Conselho Nacional de Desenvolvimento Cientifico e Tecnologico (CNPq)(Conselho Nacional de Desenvolvimento Cientifico e Tecnologico (CNPQ)); National Institute of Science and Technology of the Cryosphere (CNPq)(Conselho Nacional de Desenvolvimento Cientifico e Tecnologico (CNPQ)); Centro Polar e Climatico/UFRGS</t>
  </si>
  <si>
    <t>This research is part of the Brazilian Antarctic Program (PROANTAR) and was financed with funds from the Conselho Nacional de Desenvolvimento Cientifico e Tecnologico (CNPq) , processes 558117/2005-8 and 557053/2009-9, and from the National Institute of Science and Technology of the Cryosphere (CNPq process 465680/2014-3) . The fieldwork was a collaboration between the Centro de Estudios Cientificos de Valdivia (Chile) and the Centro Polar e Climatico/UFRGS. The logistic support was provided by the Chilean Army and the Chilean Air Force (FACh) .</t>
  </si>
  <si>
    <t>e20220158</t>
  </si>
  <si>
    <t>10.1590/0001-3765202320220158</t>
  </si>
  <si>
    <t>CF7I8</t>
  </si>
  <si>
    <t>WOS:001123897400001</t>
  </si>
  <si>
    <t>Rodrigues, CCF; Santini, MF; Lima, LS; Sutil, UA; Carvalho, JT; Cabrera, MJ; Rosa, EB; Burns, JW; Pezzi, LP</t>
  </si>
  <si>
    <t>Rodrigues, Celina Candida F.; Santini, Marcelo F.; Lima, Luciana S.; Sutil, Ueslei Adriano; Carvalho, Jonas T.; Cabrera, Mylene J.; Rosa, Eliana B.; Burns, Jacob W.; Pezzi, Luciano P.</t>
  </si>
  <si>
    <t>Ocean-atmosphere turbulent CO2fluxes at Drake Passage and Bransfield Strait</t>
  </si>
  <si>
    <t>carbon flux; sea-air interaction; carbon sinks; Antarctic Peninsula</t>
  </si>
  <si>
    <t>SEA CO2 FLUX; SOUTHERN-OCEAN; ANTARCTIC PENINSULA; EDDY-COVARIANCE; SURFACE OCEAN; WATER-VAPOR; CARBON-DIOXIDE; GAS TRANSFER; TIME-SERIES; VARIABILITY</t>
  </si>
  <si>
    <t>The oceans play an important role in mitigating climate change by acting as large carbon sinks, especially at high latitude regions. The Southern Ocean plays a major role in the global carbon dioxide (CO2) budget. This work aims to investigate the behavior of turbulent CO2fluxes and quantify it under different atmospheric and oceanic conditions in the Drake Passage and Bransfield Strait regions on high spatiotemporal resolutions when compared with traditional CO2 fluxes estimations. The atmospheric stability condition was used to corroborate the description of CO2 fluxes. In situ, satellite, and reanalysis data from 08 to 22 November 2018, were used in this work. The Bransfield Strait uptaked 38.59% more CO2 than the Drake Passage due to the cold and fresh waters, allied to the influence of glacial meltwater dilution. Which increased the CO2 solubility, directing the CO2 fluxes to the ocean. The Bransfield Strait had predominantly stable atmospheric conditions, which contributed to this region acting as a CO2 sink. The Drake Passage, on average, behaved as a CO2 sink, mainly due to physical characteristics. This research contributes to a better understanding of the Southern Ocean's role in the global carbon balance on scales that are very difficult to monitor.</t>
  </si>
  <si>
    <t>[Rodrigues, Celina Candida F.; Santini, Marcelo F.; Lima, Luciana S.; Sutil, Ueslei Adriano; Carvalho, Jonas T.; Cabrera, Mylene J.; Rosa, Eliana B.; Burns, Jacob W.; Pezzi, Luciano P.] Natl Inst Space Res INPE, Earth Observat &amp; Geoinformat Div OBT, Lab Ocean &amp; Atmosphere Studies LOA, Ave Astronautas 1758, BR-12227010 Sao Jose Dos Campos, SP, Brazil; Univ Kansas, Natl Sci Fdn NSF, Ctr Remote Sensing Ice Sheets CReSIS, 2335 Irving Hill Rd, Lawrence, KS 66045 USA</t>
  </si>
  <si>
    <t>University of Kansas; National Science Foundation (NSF)</t>
  </si>
  <si>
    <t>Rodrigues, CCF (corresponding author), Natl Inst Space Res INPE, Earth Observat &amp; Geoinformat Div OBT, Lab Ocean &amp; Atmosphere Studies LOA, Ave Astronautas 1758, BR-12227010 Sao Jose Dos Campos, SP, Brazil.</t>
  </si>
  <si>
    <t>celina.rodrigues@inpe.br</t>
  </si>
  <si>
    <t>Pezzi, Luciano Ponzi/N-7271-2017; Lima, Luciana/JVP-3304-2024</t>
  </si>
  <si>
    <t>Pezzi, Luciano Ponzi/0000-0001-6016-4320; Shigihara Lima, Luciana/0000-0001-7988-0853; Carvalho, Jonas Takeo/0000-0002-1225-3457; Ferreira Rodrigues, Celina Candida/0000-0002-6872-1977; Santini, Marcelo/0000-0002-6760-2247; Jaen Cabrera, Mylene/0000-0002-4577-8743</t>
  </si>
  <si>
    <t>Brazilian Ministry of Science, Technology and Innovations (MCTI); Brazilian Antarctic Program (PROANTAR) [CNPq/PROANTAR 443013/2018-7]; Conselho Nacional de Desenvolvimento Cientifico e Tecnologico (CNPq) Scientific Productivity Fellowship [CNPq/304858/2019-6]; Coordenacao de Aperfeicoamento de Pessoal de Nivel Superior - Brasil (CAPES) [001]</t>
  </si>
  <si>
    <t>Brazilian Ministry of Science, Technology and Innovations (MCTI); Brazilian Antarctic Program (PROANTAR); Conselho Nacional de Desenvolvimento Cientifico e Tecnologico (CNPq) Scientific Productivity Fellowship(Conselho Nacional de Desenvolvimento Cientifico e Tecnologico (CNPQ)Fundacao de Apoio a Pesquisa do Distrito Federal (FAPDF)); Coordenacao de Aperfeicoamento de Pessoal de Nivel Superior - Brasil (CAPES)(Coordenacao de Aperfeicoamento de Pessoal de Nivel Superior (CAPES))</t>
  </si>
  <si>
    <t>We thank the Brazilian Navy for making the cruise possible. We also thank the Brazilian Ministry of Science, Technology and Innovations (MCTI) and the Brazilian Antarctic Program (PROANTAR) for funding the ATMOS Project (CNPq/PROANTAR 443013/2018-7). L.P.P. is partly funded through a Conselho Nacional de Desenvolvimento Cientifico e Tecnologico (CNPq) Scientific Productivity Fellowship (CNPq/304858/2019-6). This study was financed in part by the Coordenacao de Aperfeicoamento de Pessoal de Nivel Superior - Brasil (CAPES) - Finance Code 001.</t>
  </si>
  <si>
    <t>e20220652</t>
  </si>
  <si>
    <t>10.1590/0001-3765202320220652</t>
  </si>
  <si>
    <t>CF5P8</t>
  </si>
  <si>
    <t>WOS:001123852300001</t>
  </si>
  <si>
    <t>Venturini, N; Cerpa, L; Kandratavicius, N; Manta, G; Cóndor-luján, B; Pereira, J; Figueira, RCL; Muniz, P</t>
  </si>
  <si>
    <t>Venturini, Natalia; Cerpa, Luis; Kandratavicius, Noelia; Manta, Gaston; Condor-lujan, Baslavi; Pereira, Jennifer; Figueira, Rubens c. l.; Muniz, Pablo</t>
  </si>
  <si>
    <t>Biogeochemical and oceanographic conditions provide insights about current status of an Antarctic fjord affected by relatively slow glacial retreat</t>
  </si>
  <si>
    <t>organic and inorganic elements; biopolymeric carbon; glacio-marine sedi-mentation; terrestrial inputs; unpolluted sediments</t>
  </si>
  <si>
    <t>KING-GEORGE ISLAND; BAY ROSS SEA; ORGANIC-MATTER; BIOCHEMICAL-COMPOSITION; TROPHIC STATE; SURFACE SEDIMENTS; MARINE-SEDIMENTS; AMUNDSEN SEA; TRACE-METALS; PENINSULA</t>
  </si>
  <si>
    <t>Understand the origin, transport, and character of organic matter entering Antarctic fjords is essential as they are major components of the global carbon cycle and budget. Macromolecular pools of particulate organic matter, bulk organic geochemistry, major and trace elements in surface sediments from Collins Bay were analysed as source indicators. Oceanographic conditions, bathymetry (multibeam) and grain size were considered as environmental controlling factors. Sediment samples were taken with a van Veen grab, during the ANTAR XXV Peruvian expedition (February 2018), onboard the R/V BAP Carrasco from the Peruvian Navy. Biopolymeric composition revealed the predominance of fresh marine protein-rich organic matter in the seafloor of Collins Bay, denoting high quality food resource for marine benthic heterotrophs. Based on Igeo values (between 0 and 1) Collins Bay can be considered unpolluted with natural levels of As, Cd, Cr, Cu, Fe, Mn, Ni, Pb and Zn. Distribution of most of these elements with a gradient of decrease from the shallow inner fjord towards the outer deepest fjord, suggest their association with the deposition of detrital material and lithogenic particles supplied by Collins Glacier frontal ablation and runoff. This first comprehensive baseline information would assist in interpreting downcore sedimentary reconstructions and future climate -induce changes.</t>
  </si>
  <si>
    <t>[Venturini, Natalia; Kandratavicius, Noelia; Pereira, Jennifer; Muniz, Pablo] Univ Republ Oceanog &amp; Ecol Marina OEM, Fac Ciencias, Inst Ecol &amp; Ciencias Ambientales IECA, Igua 4225, Montevideo 11400, Uruguay; [Cerpa, Luis] Inst Geol Minero &amp; Met INGEMMET, Ave Canada 1470, Lima 15034, Peru; [Manta, Gaston] Univ Republica, Fac Ciencias, Dept Ciencias Atmosfera &amp; Fis Oceanos DCAFO, Igua 4225, Montevideo 11400, Uruguay; [Condor-lujan, Baslavi] Univ Cient Sur, Fac Ciencias Vet &amp; Biol, Carrera Biol Marina, Antigua Panamericana km 19, Lima 15067, Peru; [Figueira, Rubens c. l.] Univ Sao Paulo, Inst Oceanog, Lab Quim Inorgan Marinha, Praca Oceanog 191, BR-05508120 Sao Paulo, SP, Brazil</t>
  </si>
  <si>
    <t>Universidad de la Republica, Uruguay; Instituto Geologico Minero Metalurgico; Universidad de la Republica, Uruguay; Universidad Cientifica del Sur (CIENTIFICA); Universidade de Sao Paulo</t>
  </si>
  <si>
    <t>Venturini, N (corresponding author), Univ Republ Oceanog &amp; Ecol Marina OEM, Fac Ciencias, Inst Ecol &amp; Ciencias Ambientales IECA, Igua 4225, Montevideo 11400, Uruguay.</t>
  </si>
  <si>
    <t>rulo@fcien.edu.uy</t>
  </si>
  <si>
    <t>Figueira, Rubens/AAC-1045-2022</t>
  </si>
  <si>
    <t>Figueira, Rubens/0000-0001-8945-4540; Venturini, Natalia/0000-0003-3510-3053; Muniz, Pablo/0000-0001-5310-3781; Cerpa, Luis/0000-0001-8717-5142; Manta, Gaston/0000-0002-3089-4733; CONDOR LUJAN, BASLAVI/0000-0001-7832-7319; Kandratavicius, Noelia/0000-0002-4939-769X</t>
  </si>
  <si>
    <t>SNI-ANII</t>
  </si>
  <si>
    <t>We would like to thank our colleagues from OEM Lab., IECA, Facultad de Ciencias, Universidad de la Republica and Laboratorio de Quimica Inorganica Marinha, Instituto Oceanografico da Universidade de Sao Paulo (IOUSP) for assistance with laboratory analysis. The Instituto Antartico Uruguayo (IAU) , the Ministerio de Relaciones Exteriores de Peru and the Peruvian Antarctic Program are very acknowledged for providing logistic support and coordination of activities during sampling and research execution (Project code: LS_Venturini 2015) . We are very grateful to the  BAP Carrasco  crew for their hospitality and help during the sampling survey. N. Venturini, N. Kandratavicius and P. Muniz would like to thank SNI-ANII for its support through research grants. PEDECIBA is also acknowledged for academic support and research aliquots funding. Two anonymous reviewers are very acknowledged for their helpful comments and suggestions.</t>
  </si>
  <si>
    <t>e20230451</t>
  </si>
  <si>
    <t>10.1590/0001-3765202320230451</t>
  </si>
  <si>
    <t>CF3P7</t>
  </si>
  <si>
    <t>WOS:001123800200001</t>
  </si>
  <si>
    <t>Kantor, Y; Molodtsova, T; Zvonareva, S; Fedosov, A</t>
  </si>
  <si>
    <t>Kantor, Yuri; Molodtsova, Tina; Zvonareva, Sofia; Fedosov, Alexander</t>
  </si>
  <si>
    <t>Taxonomy of Antarctic Buccinoidea (Gastropoda: Neogastropoda) revisited based on molecular data</t>
  </si>
  <si>
    <t>INVERTEBRATE SYSTEMATICS</t>
  </si>
  <si>
    <t>Antarctic Convergence; endemism; molecular phylogeny; new genus; new species; Prosiphonidae; radular morphology; Scotia Sea; Weddell Sea</t>
  </si>
  <si>
    <t>BUCCINULIDAE; PARABUCCINUM; INFERENCE; MRBAYES; CHOICE; POWELL; GENUS; SEA</t>
  </si>
  <si>
    <t>The superfamily Buccinoidea is the most speciose group of Neogastropoda within the Antarctic Convergence, with similar to 70 species classified in 21 genera, but is still poorly represented in molecular phylogenies. The first molecular data on the group presented in the recent phylogeny of the Buccinoidea (Kantor et al. 2022) lacked many important lineages, thereby limiting inference of the relationships of Antarctic Buccinoidea. We revisited relationships of the Antarctic Buccinoidea, involving recently collected molecular-grade samples from the bathyal and abyssal depths of the Scotia Sea, the Weddel Sea and adjacent regions. Our data set includes 25 species (including six genera studied on a molecular basis for the first time), sequenced for five phylogenetic markers: the barcode fragment of cox1 gene, fragments of ribosomal 12S, 16S rRNA and 28S and nuclear H3 genes. Based on phylogenetic reconstructions, we synonymise the genus Lussitromina with Falsitromina and reassign the latter from Cominellidae to Prosiphonidae. We confirm the placement of four further genera, Drepanodontus, Germonea, Parabuccinum and Spikebuccinum in Prosiphonidae. We detect a previously unrecognised deep lineage of the family Prosiphonidae and describe this as the new genus Scotiabuccinum. The genus Parabuccinum, previously recorded in the Magellanic province and off the eastern coast of Argentina was reported for the first time within the Antarctic Convergence. We discover four previously unrecognised species of Antarctic Prosiphonidae and these are the first Buccinoidea from Antarctic waters described based on molecular data. According to our data, all but two species of Antarctic Buccinoidea belong to the family Prosiphonidae. Seven of the nineteen Recent Antarctic Prosiphonidae genera (36%) cross the boundaries of the Convergence and eight Antarctic genera are monotypic (42%). Currently no Buccinoidea species are known to occur both within and outside the Antarctic Convergence. ZooBank: urn:lsid:zoobank.org:pub:DEEA1599-C951-414E-9098-563EAD10BD57</t>
  </si>
  <si>
    <t>[Kantor, Yuri; Zvonareva, Sofia; Fedosov, Alexander] Russian Acad Sci, AN Severtsov Inst Ecol &amp; Evolut, Leninski Prospect 33, RU-119071 Moscow, Russia; [Molodtsova, Tina] Russian Acad Sci, Shirshov Inst Oceanol, 36 Nachimovsky Prospect, RU-117218 Moscow, Russia; [Fedosov, Alexander] Swedish Museum Nat Hist, Dept Zool, Box 50007, SE-10405 Stockholm, Sweden</t>
  </si>
  <si>
    <t>Russian Academy of Sciences; Saratov Scientific Center of the Russian Academy of Sciences; Severtsov Institute of Ecology &amp; Evolution; Russian Academy of Sciences; Shirshov Institute of Oceanology; Swedish Museum of Natural History</t>
  </si>
  <si>
    <t>Kantor, Y (corresponding author), Russian Acad Sci, AN Severtsov Inst Ecol &amp; Evolut, Leninski Prospect 33, RU-119071 Moscow, Russia.</t>
  </si>
  <si>
    <t>kantor.yuri1956@gmail.com</t>
  </si>
  <si>
    <t>Kantor, Yuri/HKW-8238-2023; Kantor, Yuri/D-5259-2014; Zvonareva, Sofya S/E-8159-2019; Molodtsova, Tina N/E-1838-2015; Fedosov, Alexander/J-5400-2015</t>
  </si>
  <si>
    <t>Kantor, Yuri/0000-0002-3209-4940; Kantor, Yuri/0000-0002-3209-4940; Fedosov, Alexander/0000-0002-8035-1403; Zvonareva, Sofya/0000-0002-0372-9919</t>
  </si>
  <si>
    <t>1445-5226</t>
  </si>
  <si>
    <t>1447-2600</t>
  </si>
  <si>
    <t>INVERTEBR SYST</t>
  </si>
  <si>
    <t>Invertebr. Syst.</t>
  </si>
  <si>
    <t>10.1071/IS22064</t>
  </si>
  <si>
    <t>Evolutionary Biology; Zoology</t>
  </si>
  <si>
    <t>AO5D2</t>
  </si>
  <si>
    <t>WOS:001119410000001</t>
  </si>
  <si>
    <t>van der Grient, J; Morley, S; Arkhipkin, A; Bates, J; Baylis, A; Brewin, P; Harte, M; White, JW; Brickle, P</t>
  </si>
  <si>
    <t>Sheppard, C</t>
  </si>
  <si>
    <t>van der Grient, Jesse; Morley, Simon; Arkhipkin, Alexander; Bates, James; Baylis, Alastair; Brewin, Paul; Harte, Michael; White, J. Wilson; Brickle, Paul</t>
  </si>
  <si>
    <t>The Falkland Islands marine ecosystem: A review of the seasonal dynamics and trophic interactions across the food web</t>
  </si>
  <si>
    <t>ADVANCES IN MARINE BIOLOGY</t>
  </si>
  <si>
    <t>Advances in Marine Biology</t>
  </si>
  <si>
    <t>Review; Book Chapter</t>
  </si>
  <si>
    <t>SOUTHERN ELEPHANT SEALS; SQUID ILLEX-ARGENTINUS; TOOTHFISH DISSOSTICHUS-ELEGINOIDES; PENGUINS APTENODYTES-PATAGONICUS; PATAGONOTOTHEN-RAMSAYI REGAN; BLACK-BROWED ALBATROSSES; HAKE MACRURONUS-MAGELLANICUS; AMERICAN FUR SEALS; LONG-TAILED HAKE; LOLIGO-GAHI</t>
  </si>
  <si>
    <t>The Falkland Islands marine environment host a mix of temperate and subantarctic species. This review synthesizes baseline information regarding ontogenetic migration patterns and trophic interactions in relation to oceanographic dynamics of the Falkland Shelf, which is useful to inform ecosystem modelling. Many species are strongly influenced by regional oceanographic dynamics that bring together different water masses, resulting in high primary production which supports high biomass in the rest of the food web. Further, many species, including those of commercial interest, show complex ontogenetic migrations that separate spawning, nursing, and feeding grounds spatially and temporally, producing food web connections across space and time. The oceanographic and biological dynamics may make the ecosystem vulnerable to climatic changes in temperature and shifts in the surrounding area. The Falkland marine ecosystem has been understudied and various functional groups, deep-sea habitats and inshore-offshore connections are poorly understood and should be priorities for further research.</t>
  </si>
  <si>
    <t>[van der Grient, Jesse; Baylis, Alastair; Brewin, Paul; Brickle, Paul] South Atlantic Environm Res Inst, Stanley, Falkland Island; [Morley, Simon] British Antarctic Survey, Nat Environm Res Council, Cambridge, England; [Arkhipkin, Alexander] Falkland Isl Govt, Directorate Nat Resources, Dept Fisheries, Stanley, Falkland Island; [Bates, James] Falkland Isl Fishing Co Assoc, Stanley, Falkland Island; [Brewin, Paul] Shallow Marine Surveys Grp, Stanley, Falkland Island; [Harte, Michael] Oregon State Univ, Coll Earth Ocean &amp; Atmospher Sci, Corvallis, OR USA; [White, J. Wilson] Oregon State Univ, Coastal Oregon Marine Expt Stn, Dept Fisheries Wildlife &amp; Conservat Sci, Corvallis, OR USA; [Brickle, Paul] Univ Aberdeen, Sch Biol Sci, Aberdeen, Scotland</t>
  </si>
  <si>
    <t>UK Research &amp; Innovation (UKRI); Natural Environment Research Council (NERC); NERC British Antarctic Survey; Oregon State University; Oregon State University; University of Aberdeen</t>
  </si>
  <si>
    <t>van der Grient, J (corresponding author), South Atlantic Environm Res Inst, Stanley, Falkland Island.</t>
  </si>
  <si>
    <t>jvandergrient@saeri.ac.fk</t>
  </si>
  <si>
    <t>van der Grient, Jesse/0000-0002-9115-3875</t>
  </si>
  <si>
    <t>Darwin Plus initiative [DPLUS148]; Falkland Islands Government Environmental Studies Budget</t>
  </si>
  <si>
    <t>Darwin Plus initiative; Falkland Islands Government Environmental Studies Budget</t>
  </si>
  <si>
    <t>This work is funded by the Darwin Plus initiative as the DPLUS148 project. It is co-funded by the Falkland Islands Government Environmental Studies Budget.</t>
  </si>
  <si>
    <t>ELSEVIER ACADEMIC PRESS INC</t>
  </si>
  <si>
    <t>SAN DIEGO</t>
  </si>
  <si>
    <t>525 B STREET, SUITE 1900, SAN DIEGO, CA 92101-4495 USA</t>
  </si>
  <si>
    <t>0065-2881</t>
  </si>
  <si>
    <t>2162-5875</t>
  </si>
  <si>
    <t>978-0-443-15790-5</t>
  </si>
  <si>
    <t>ADV MAR BIOL</t>
  </si>
  <si>
    <t>Adv. Mar. Biol.</t>
  </si>
  <si>
    <t>10.1016/bs.amb.2023.01.001</t>
  </si>
  <si>
    <t>Marine &amp; Freshwater Biology</t>
  </si>
  <si>
    <t>BV9PQ</t>
  </si>
  <si>
    <t>WOS:001089400800001</t>
  </si>
  <si>
    <t>Harris, S; Scioscia, G; Rey, AR</t>
  </si>
  <si>
    <t>Harris, Sabrina; Scioscia, Gabriela; Rey, Andrea Raya</t>
  </si>
  <si>
    <t>The influence of tourist visitation on the heterophyl to lymphocyte ratios and trophic values of Magellanic penguins (Spheniscus magellanicus) at Martillo Island, Argentina</t>
  </si>
  <si>
    <t>CONSERVATION PHYSIOLOGY</t>
  </si>
  <si>
    <t>breeding; heterophil; lymphocyte; Spheniscus magellanicus; stable isotopes; stress; tourism</t>
  </si>
  <si>
    <t>DAILY ENERGY-EXPENDITURE; LONG-LIVED SEABIRD; STRESS HORMONES; BEAGLE CHANNEL; INTERANNUAL VARIATION; NUTRITIONAL STRESS; FOOD AVAILABILITY; KING PENGUIN; HEAT-STRESS; CORTICOSTERONE</t>
  </si>
  <si>
    <t>Stress levels measured by heterophile to lymphocyte ratios of adult and chick Magellanic penguins Spheniscus magellanicus from Martillo Island were higher in areas exposed versus not exposed to tourism, except for 2020. Stress levels were also lower with lower trophic values for all individuals. Wildlife tourism is increasing worldwide and monitoring the impact of tourism on wild populations is of the utmost importance for species conservation. The Magellanic penguin Spheniscus magellanicus colony at Martillo Island, Argentina, was studied in the 2016-2020 breeding seasons. In all seasons, adults and chicks belonged to: (i) an area close to or within the tourist trail or (ii) an area far from the tourist trail and out of sight of the tourists. Blood samples were taken for carbon and nitrogen stable isotope composition, in order to estimate trophic niches, and for smears that were made in situ and were then stained in the laboratory where leucocyte counts and differentiation were made under optical microscope. Heterophil to lymphocyte ratios were used as proxies of stress. Repeated sampling showed individual stress levels reduced while wintering. In 2017, stress levels and trophic values were lower than 2018 for the same individuals. Trophic levels did not differ between tourism and no tourism areas within each season, and differed between 2017 and the remaining seasons, indicating a possible diet shift that year. Stress levels were higher for the tourism area than the no tourism area for adults and chicks in all years except for 2020, when stress levels in the tourism area were lower and similar to the no tourism area that year and previous years. Vessel transit within the Beagle Channel and tourist visitation to the penguin colony was greatly reduced in 2020 due to the Covid-19 pandemic. A combination of internal characteristics and external factors may be affecting the stress physiology of individuals. Therefore, future research should include sampling of multiple aspects of penguin physiology, behaviour and environmental context in order to evaluate each effect on Magellanic penguin stress and, ultimately, inform the conservation of this iconic species in time.</t>
  </si>
  <si>
    <t>[Harris, Sabrina; Scioscia, Gabriela; Rey, Andrea Raya] Consejo Nacl Invest Cient &amp; Tecn, Ctr Austral Invest Cient, Lab Ecol &amp; Conservac Vida silvestre, Houssay 200, RA-9410 Ushuaia, Tierra Del Fueg, Argentina; [Harris, Sabrina; Rey, Andrea Raya] Wildlife Conservat Soc representac Argentina, Amenabar 1595 piso 2 oficina 19, RA-1426 CABA, Buenos Aires, Argentina; [Rey, Andrea Raya] Univ Tierra Fuego UNTDF, Inst Ciencias Polares Ambiente &amp; Recursos Nat ICPA, Walanika 250, RA-9410 Ushuaia, Tierradel Fuego, Argentina; [Harris, Sabrina] CAD CONICET, Lab Ecol &amp; Conservac Vida Silvestre, Houssay 200, Ushuaia, Tierra Del Fueg, Argentina</t>
  </si>
  <si>
    <t>Consejo Nacional de Investigaciones Cientificas y Tecnicas (CONICET)</t>
  </si>
  <si>
    <t>Harris, S (corresponding author), CAD CONICET, Lab Ecol &amp; Conservac Vida Silvestre, Houssay 200, Ushuaia, Tierra Del Fueg, Argentina.</t>
  </si>
  <si>
    <t>harrissabrin@gmail.com; gscioscia@gmail.com; andrearayarey@gmail.com</t>
  </si>
  <si>
    <t>Agencia de Promocion de la Investigacion, el Desarrollo Tecnologico y la Innovacion [PICT 2016-1426 PRESTAMO BID]; Wildlife Conservation Society Representation Argentina (WCS); Antarctic Research Trust (ART)</t>
  </si>
  <si>
    <t>Agencia de Promocion de la Investigacion, el Desarrollo Tecnologico y la Innovacion; Wildlife Conservation Society Representation Argentina (WCS); Antarctic Research Trust (ART)</t>
  </si>
  <si>
    <t>The work was supported by funding provided to S.H. by the Agencia de Promocion de la Investigacion, el Desarrollo Tecnologico y la Innovacion through a grant [PICT 2016-1426 PRESTAMO BID]. Additional funding was provided by the Wildlife Conservation Society Representation Argentina (WCS) and the Antarctic Research Trust (ART). We also want to thank the LIECA (Mendoza) for providing the stableisotope analyses. Finally, we also want to thank CONICET for the salary of S.H., G.S. and A.R.R.</t>
  </si>
  <si>
    <t>2051-1434</t>
  </si>
  <si>
    <t>CONSERV PHYSIOL</t>
  </si>
  <si>
    <t>Conserv. Physiol.</t>
  </si>
  <si>
    <t>JAN 1</t>
  </si>
  <si>
    <t>coad063</t>
  </si>
  <si>
    <t>10.1093/conphys/coad063</t>
  </si>
  <si>
    <t>Biodiversity Conservation; Ecology; Environmental Sciences; Physiology</t>
  </si>
  <si>
    <t>Biodiversity &amp; Conservation; Environmental Sciences &amp; Ecology; Physiology</t>
  </si>
  <si>
    <t>Z5KK5</t>
  </si>
  <si>
    <t>WOS:001112460600001</t>
  </si>
  <si>
    <t>Tian, Y; Zheng, NS; Ban, W; Hao, M; Lang, FK</t>
  </si>
  <si>
    <t>Tian, Yi; Zheng, Nanshan; Ban, Wei; Hao, Ming; Lang, Fengkai</t>
  </si>
  <si>
    <t>A Spaceborne GNSS-R Sea Ice Detection Method Based on Scene Semantic Objects</t>
  </si>
  <si>
    <t>IEEE GEOSCIENCE AND REMOTE SENSING LETTERS</t>
  </si>
  <si>
    <t>Sea ice; Semantics; Feature extraction; Histograms; Scattering; Delays; Sea surface; Delay-Doppler map (DDM); feature construction; Global Navigation Satellite System (GNSS); scene semantic object; sea ice detection</t>
  </si>
  <si>
    <t>Sea ice is regarded as an indicator of temperature change. In recent years, the spaceborne Global Navigation Satellite System Reflectometry (GNSS-R) technology has made remarkable progress in sea ice detection. Delay-Doppler maps (DDMs) as one of the significant observations can reflect different characteristics for sea ice and open water, and a single DDM is usually viewed as the unit of feature extraction; however, it is easily influenced by wave height, wind, and other factors. Therefore, this letter proposes building scene semantic objects to enhance the reliability of observation and reflect the object characteristics. The synergism between DDMs and the spatial correlation of specular points was considered. Afterward, histogram features were extracted to express the distribution of scattered energy. The random forest (RF) model was developed to distinguish sea ice from open water. The performance of the method by using TechDemoSat-1 (TDS-1) dataset was evaluated with the sea ice concentration products provided by Ocean and Sea Ice Satellite Application Facility (OSISAF). The results show that the overall accuracy is 98.17%, which outperforms traditional observation methods.</t>
  </si>
  <si>
    <t>[Tian, Yi; Zheng, Nanshan; Hao, Ming; Lang, Fengkai] China Univ Min &amp; Technol, Sch Environm Sci &amp; Spatial Informat CESI, Xuzhou 221116, Jiangsu, Peoples R China; [Tian, Yi; Zheng, Nanshan; Hao, Ming; Lang, Fengkai] China Univ Min &amp; Technol, Jiangsu Key Lab Resources &amp; Environm Informat Engn, Xuzhou 221116, Jiangsu, Peoples R China; [Ban, Wei] Wuhan Univ, Chinese Antarctic Ctr Surveying &amp; Mapping, Wuhan 430079, Peoples R China</t>
  </si>
  <si>
    <t>China University of Mining &amp; Technology; China University of Mining &amp; Technology; Wuhan University</t>
  </si>
  <si>
    <t>Zheng, NS (corresponding author), China Univ Min &amp; Technol, Sch Environm Sci &amp; Spatial Informat CESI, Xuzhou 221116, Jiangsu, Peoples R China.;Zheng, NS (corresponding author), China Univ Min &amp; Technol, Jiangsu Key Lab Resources &amp; Environm Informat Engn, Xuzhou 221116, Jiangsu, Peoples R China.</t>
  </si>
  <si>
    <t>ytian@cumt.edu.cn; znshcumt@163.com; banwei@whu.edu.cn; cumthaoming@163.com; langfk@cumt.edu.cn</t>
  </si>
  <si>
    <t>, Nanshan/0000-0002-5474-1854; HAO, MING/0000-0002-4676-7309</t>
  </si>
  <si>
    <t>National Natural Science Foundation of China [41974039]</t>
  </si>
  <si>
    <t>National Natural Science Foundation of China(National Natural Science Foundation of China (NSFC))</t>
  </si>
  <si>
    <t>The work of Nanshan Zheng and Wei Ban was supported by the National Natural Science Foundation of China under Grant 41974039.</t>
  </si>
  <si>
    <t>1545-598X</t>
  </si>
  <si>
    <t>1558-0571</t>
  </si>
  <si>
    <t>IEEE GEOSCI REMOTE S</t>
  </si>
  <si>
    <t>IEEE Geosci. Remote Sens. Lett.</t>
  </si>
  <si>
    <t>10.1109/LGRS.2023.3311875</t>
  </si>
  <si>
    <t>Y4QC2</t>
  </si>
  <si>
    <t>WOS:001105113300004</t>
  </si>
  <si>
    <t>Sapozhnikov, PV; Kalinina, OY; Vostokov, SV</t>
  </si>
  <si>
    <t>Sapozhnikov, Philipp V.; Kalinina, Olga Yu.; Vostokov, Sergey V.</t>
  </si>
  <si>
    <t>Microplaston artificial polymers in the Miass River and Lake Turgoyak (Southern Urals, Russia) in the early stages of colonisation</t>
  </si>
  <si>
    <t>SOUTH OF RUSSIA-ECOLOGY DEVELOPMENT</t>
  </si>
  <si>
    <t>Microplaston; artificial polymers; colonisation of plastic; community organization; Southern Urals</t>
  </si>
  <si>
    <t>Aim. To identify the composition and features of the spatial structure of microfouling (microplaston) during the early stages of colonisation of the surfaces of artificial polymer films (LDPE) in the natural habitats of the Miass River and Lake Turgoyak (Southern Urals). The early stages of polymer microfouling which create the basis for further complexity of its spatial mosaic are considered, taking into account the surface microlandscape and the possibilities it creates for the location of community components. Materials and Methods. Fragments of polymer films (LDPE) manufactured for household use were collected in the waters of the Miass River and Lake Turgoyak in June 2023. Samples were selected that were exposed in natural reservoirs for at least several months. Analysis of the composition, structure and spatial organization of microplastonic communities was carried out using light and SEM microscopy. Results. The microplaston in the early stages of growth varied significantly among the habitats studied. On LDPE films from the Miass River they were dominated by sessile armored amoebae (Granofilosea: Microgromiidae), attached diatoms (Bacillariophyta: Achnanthaceae, Cocconeidaceae) developed as a mass and encrusting green microalgae (Chlorophyta, Charophyta) were also found. In Lake Turgoyak cortical green microalgae clearly dominated, together with other diatoms (Bacillariophyta: Rhopalodiaceae, Cocconeidaceae). Trichome and coccoid forms of cyanoprokaryotes (Cyanobacteria: Pseudanabaenaceae, Rivulariaceae, Chamaesiphonaceae, Microcystaceae) were also abundant. The colonisation of films by individual species varied among habitats and also depended on the surface microrelief. Conclusion. Analysis of the microplaston of LDPE films in hydrologically different habitats demonstrated the features of early colonisation of these substrates, the biotope-specificity of the species and spatial structure of communities, as well as the organisation of colonial settlements of a number of species.</t>
  </si>
  <si>
    <t>[Sapozhnikov, Philipp V.; Vostokov, Sergey V.] Russian Acad Sci, Shirshov Inst Oceanol, Moscow, Russia; [Kalinina, Olga Yu.] Arct &amp; Antarctic Res Inst, St Petersburg, Russia</t>
  </si>
  <si>
    <t>Russian Academy of Sciences; Shirshov Institute of Oceanology</t>
  </si>
  <si>
    <t>Sapozhnikov, PV (corresponding author), Russian Acad Sci, Shirshov Inst Oceanol, Lab Ecol Coastal Benth Commun, Moscow 117997, Russia.</t>
  </si>
  <si>
    <t>fil_aralsky@mail.ru</t>
  </si>
  <si>
    <t>Russian Science Foundation [23-17-00167]</t>
  </si>
  <si>
    <t>This scientific work was carried out with the financial support of the Russian Science Foundation project 23-17-00167. SEM studies were carried out at the Electron Microscopy Laboratory, Faculty of Biology Moscow State University.</t>
  </si>
  <si>
    <t>KAMERTON PUBLISHER</t>
  </si>
  <si>
    <t>A-YA 58, MOSCOW, 107014, RUSSIA</t>
  </si>
  <si>
    <t>1992-1098</t>
  </si>
  <si>
    <t>2413-0958</t>
  </si>
  <si>
    <t>S RUSS-ECOL DEV</t>
  </si>
  <si>
    <t>South Russ.-Ecol. Dev.</t>
  </si>
  <si>
    <t>10.18470/1992-1098-2023-3-133-143</t>
  </si>
  <si>
    <t>Ecology</t>
  </si>
  <si>
    <t>X5KI5</t>
  </si>
  <si>
    <t>WOS:001098833500012</t>
  </si>
  <si>
    <t>Pitulko, V; Pavlova, E</t>
  </si>
  <si>
    <t>Pitulko, Vladimir; Pavlova, Elena</t>
  </si>
  <si>
    <t>Late Pleistocene and Early Holocene Paleoenvironments, Human Settlement and Adaptations in the East Siberian Arctic</t>
  </si>
  <si>
    <t>STRATUM PLUS</t>
  </si>
  <si>
    <t>Arctic; Late Pleistocene; Holocene; human settlement; environmental changes; mammoth exploitation; complex technologies; innovations</t>
  </si>
  <si>
    <t>YANA-INDIGHIRKA LOWLAND; LAST GLACIAL MAXIMUM; ARCHAEOLOGICAL RECORD; VEGETATION HISTORY; NORTHERN EURASIA; CLIMATIC CHANGES; WOOLLY MAMMOTH; ICE SHEETS; RHS SITE; ENVIRONMENT</t>
  </si>
  <si>
    <t>Archaeological record of the Stone Age in the East Siberian Arctic spans approximately 50,000 years. There are three main stages reflecting steps in human settlement of the Arctic Eurasia driven by various abiotic and biotic factors: early (similar to 50 to similar to 29 ka, MIS 3); middle (similar to 29 to similar to 11,7 ka, MIS 2) and late (from 11,7 to similar to 8 ka). Successful peopling of the Arctic was largely facilitated by adoption of critically important innovations such as sewing technology based on the use of eyed bone needle, and manufacture of long shafts and pointed implements made of mammoth tusks. Mammoth exploitation is seen in mass accumulations of mammoth formed by hunting. Obvious connection between archaeological materials and such accumulations is observed in the archaeological record. In lithic technology, the early stage is presented by archaic-looking flake industries, the middle stage witnesses the spread of the wedge-core based microblade technology known as Beringian microblade tradition, and the late stage is characterized by microprismatic blade technology. Long-distance transport of artifacts, knowledge and genes was facilitated by the introduction of land transportation system. The initial peopling of the region was associated with the carriers of the West Eurasian genome, who were subsequently gradually replaced by populations of the East Asian ancestry moving North under the pressure of environmental changes.</t>
  </si>
  <si>
    <t>[Pitulko, Vladimir] Russian Acad Sci, Inst Hist Mat Culture, Hist Sci, Dvortsovaya Emb 18, St Petersburg 191186, Russia; [Pavlova, Elena] Arctic &amp; Antarctic Sci Res Inst, Bering St 38, St Petersburg 199397, Russia</t>
  </si>
  <si>
    <t>Russian Academy of Sciences; Institute for the History of Material Culture, Russian Academy of Sciences; St. Petersburg Scientific Centre of the Russian Academy of Sciences</t>
  </si>
  <si>
    <t>Pitulko, V (corresponding author), Russian Acad Sci, Inst Hist Mat Culture, Hist Sci, Dvortsovaya Emb 18, St Petersburg 191186, Russia.</t>
  </si>
  <si>
    <t>pitulko.vladimir@gmail.com; pavloval@rambler.ru</t>
  </si>
  <si>
    <t>Program of Fundamental Research (PFR) of the Presidium of the Russian Academy of Sciences [1.25 (2006-2008)]; PFR RAS Program [1.11 (2009-2011), 1.7 (2012-2014)]; Russian Foundation for Basic Research [N 11-06-12018, OFI-m 13-06-12044]; Russian Science Foundation [6-18-10265 (2016-2018), 16-18-10265P (2019-2020), 21-18-00457]</t>
  </si>
  <si>
    <t>Program of Fundamental Research (PFR) of the Presidium of the Russian Academy of Sciences; PFR RAS Program; Russian Foundation for Basic Research(Russian Foundation for Basic Research (RFBR)Spanish Government); Russian Science Foundation(Russian Science Foundation (RSF))</t>
  </si>
  <si>
    <t>The present study is based on the results received within the framework of the projects of the Program of Fundamental Research (PFR) of the Presidium of the Russian Academy of Sciences N 21, project 1.25 (2006-2008), the PFR RAS Program N 33, project 1.11 (2009-2011), and the PFR RAS Program N 25, project 1.7 (2012-2014); Russian Foundation for Basic Research (RFBR project OFI-m N 11-06-12018, in 2011-2012; RFBR project OFI-m 13-06-12044, in 2013-2015). The authors are grateful to the Russian Science Foundation for the support provided to research through projects 16-18-10265 (2016-2018), 16-18-10265P (2019-2020), and 21-18-00457 (from 2021 to present time).</t>
  </si>
  <si>
    <t>HIGH ANTHROPOLOGICAL SCH UNIV</t>
  </si>
  <si>
    <t>KISHINEV</t>
  </si>
  <si>
    <t>ZIMBRULUI 10A ST, KISHINEV, MD-2024, MOLDOVA</t>
  </si>
  <si>
    <t>1608-9057</t>
  </si>
  <si>
    <t>1857-3533</t>
  </si>
  <si>
    <t>Stratum Plus</t>
  </si>
  <si>
    <t>10.55086/sp231193228</t>
  </si>
  <si>
    <t>Archaeology</t>
  </si>
  <si>
    <t>X3LX7</t>
  </si>
  <si>
    <t>WOS:001097514500010</t>
  </si>
  <si>
    <t>Rusinova-Videva, S; Petkova, Z; Antova, G; Stoyanov, P; Mladenova, T; Radoukova, T</t>
  </si>
  <si>
    <t>Rusinova-Videva, Snezhana; Petkova, Zhana; Antova, Ginka; Stoyanov, Plamen; Mladenova, Tsvetelina; Radoukova, Tzenka</t>
  </si>
  <si>
    <t>Effect of polyoxyethylene sorbitan monooleate (Tween 80) on exopolysaccharide and biomass composition of psychrophilic yeast</t>
  </si>
  <si>
    <t>POLISH POLAR RESEARCH</t>
  </si>
  <si>
    <t>Antarctic; Cryptococcus laurentii; biomass; lipids</t>
  </si>
  <si>
    <t>BIOSYNTHESIS; GROWTH</t>
  </si>
  <si>
    <t>Studies on the surface-active agents added during the cultivation process proved their effect on the synthesized bioproducts. The biosynthesis and accumulation of exopolysaccharide and biomass by Antarctic producer Cryptococcus laurentii AL65 were studied in submerged cultivation using different carbon sources in the culture medium added to a one-percent concentration (pentoses, hexoses and oligosaccharides). Sucrose was chosen as the most appropriate carbon source for the cell growth and extracellular polymer biosynthesis. Absorption of sucrose by a strain producer was monitored and the residual sugars were traced in the dynamics of the fermentation process. The effect of polyoxyethylene sorbitan monooleate (Tween 80) on the cell growth and the accumulation of the synthesized biopolymer were studied for the first time with the Antarctic producer. treatment contributed to an increase in the total amount of lipids in the cell, to the increased biosynthesis of unsaturated fatty acids compared to saturated ones, and to the increased cellular synthesis of valuable metabolites such as phosphatidylinositol, phosphatidylserine and phosphatidylethanolamine. The impact of Tween 80 on intracellular and extracellular metabolites is a valuable asset in a possible scale-up of the process in industrial settings.</t>
  </si>
  <si>
    <t>[Rusinova-Videva, Snezhana] Bulgarian Acad Sci, Stephan Angeloff Inst Microbiol, 139 Ruski Blvd, Plovdiv 4000, Bulgaria; [Petkova, Zhana; Antova, Ginka] Univ Plovdiv Paisii Hilendarski, Dept Chem Technol, 24 Tz Assen, Plovdiv 4000, Bulgaria; [Stoyanov, Plamen; Mladenova, Tsvetelina; Radoukova, Tzenka] Univ Plovdiv Paisii Hilendarski, Dept Bot, 24 Tz Assen, Plovdiv 4000, Bulgaria; [Stoyanov, Plamen] Med Univ Plovdiv, Dept Pharmacognosy &amp; Pharmaceut Chem, 15 AV Aprilov, Plovdiv 4000, Bulgaria</t>
  </si>
  <si>
    <t>Bulgarian Academy of Sciences; Stephan Angeloff Institute of Microbiology, Bulgarian Academy of Sciences; Plovdiv University; Plovdiv University; Medical University Plovdiv</t>
  </si>
  <si>
    <t>Rusinova-Videva, S (corresponding author), Bulgarian Acad Sci, Stephan Angeloff Inst Microbiol, 139 Ruski Blvd, Plovdiv 4000, Bulgaria.</t>
  </si>
  <si>
    <t>jrusinova@abv.bg</t>
  </si>
  <si>
    <t>Petkova, Zhana/S-2650-2017</t>
  </si>
  <si>
    <t>Petkova, Zhana/0000-0001-7798-9687</t>
  </si>
  <si>
    <t>POLSKA AKAD NAUK, POLISH ACAD SCIENCES</t>
  </si>
  <si>
    <t>0138-0338</t>
  </si>
  <si>
    <t>2081-8262</t>
  </si>
  <si>
    <t>POL POLAR RES</t>
  </si>
  <si>
    <t>Pol. Polar. Res.</t>
  </si>
  <si>
    <t>10.24425/ppr.2023.145437</t>
  </si>
  <si>
    <t>X8GU6</t>
  </si>
  <si>
    <t>WOS:001100775700003</t>
  </si>
  <si>
    <t>Pereira, PS; dos Santos, EA; Evangelista, H; Magalhaes, N; Smirnov, A</t>
  </si>
  <si>
    <t>Pereira, Paula s.; dos Santos, Elaine A.; Evangelista, Heitor; Magalhaes, Newton; Smirnov, Alexander</t>
  </si>
  <si>
    <t>Aerosol optical properties over the South Atlantic and southern ocean during the 2010-2012 summer seasons as part of the global maritime aerosol network</t>
  </si>
  <si>
    <t>Aerosols; South Atlantic; AOD; Antarctica; Maritime Aerosol Network</t>
  </si>
  <si>
    <t>ATMOSPHERIC AEROSOL; DEPOSITION</t>
  </si>
  <si>
    <t>Aerosols have implications to climate and biogeochemical cycles in the global oceans. At sites under indirect influence of dust emitted by the Patagonian semi-desert, a debate exists on the potential fertilization effects of iron enriched aerossol. Considering this subject we conducted measurements of aerosols optical properties using a Microtops II sun photometer to access aerosol size distributions and other intrinsic properties oversea from Atlantic Southern mid-latitudes to Antarctica. Oceanographic cruises were developed between December 2010 to April 2011 and October 2011 to April 2012, in the context of the Brazilian Antarctic Program, and between November 2011 to December 2011. This survey was taken as part of the Global Maritime Aerosol Network (MAN/NASA). Our data of AOD (500 nm) along the South American coast depicts a steady decrease southwards following the decreased latitudinal continental extent. However, the influence of the aerosols blown from Patagonia semi-desert region was clear from latitude 53 degrees S to 64 degrees S. The predominance of aerosol fine mode was observed in Central Atlantic and close to the Drake Passage. An unexpected aerosol coarse mode predominance was found close to the Antarctic Peninsula. We attribute that to a possible weathering of rock outcrops due to the strong westerly winds in that region.</t>
  </si>
  <si>
    <t>[Pereira, Paula s.; dos Santos, Elaine A.; Evangelista, Heitor] Univ Estado Rio De Janeiro, Lab Radioecol &amp; Mudancas Globais, LARAMG, Pavilhao Haroldo Lisboa Cunha,Rua Sao Francisco Xa, BR-20550013 Rio De Janeiro, RJ, Brazil; [Magalhaes, Newton] Rio Janeiro State Univ UERJ, Dept Phys Geog, Lab Modelagem Geograf, Pavilhao Joao Lyra Filho,R Sao Francisco Xavier,52, BR-20550013 Rio De Janeiro, RJ, Brazil; [Smirnov, Alexander] NASA, Goddard Space Flight Ctr GSFC, Greenbelt, MD 20771 USA; [Smirnov, Alexander] Sci Syst &amp; Applicat Inc, 10210 Greenbelt Rd 600, Lanham, MD 20706 USA</t>
  </si>
  <si>
    <t>Universidade do Estado do Rio de Janeiro; National Aeronautics &amp; Space Administration (NASA); Science Systems and Applications Inc</t>
  </si>
  <si>
    <t>dos Santos, EA (corresponding author), Univ Estado Rio De Janeiro, Lab Radioecol &amp; Mudancas Globais, LARAMG, Pavilhao Haroldo Lisboa Cunha,Rua Sao Francisco Xa, BR-20550013 Rio De Janeiro, RJ, Brazil.</t>
  </si>
  <si>
    <t>elainealves1301@gmail.com</t>
  </si>
  <si>
    <t>Smirnov, Aleksandr Victorovich/O-8586-2017; Smirnov, Alexander/C-2121-2009</t>
  </si>
  <si>
    <t>Smirnov, Aleksandr Victorovich/0000-0003-3250-4433; Smirnov, Alexander/0000-0002-8208-1304; de Magalhaes Neto, Newton/0000-0003-0294-9319; Evangelista, Heitor/0000-0001-9832-1141; Santos, Elaine/0000-0001-9620-9498</t>
  </si>
  <si>
    <t>e20210816</t>
  </si>
  <si>
    <t>10.1590/0001-3765202320210816</t>
  </si>
  <si>
    <t>X8QJ0</t>
  </si>
  <si>
    <t>WOS:001101027400001</t>
  </si>
  <si>
    <t>Carpenedo, CB; Viana, DR; Parise, CK; Aquino, FE; Braga, RB</t>
  </si>
  <si>
    <t>Carpenedo, Camila B.; Viana, Denilson R.; Parise, Claudia K.; Aquino, Francisco E.; Braga, Ricardo B.</t>
  </si>
  <si>
    <t>Atmospheric circulation patterns associated with surface air temperature variability trends between the Antarctic Peninsula and South America</t>
  </si>
  <si>
    <t>Climate; SAM; ENSO; SACZ</t>
  </si>
  <si>
    <t>LOW-LEVEL JET; ANNULAR MODE; SEA-ICE; CONVERGENCE ZONE; ENSO; SAM; CLIMATOLOGY; OSCILLATION; ATLANTIC; IMPACTS</t>
  </si>
  <si>
    <t>This study investigated the spatial patterns of atmospheric circulation associated with surface air temperature variability trends between the Antarctic Peninsula and South America, during the austral summer (1979-2020). The first mode shows a positive score trend, with warming in northern Antarctic Peninsula and southern South America. This mode is mainly associated with the positive/neutral Southern Annular Mode and La Nina phases. There is an anomalous low pressure in the Southeast Pacific, a strengthening (weakening) of the polar (subtropical) jet and a strengthening and/or south/southwest displacement of the South Atlantic Subtropical High, which can prevent the passage of transient systems over the continent. In addition, there is a negative phase pattern of the South Atlantic Dipole, which contributes to the strengthening of the South Atlantic Convergence Zone convective activity. The second mode shows a negative score trend, with cooling in the Antarctic Peninsula/southernmost South America and warming between 10-40 degrees S over South America. This mode is mainly associated with the spatial pattern of Central Pacific El Nino. There is a strengthening of the low-level jet and a strengthening of the western branch of the South Atlantic Subtropical High, all of which contribute to the suppression of the South Atlantic Convergence Zone.</t>
  </si>
  <si>
    <t>[Carpenedo, Camila B.] Univ Fed Parana, Dept Solos &amp; Engn Agr, Setor Ciencias Agr, NUVEM Nucleo Estudos Variabilidade &amp; Mudancas Clim, Rua Funcionarios 1540, BR-80035050 Curitiba, PR, Brazil; [Viana, Denilson R.; Aquino, Francisco E.] Univ Fed Rio Grande do Sul, Ctr Polar &amp; Climat, Inst Geociencias, Ave Bento Goncalves 9500, BR-91501970 Porto Alegre, RS, Brazil; [Parise, Claudia K.] Univ Fed Maranhao, Dept Oceanog &amp; Limnol, Lab Estudos &amp; Modelagem Climat, Ave Portugueses 1966, BR-65080805 Sao Luis, MA, Brazil; [Braga, Ricardo B.] EQUIA Solucoes &amp; Gestao Socioambiental, Coordenacao Projetos, Rua Xavier da Cunha 999-402, BR-90830410 Porto Alegre, RS, Brazil</t>
  </si>
  <si>
    <t>Universidade Federal do Parana; Universidade Federal do Rio Grande do Sul; Universidade Federal do Maranhao</t>
  </si>
  <si>
    <t>Carpenedo, CB (corresponding author), Univ Fed Parana, Dept Solos &amp; Engn Agr, Setor Ciencias Agr, NUVEM Nucleo Estudos Variabilidade &amp; Mudancas Clim, Rua Funcionarios 1540, BR-80035050 Curitiba, PR, Brazil.</t>
  </si>
  <si>
    <t>Instituto Nacional de Ciencia e Tecnologia da Criosfera of the Conselho Nacional de Desenvolvimento Cientifico e Tecnologico (CNPq) [420406/2016-6, 465680/2014-3]; Coordenacao de Aperfeicoamento de Pessoal de Nivel Superior (CAPES) [145668/2017-00]; CNPq [420406/2016-6]</t>
  </si>
  <si>
    <t>Instituto Nacional de Ciencia e Tecnologia da Criosfera of the Conselho Nacional de Desenvolvimento Cientifico e Tecnologico (CNPq)(Conselho Nacional de Desenvolvimento Cientifico e Tecnologico (CNPQ)Fundacao de Apoio a Pesquisa do Distrito Federal (FAPDF)); Coordenacao de Aperfeicoamento de Pessoal de Nivel Superior (CAPES)(Coordenacao de Aperfeicoamento de Pessoal de Nivel Superior (CAPES)); CNPq(Conselho Nacional de Desenvolvimento Cientifico e Tecnologico (CNPQ))</t>
  </si>
  <si>
    <t>The authors would like to thank the funding support of the Instituto Nacional de Ciencia e Tecnologia da Criosfera of the Conselho Nacional de Desenvolvimento Cientifico e Tecnologico (CNPq) for the Research Grant 465680/2014-3); the Coordenacao de Aperfeicoamento de Pessoal de Nivel Superior (CAPES) for funding the Project Use and Development of the Brazilian Earth System Model for the Study of the Ocean-Atmosphere-Cryosphere System in High and Medium Latitudes-BESM/SOAC (Process 145668/2017-00); and CNPq funding for the Project Impactos do Aumento do Gelo Marinho da Antartica no Clima da America do Sul: Simulacoes por Conjunto x Reanalises (Process 420406/2016-6). We are also grateful for the constructive feedback provided by the reviewers.</t>
  </si>
  <si>
    <t>e20220591</t>
  </si>
  <si>
    <t>10.1590/0001-3765202320220591</t>
  </si>
  <si>
    <t>X8QF6</t>
  </si>
  <si>
    <t>WOS:001101023900001</t>
  </si>
  <si>
    <t>Hillebrand, FL; De Freitas, MWD; Bremer, UF; Abrantes, TC; Simoes, JC; Mendes, CW Jr; Schardong, F; Arigony-Neto, J</t>
  </si>
  <si>
    <t>Hillebrand, Fernando Luis; De Freitas, Marcos W. D.; Bremer, Ulisses F.; Abrantes, Tales C.; Simoes, Jefferson C.; Mendes Jr, Claudio W.; Schardong, Frederico; Arigony-Neto, Jorge</t>
  </si>
  <si>
    <t>Concentration and thickness of sea ice in the Weddell Sea from SSM/I passive microwave radiometer data</t>
  </si>
  <si>
    <t>Spectral linear mixing model; multiple linear regression; sea ice concentration; brightness temperature</t>
  </si>
  <si>
    <t>TIME-SERIES; TRENDS; MODEL; ANTARCTICA; DYNAMICS; COVER; OCEAN</t>
  </si>
  <si>
    <t>This study evaluated feasibility statistically and analyzed, during the freezing period, the relationship between brightness temperature (Tb) data of the 37V polarisation and the GR3719 (Gradient Ratio 37V and 19V) obtained by Special Sensor Microwave/ Imager from F11 and F13 satellites with sea ice thickness (SIT) data obtained in the Weddell Sea through Antarctic Sea Ice Processes and Climate program. The multiple linear regression (MLR) was applied at 1,520 points, with 70% of these points being randomly separated to generate the MLR and 30% to carry out the validation. To perform the temporal mapping, the MLR was applied only to pixels with sea ice concentration (SIC) &gt;= 90%, obtained through the fraction image calculated from the spectral linear mixing model (SLMM) using the Tb in the channels and polarizations 19H, 19V and 37V. The results of the SLMM validation process for estimating the SIC were sigma = 10.5%, RMSE = 11.0%, and bias =-2.8%, and the SIT based on the MLR, the results were R2 = 0.57, RMSE = 0.268 m, and bias = 0.103 m. In the SIT mapping, we highlight the trend of thickness reduction on the east coast of the Antarctic Peninsula during the period 1992-2009.</t>
  </si>
  <si>
    <t>[Hillebrand, Fernando Luis; Schardong, Frederico] Inst Fed Educ Ciencia &amp; Tecnol Rio Grande Do Sul I, Rodovia RS-239,Km 68,3505, BR-95700000 Rolante, RS, Brazil; [Hillebrand, Fernando Luis; De Freitas, Marcos W. D.; Bremer, Ulisses F.; Simoes, Jefferson C.; Mendes Jr, Claudio W.] Univ Fed Rio Grande Do Sul UFRGS, Ctr Polar &amp; Climat, Av Bento Gongalves 9500, Predio 43136, Salas 208 &amp;, BR-91501970 Porto Alegre, RS, Brazil; [De Freitas, Marcos W. D.; Bremer, Ulisses F.; Abrantes, Tales C.; Mendes Jr, Claudio W.] Univ Fed Rio Grande Do Sul UFRGS, Programa Posgrad Sensoriamento Remoto, Av Bento Gongalves 9500, Predio 44202, Setor 5, BR-90501970 Porto Alegre, RS, Brazil; [De Freitas, Marcos W. D.; Bremer, Ulisses F.; Simoes, Jefferson C.; Mendes Jr, Claudio W.] Univ Fed Rio Grande do Sul UFRGS, Inst Geociencias, Av Bento Goncalves 9500, BR-91501970 Porto Alegre, RS, Brazil; [Arigony-Neto, Jorge] Univ Fed Rio Grande FURG, Inst Oceanog, Av Italia s-n,Km 8, BR-96201900 Rio Grande, RS, Brazil</t>
  </si>
  <si>
    <t>Universidade Federal do Rio Grande do Sul; Universidade Federal do Rio Grande do Sul; Universidade Federal do Rio Grande do Sul; Universidade Federal do Rio Grande</t>
  </si>
  <si>
    <t>Hillebrand, FL (corresponding author), Inst Fed Educ Ciencia &amp; Tecnol Rio Grande Do Sul I, Rodovia RS-239,Km 68,3505, BR-95700000 Rolante, RS, Brazil.;Hillebrand, FL (corresponding author), Univ Fed Rio Grande Do Sul UFRGS, Ctr Polar &amp; Climat, Av Bento Gongalves 9500, Predio 43136, Salas 208 &amp;, BR-91501970 Porto Alegre, RS, Brazil.</t>
  </si>
  <si>
    <t>fernando.hillebrand@rolante.ifrs.edu.br</t>
  </si>
  <si>
    <t>Simoes, Jefferson Cardia/D-7232-2013; Hillebrand, Fernando Luis/AAK-5772-2020; Bremer, Ulisses/AAT-8733-2021</t>
  </si>
  <si>
    <t>Simoes, Jefferson Cardia/0000-0001-5555-3401; Hillebrand, Fernando Luis/0000-0002-0182-8526; Freitas, Marcos/0000-0001-9879-2584; Schardong, Frederico/0000-0003-4492-163X; Mendes Junior, Claudio Wilson/0000-0003-1745-348X; Bremer, Ulisses/0000-0003-0519-5807</t>
  </si>
  <si>
    <t>Conselho Nacional de Desenvolvimento Cientfico e Tecnolgico-CNPq [465680/2014-3]; Research Support Foundation of the State of Rio Grande do Sul (FAPERGS) [17/2551-0000518-0, 21/2551-0002042-3]; Scientific Committee on Antarctic Research (SCAR); SCAR Fellowship Programme 2021</t>
  </si>
  <si>
    <t>Conselho Nacional de Desenvolvimento Cientfico e Tecnolgico-CNPq(Conselho Nacional de Desenvolvimento Cientifico e Tecnologico (CNPQ)); Research Support Foundation of the State of Rio Grande do Sul (FAPERGS)(Fundacao de Amparo a Ciencia e Tecnologia do Estado do Rio Grande do Sul (FAPERGS)); Scientific Committee on Antarctic Research (SCAR); SCAR Fellowship Programme 2021</t>
  </si>
  <si>
    <t>This research paper was supported by the Conselho Nacional de Desenvolvimento Cientifico e Tecnologico-CNPq (Process 465680/2014-3- NCT da Criosfera) and financed by the Research Support Foundation of the State of Rio Grande do Sul (FAPERGS) projects numbers 17/2551-0000518-0 and 21/2551-0002042-3. The main author would like to express gratitude to Prof. Dr. Christian Haas, a researcher at the Alfred Wegener Institute for Polar and Marine Research (AWI) , for his contributions to this research and for providing guidance during the scientific exchange held at the institution in February 2022. We would also like to thank the Scientific Committee on Antarctic Research (SCAR) for providing financial support through the SCAR Fellowship Programme 2021. Funding went towards the project entitled Spectral linear mixing model applied to data from passive microwave radiometers for sea ice thickness mapping in the Weddell Sea  and enabled the main author's exchange at AWI. No potential conflict of interest was reported by the author (s) .</t>
  </si>
  <si>
    <t>e20230342</t>
  </si>
  <si>
    <t>10.1590/0001-3765202320230342</t>
  </si>
  <si>
    <t>X8QS7</t>
  </si>
  <si>
    <t>WOS:001101037200001</t>
  </si>
  <si>
    <t>Vesman, AV; Bashmachnikov, IL; Golubkin, PA; Raj, RP</t>
  </si>
  <si>
    <t>Vesman, Anna V.; Bashmachnikov, Igor L.; Golubkin, Pavel A.; Raj, Roshin P.</t>
  </si>
  <si>
    <t>THE COHERENCE OF THE OCEANIC HEAT TRANSPORT THROUGH THE NORDIC SEAS: OCEANIC HEAT BUDGET AND INTERANNUAL VARIABILITY</t>
  </si>
  <si>
    <t>RUSSIAN JOURNAL OF EARTH SCIENCES</t>
  </si>
  <si>
    <t>the Nordic Seas; the Atlantic Water; heat flux; correlation loss; long-term variability</t>
  </si>
  <si>
    <t>WEST SPITSBERGEN CURRENT; ATLANTIC WATER; ARCTIC-OCEAN; BARENTS SEA; EURASIAN BASIN; FRAM STRAIT; ICE LOSS; IN-SITU; CIRCULATION; FLUXES</t>
  </si>
  <si>
    <t>The Atlantic Water is the main source of heat and salt in the Arctic. Properties of the Atlantic Water inflow regionally affect sea ice extent and deep water formation rate. The Atlantic Water heat transported into the Nordic Seas has a significant impact on the local climate and is investigated here along with its inter-annual variability. We use the ARMOR3D dataset, which is a collection of 3D monthly temperature, salinity and geostrophic velocities fields, derived from in situ and satellite data on a regular grid available since 1993. We compare the heat transport across seven zonal transects in the eastern part of the Nordic seas, from the Svinoy section (65 degrees N) to the Fram Strait (78.8 degrees N). The correlations of the interannual variations of the advective heat fluxes rapidly drop from Svinoy to Jan Mayen sections and between Bear Island and Sorkapp sections. This is a result of different tendencies in its interannual evolution over the latest decades in the southern and the northern parts of the study region, as well as of a differential damping of the observed periodicities along the Atlantic Water path on its way north (the amplitude of 5-6 year oscillations drops significantly faster than that of 2-3 year oscillations). A certain link between the heat fluxes and the North Atlantic Oscillation (NAO), Arctic Oscillation (AO) and East Atlantic (EA) indices is observed only at the southern sections. On the other hand, the heat fluxes at all sections show a consistent increase during the dominance of western weather type W and a decrease - of meridional weather type C. The link is explained by the variations of the wind fields, favorable for the sea-level build-up (Ekman pumping) east of the branching of the Norwegian Current for type W and an opposite tendency for type C.</t>
  </si>
  <si>
    <t>[Vesman, Anna V.; Bashmachnikov, Igor L.] St Petersburg State Univ, Dept Oceanog, St Petersburg, Russia; [Vesman, Anna V.] Atmosphere sea ice ocean interact Dept, Arctic &amp; Antarctic Res Inst, St Petersburg, Russia; [Bashmachnikov, Igor L.; Golubkin, Pavel A.] Nansen Int Environm &amp; Remote Sensing Ctr, St Petersburg, Russia; [Raj, Roshin P.] Bjerknes Ctr Climate Res, Nansen Environm &amp; Remote Sensing Ctr, Bergen, Norway</t>
  </si>
  <si>
    <t>Saint Petersburg State University; Arctic &amp; Antarctic Research Institute; Nansen Environmental &amp; Remote Sensing Center (NERSC); Nansen Environmental &amp; Remote Sensing Center (NERSC); Bjerknes Centre for Climate Research</t>
  </si>
  <si>
    <t>Vesman, AV (corresponding author), St Petersburg State Univ, Dept Oceanog, St Petersburg, Russia.;Vesman, AV (corresponding author), Atmosphere sea ice ocean interact Dept, Arctic &amp; Antarctic Res Inst, St Petersburg, Russia.</t>
  </si>
  <si>
    <t>anna.vesman@gmail.com</t>
  </si>
  <si>
    <t>Vesman, Anna/ABC-8337-2020; Bashmachnikov, Igor/B-2879-2012; Golubkin, Pavel/J-7813-2016</t>
  </si>
  <si>
    <t>Vesman, Anna/0000-0002-8805-0349; Bashmachnikov, Igor/0000-0002-1257-4197; Golubkin, Pavel/0000-0002-1782-4677</t>
  </si>
  <si>
    <t>Saint-Petersburg State University [93016972]</t>
  </si>
  <si>
    <t>Saint-Petersburg State University</t>
  </si>
  <si>
    <t>The work of A. V. Vesman was done in frame of the topic 5.1.4 of the scientific-research and technological plan of Roshydromet. The research was supported by the grant from the Saint-Petersburg State University No 93016972.</t>
  </si>
  <si>
    <t>GEOPHYSICAL CENTER RAS</t>
  </si>
  <si>
    <t>MOLODEZHNAYA ST 3, MOSCOW, 119296, RUSSIA</t>
  </si>
  <si>
    <t>1681-1208</t>
  </si>
  <si>
    <t>RUSS J EARTH SCI</t>
  </si>
  <si>
    <t>Russ. J. Earth Sci.</t>
  </si>
  <si>
    <t>ES3006</t>
  </si>
  <si>
    <t>10.2205/2023es000848</t>
  </si>
  <si>
    <t>Y6QQ6</t>
  </si>
  <si>
    <t>WOS:001106490200001</t>
  </si>
  <si>
    <t>Kellner, AWA</t>
  </si>
  <si>
    <t>Kellner, Alexander W. A.</t>
  </si>
  <si>
    <t>A new issue of the AABC focused on Antarctic research</t>
  </si>
  <si>
    <t>[Kellner, Alexander W. A.] Univ Fed Rio De Janeiro, Dept Geol &amp; Paleontol, Museu Nacl, Lab Sistemat &amp; Tafon Vertebrados Fosseis, Quinta Boa Vista S-N, BR-20940040 Rio De Janeiro, RJ, Brazil</t>
  </si>
  <si>
    <t>Universidade Federal do Rio de Janeiro</t>
  </si>
  <si>
    <t>Kellner, AWA (corresponding author), Univ Fed Rio De Janeiro, Dept Geol &amp; Paleontol, Museu Nacl, Lab Sistemat &amp; Tafon Vertebrados Fosseis, Quinta Boa Vista S-N, BR-20940040 Rio De Janeiro, RJ, Brazil.</t>
  </si>
  <si>
    <t>kellner@mn.ufrj.br</t>
  </si>
  <si>
    <t>e202395S3</t>
  </si>
  <si>
    <t>10.1590/0001-37652023202395S3</t>
  </si>
  <si>
    <t>Y2LG7</t>
  </si>
  <si>
    <t>WOS:001103627400001</t>
  </si>
  <si>
    <t>Hájek, J; Casanova-Katny, A; Barták, M; Sekerak, J Jr</t>
  </si>
  <si>
    <t>Hajek, Josef; Casanova-Katny, Angelica; Bartak, Milos; Sekerak Jr, Jiri</t>
  </si>
  <si>
    <t>Cryoresistance of Antarctic endemic lichen Himantormia lugubris: Analysis of photosystem II functionality using a constant-rate cooling approach</t>
  </si>
  <si>
    <t>freezing; photosynthetic apparatus; cooling point; King George Island; differential method</t>
  </si>
  <si>
    <t>KING GEORGE ISLAND; ICE NUCLEATION; ADAPTATIONS</t>
  </si>
  <si>
    <t>It is well established that lichens from polar regions of the Earth are capable to perform photosynthesis at sub-zero temperatures. Majority of them show a high degree of cryoresistance, however, species-specific differences exist. Therefore, the aim of our study was to evaluate behaviour of primary photochemical processes of photosynthesis in Antarctic endemic species Himantormia lugubris at sub-zero temperature. For the purpose, the method of constant rate (2 degrees C min-1) cooling (from +20 to-40 degrees C) with simultaneous measurements of chlorophyll fluorescence parameters related to photosystem II (PSII) was used. During the cooling, potential yield of photosynthetic processes in PSII (FV/FM), and effective quantum yield of PSII (phi PSII) were measured in 30 s interval. From the FV/FM and phi PSII data sets, S-curves reflecting temperature dependence of the two chlorophyll fluorescence parameters were constructed and analyzed. The S-curves were found tri-phasic in response to sample temperature decline: (1) slight or no decline phase, (2) rapid decline phase, followed by (3) slow change reaching critical temperature at which the primary photosynthetic processes were fully inhibited. Critical temperature was found-30 and-20 degrees C for FV/FM, and phi PSII, respectively. The latter critical temperature was accompanied by an increase in background chlorophyll fluorescence (F0) indicating inhibition of energy transfer from light-harvesting complexes to core of PSII. A newly-designed chlorophyll fluorescence parameter (a differential, i.e. the difference between the maximum value-normalized FV/FM, and phi PSII) was used in order to evaluate the temperature at which the processes related to photosynthetic electron flow through thylakoid membrane carriers (phi PSII) and the energy flow through PSII (FV/FM) differed to a largest extent. This parameters proved to be temperature-dependent and useful in the evaluation of cryoresistance. Based on our study, H. lugubris, its primary photosynthetic processes in particular, might be considered as higly resistant to sub-zero temperature.</t>
  </si>
  <si>
    <t>[Hajek, Josef; Bartak, Milos; Sekerak Jr, Jiri] Masaryk Univ, Fac Sci, Dept Expt Biol, Lab Photosynthet Proc, Kamenice 5, Brno 62500, Czech Republic; [Hajek, Josef] Mendel Univ Brno, Fac Forestry &amp; Wood Technol, Dept Forest Protect &amp; Wildlife Management FFWT, Zemedelska 3, Brno 61300, Czech Republic; [Casanova-Katny, Angelica] Pontificia Univ Catolica Chile, Lab Plant Ecophysiol, Luis Rivas Canto Bldg,Rudecindo Ortega 3694, Temuco, Chile</t>
  </si>
  <si>
    <t>Masaryk University Brno; Mendel University in Brno; Pontificia Universidad Catolica de Chile</t>
  </si>
  <si>
    <t>Hájek, J (corresponding author), Masaryk Univ, Fac Sci, Dept Expt Biol, Lab Photosynthet Proc, Kamenice 5, Brno 62500, Czech Republic.;Hájek, J (corresponding author), Mendel Univ Brno, Fac Forestry &amp; Wood Technol, Dept Forest Protect &amp; Wildlife Management FFWT, Zemedelska 3, Brno 61300, Czech Republic.</t>
  </si>
  <si>
    <t>jhajek@sci.muni.cz</t>
  </si>
  <si>
    <t>Hájek, Josef/F-4694-2019</t>
  </si>
  <si>
    <t>Hájek, Josef/0000-0002-2679-1707</t>
  </si>
  <si>
    <t>Czech Antarctic Research Infrastructure, Czech Ministry of Education, Youth and Sports, Czech Republic [CZ.02.1.01/0.0/0.0/16_013/0001708, VAN2023]; ECOPOLARIS [CZ.02.1.01/0.0/0.0/16_013/0001708]</t>
  </si>
  <si>
    <t>Czech Antarctic Research Infrastructure, Czech Ministry of Education, Youth and Sports, Czech Republic; ECOPOLARIS</t>
  </si>
  <si>
    <t>The funding provided from the projects VAN2023 (Czech Antarctic Research Infrastructure, Czech Ministry of Education, Youth and Sports, Czech Republic) and ECOPOLARIS (CZ.02.1.01/0.0/0.0/16_013/0001708) are acknowledged. The authors are grateful to anonymous reviewers who helped by their comments and suggestions to improve the manuscript.</t>
  </si>
  <si>
    <t>10.5817/CPR2023-1-10</t>
  </si>
  <si>
    <t>X5AV6</t>
  </si>
  <si>
    <t>WOS:001098584100001</t>
  </si>
  <si>
    <t>Bageston, JV; Wrasse, CM; Giongo, GA; Correia, E; Figueiredo, CAOB; Gobbi, D; Takahashi, H; Batista, PP; Da Costa, RAB</t>
  </si>
  <si>
    <t>Bageston, Jose Valentin; Wrasse, Cristiano Max; Giongo, Gabriel Augusto; Correia, Emilia; Figueiredo, Cosme Alexandre O. B.; Gobbi, Delano; Takahashi, Hisao; Batista, Paulo P.; Da Costa, Ricardo A. B.</t>
  </si>
  <si>
    <t>Historical line of airglow observations at Comandante Ferraz Brazilian Station: measurements of temperature and studies on gravity waves</t>
  </si>
  <si>
    <t>Mesosphere; Antarctica; Mesospheric Temperature; Atmospheric Gravity Waves; Atmospheric Coupling</t>
  </si>
  <si>
    <t>KING GEORGE ISLAND; ROTATIONAL TEMPERATURE; MESOSPHERIC FRONT; ANTARCTICA; MIDDLE; DAVIS; BAND</t>
  </si>
  <si>
    <t>The thermal dynamics of the upper atmosphere, especially in the mesosphere, have been improving our understanding about the effects of climate change, as well as how the dynamics and general circulation in the upper atmosphere are driven by different types of waves, such as the atmospheric gravity waves, planetary waves and atmospheric tides. In order to study the upper atmospheric temperature variability and gravity waves, several research groups have been employing the remote technique of observing the airglow emissions originated in the upper mesosphere and lower thermosphere, besides emissions from the ionosphere. INPE's airglow group started the studies on emissions from the upper atmosphere to investigate temperature and dynamics in the mesosphere, thermosphere/ionosphere at the end of 70's. However, only in 2001 this group sent the first airglow experiment to the Brazilian Antarctic Station Comandante Ferraz (EACF) to measure the OH (8-3) emission and temperature. From that year to 2014, several other experiments were carried out at EACF, not only to measure the temperature and airglow intensities, but also to observe gravity waves, winds and other related phenomena. This paper presents airglow experiments at EACF from 2001 to the present, including illustrations, examples of already published results, and unpublished data.</t>
  </si>
  <si>
    <t>[Bageston, Jose Valentin] Inst Nacl Pesquisas Espaciais INPE, Coordenacao Espacial Sul COESU, Av Roraima,1000, BR-97105970 Santa Maria, RS, Brazil; [Wrasse, Cristiano Max; Giongo, Gabriel Augusto; Correia, Emilia; Figueiredo, Cosme Alexandre O. B.; Gobbi, Delano; Takahashi, Hisao; Batista, Paulo P.] Inst Nacl Pesquisas Espaciais INPE, Div Clima Espacial, Av Astronautas,1758,Jardim Da Granja, BR-12227010 Sao Jose Dos Campos, SP, Brazil; [Correia, Emilia] Univ Presbiteriana Mackenzie, Ctr Radio Astron &amp; Astrofis Mackenzie, Rua Consolacao,930, BR-01302907 Sao Paulo, SP, Brazil; [Da Costa, Ricardo A. B.] Univ Fed Campina Grande UFCG, Unidade Acad Fis, Av Aprigio Veloso,882,Bodocongo, BR-58429900 Campina Grande, PB, Brazil</t>
  </si>
  <si>
    <t>Instituto Nacional de Pesquisas Espaciais (INPE); Instituto Nacional de Pesquisas Espaciais (INPE)</t>
  </si>
  <si>
    <t>Bageston, JV (corresponding author), Inst Nacl Pesquisas Espaciais INPE, Coordenacao Espacial Sul COESU, Av Roraima,1000, BR-97105970 Santa Maria, RS, Brazil.</t>
  </si>
  <si>
    <t>jose.bageston@inpe.br</t>
  </si>
  <si>
    <t>BATISTA, PAULO PRADO/C-2616-2009; Correia, Emilia/F-6802-2012; Oliveira Barros Figueiredo, Cosme Alexandre/S-7218-2017</t>
  </si>
  <si>
    <t>BATISTA, PAULO PRADO/0000-0002-5448-5803; Correia, Emilia/0000-0003-4778-3834; Oliveira Barros Figueiredo, Cosme Alexandre/0000-0003-4423-5111</t>
  </si>
  <si>
    <t>Conselho Nacional de Desenvolvimento Cientifico e Tecnologico (CNPq); Sao Paulo Research Foundation - FAPESP; National Institute for Space Research (INPE/MCTI) [406690/2013-8, 303299/2016-9]; FAPESP [2019/05455-2]; Fundacao de Apoio a Pesquisa do Estado da Paraiba; CNPq [2018/09066-8, 2019/22548-4, 310927/2020-0]; Coordenacaeo de Aperfeicoamento de Pessoalde Nivel Superior (CAPES) [2010/06608-2]; NSF/OPP [303871/2023-7, 151593/2009-4, 001]; Brazilian Ministry of Science, Technology, and Innovation (MCTI) [140401/2021-0]; Brazilian Space Agency (AEB) [ATM-0634650, AGS-1744801]; [PO 20VB.0009]</t>
  </si>
  <si>
    <t>Conselho Nacional de Desenvolvimento Cientifico e Tecnologico (CNPq)(Conselho Nacional de Desenvolvimento Cientifico e Tecnologico (CNPQ)); Sao Paulo Research Foundation - FAPESP(Fundacao de Amparo a Pesquisa do Estado de Sao Paulo (FAPESP)); National Institute for Space Research (INPE/MCTI); FAPESP(Fundacao de Amparo a Pesquisa do Estado de Sao Paulo (FAPESP)); Fundacao de Apoio a Pesquisa do Estado da Paraiba(Fundacao de Apoio a Pesquisa do Estado da Paraiba (FAPESQPB)); CNPq(Conselho Nacional de Desenvolvimento Cientifico e Tecnologico (CNPQ)); Coordenacaeo de Aperfeicoamento de Pessoalde Nivel Superior (CAPES); NSF/OPP(National Science Foundation (NSF)NSF - Directorate for Geosciences (GEO)); Brazilian Ministry of Science, Technology, and Innovation (MCTI); Brazilian Space Agency (AEB);</t>
  </si>
  <si>
    <t>E. Correia thanks the Conselho Nacional de Desenvolvimento Cientifico e Tecnologico (CNPq, processes no: 406690/2013-8 and 303299/2016-9), Sao Paulo Research Foundation - FAPESP (grant no. 2019/05455-2) for individual research support, and the National Institute for Space Research (INPE/MCTI). C.A.O.B. Figueiredo thank the FAPESP under the processes 2018/09066-8 and 2019/22548-4, and Fundacao de Apoio a Pesquisa do Estado da Paraiba (process 303871/2023-7). G.A. Giongo thanks the CNPq for the Ph.D. scholarship grant under the process number 140401/2021-0, and also the Coordenacaeo de Aperfeicoamento de Pessoalde Nivel Superior (CAPES) for the financial support during the master thesis (financial code 001). J.V. Bageston thanks the CNPq for the Junior post-doctorate under process no 151593/2009-4 and FAPESP for the post-doctorate grant given in 2010 under the process no 2010/06608-2. . H. Takahashi thanks the CNPq for the senior productive grant number 310927/2020-0. P. Batista thanks the CNPq for the Research Productivity Grant 309140/2020-0. The high-performance all-sky airglow imager installed at EACF in 2014 was provided by the Brazilian Study and Monitoring of Space Weather (Embrace) Program of INPE. We should acknowledge the NSF/OPP grants ATM-0634650 and AGS-1744801 used for the installation, maintenance, and operations of the Drake Antarctic Agile Meteor Radar (DrAAMER) that was deployed at the Brazilian Antarctic Station Comandante Ferraz in 2010, and it was fully repaired during the summer (Feb.-Mar.) of 2020. The authors also acknowledge the support of the Brazilian Ministry of Science, Technology, and Innovation (MCTI) and the Brazilian Space Agency (AEB) who supported the present work under the grants PO 20VB.0009 The Ministry of the Environment (MMA), and Inter-Ministry Commission for Sea Resources (CIRM) for supporting the Antarctic activities.</t>
  </si>
  <si>
    <t>e20210836</t>
  </si>
  <si>
    <t>10.1590/0001-3765202320210836</t>
  </si>
  <si>
    <t>X8QG0</t>
  </si>
  <si>
    <t>WOS:001101024300001</t>
  </si>
  <si>
    <t>Buric, D; Penjisevic, I</t>
  </si>
  <si>
    <t>Buric, Dragan; Penjisevic, Ivana</t>
  </si>
  <si>
    <t>Southern Hemisphere temperature trend in association with greenhouse gases, El Nino Southern Oscillation, and Antarctic Oscillation</t>
  </si>
  <si>
    <t>IDOJARAS</t>
  </si>
  <si>
    <t>temperature trend; Southern Hemisphere; GHG; radiative forcing; ENSO; AAO</t>
  </si>
  <si>
    <t>POLAR AMPLIFICATION; CLIMATE-CHANGE; EXTRATROPICAL CIRCULATION; WARMING HIATUS; ANNULAR MODES; PACIFIC; VARIABILITY; ENSO</t>
  </si>
  <si>
    <t>In this study, the trend of mean seasonal and annual temperatures of the Southern Hemisphere was calculated based on the HadCRUT5 and NASA-GISS data networks, for the period 1901-2021 and 1951-2021. In order to determine the possible effects on temperature, man, or nature, the relationship with CO2 concentration, GHG (greenhouse gases) radiation exposure, and teleconnections ENSO (El Nino Southern Oscillation) and AAO (Antarctic Oscillation) was examined. The obtained results indicate that there is a significant increasing trend of seasonal and annual temperatures in the Southern Hemisphere, which intensified in the period between 1951 and 2021 (from 0.11 to 0.12 degrees C per decade). According to climate models, one of the indicators of the dominance of the anthropogenic greenhouse effect is the polar amplification (more intense temperature rise going from the equator to the poles). However, polar amplification was not recorded in the Southern Hemisphere, due to the fact that there was the smallest increase in temperature in the belt between 44 degrees S-64 degrees S. Moreover, in the mentioned zone, the positive trend was smaller in the period between 1951 and 2021 than in the period between 1901 and 2021, which was not to be expected. Nevertheless, the Southern Hemisphere temperature showed a statistically significantly strong correlation with the concentration of CO2 observed at the Mauna Loa station. It was also found that there is a significant relationship between the energy impact of greenhouse gases and the Southern Hemisphere temperature, which is logical, because with the growth of GHG, positive radiative forcing increases. When it comes to the impact of telecommunications, both considered teleconnections (ENSO and AAO) have an impact on changes in the temperature of the Southern Hemisphere.</t>
  </si>
  <si>
    <t>[Buric, Dragan] Univ Montenegro, Dept Geog, Fac Philosophy, Danila Bojovica Bb, Niksic 81400, Montenegro; [Penjisevic, Ivana] Univ Pristina Kosovska Mitrov, Fac Sci &amp; Math, Dept Geog, Lole Ribara 29, Kosovska Mitrovica 38220, Serbia</t>
  </si>
  <si>
    <t>University of Montenegro; Universiteti i Prishtines</t>
  </si>
  <si>
    <t>Buric, D (corresponding author), Univ Montenegro, Dept Geog, Fac Philosophy, Danila Bojovica Bb, Niksic 81400, Montenegro.</t>
  </si>
  <si>
    <t>dragan.buric@meteo.co.me</t>
  </si>
  <si>
    <t>Buric, Dragan/ACB-1921-2022</t>
  </si>
  <si>
    <t>Buric, Dragan/0000-0003-0905-1915; Penjisevic, Ivana/0000-0002-9605-0488</t>
  </si>
  <si>
    <t>HUNGARIAN METEOROLOGICAL SERVICE</t>
  </si>
  <si>
    <t>BUDAPEST</t>
  </si>
  <si>
    <t>PO BOX 38, BUDAPEST, H-1525, HUNGARY</t>
  </si>
  <si>
    <t>0324-6329</t>
  </si>
  <si>
    <t>Idojaras</t>
  </si>
  <si>
    <t>JAN-MAR</t>
  </si>
  <si>
    <t>10.28974/idojaras.2023.1.2</t>
  </si>
  <si>
    <t>W9LP8</t>
  </si>
  <si>
    <t>Green Accepted, gold</t>
  </si>
  <si>
    <t>WOS:001094775300002</t>
  </si>
  <si>
    <t>Yudin, NS; Larkin, DM</t>
  </si>
  <si>
    <t>Yudin, N. S.; Larkin, D. M.</t>
  </si>
  <si>
    <t>Candidate genes for domestication and resistance to cold climate according to whole genome sequencing data of Russian cattle and sheep breeds</t>
  </si>
  <si>
    <t>VAVILOVSKII ZHURNAL GENETIKI I SELEKTSII</t>
  </si>
  <si>
    <t>signatures of selection; adaptation; cold; cattle; sheep; local breed; Russia; whole genome sequencing</t>
  </si>
  <si>
    <t>SELECTION; ADAPTATION; SIGNATURES; EVOLUTION; REVEALS; LOCI; ACCLIMATION; HISTORY; YEAST; FAT</t>
  </si>
  <si>
    <t>It is known that different species of animals, when living in the same environmental conditions, can form similar phenotypes. The study of the convergent evolution of several species under the influence of the same environmental factor makes it possible to identify common mechanisms of genetic adaptation. Local cattle and sheep breeds have been formed over thousands of years under the influence of domestication, as well as selection aimed at adaptation to the local environment and meeting human needs. Previously, we identified a number of candidate genes in genome regions potentially selected during domestication and adaptation to the climatic conditions of Russia, in local breeds of cattle and sheep using whole genome genotyping data. However, these data are of low resolution and do not reveal most nucleotide substitutions. The aim of the work was to create, using the whole genome sequencing data, a list of genes associated with domestication, selection and adaptation in Russian cattle and sheep breeds, as well as to identify candidate genes and metabolic pathways for selection for cold adaptation. We used our original data on the search for signatures of selection in the genomes of Russian cattle (Yakut, Kholmogory, Buryat, Wagyu) and sheep (Baikal, Tuva) breeds. We used the HapFLK, DCMS, FST and PBS methods to identify DNA regions with signatures of selection. The number of candidate genes in potentially selective regions was 946 in cattle and 151 in sheep. We showed that the studied Russian cattle and sheep breeds have at least 10 genes in common, apparently involved in the processes of adaptation/selection, including adaptation to a cold climate, including the ASTN2, PM20D1, TMEM176A, and GLIS1 genes. Based on the intersection with the list of selected genes in at least two Arctic/Antarctic mammal species, 20 and 8 genes, have been identified in cattle and sheep, respectively, that are potentially involved in cold adaptation. Among them, the most promising for further research are the ASPH, NCKAP5L, SERPINF1, and SND1 genes. Gene ontology analysis indicated the existence of possible common biochemical pathways for adaptation to cold in domestic and wild mammals associated with cytoskeleton disassembly and apoptosis.</t>
  </si>
  <si>
    <t>[Yudin, N. S.] Russian Acad Sci, Inst Cytol &amp; Genet, Siberian Branch, Novosibirsk, Russia; [Larkin, D. M.] Univ London, Royal Vet Coll, London, England</t>
  </si>
  <si>
    <t>Russian Academy of Sciences; Institute of Cytology &amp; Genetics ICG SB RAS; University of London; University of London Royal Veterinary College</t>
  </si>
  <si>
    <t>Larkin, DM (corresponding author), Univ London, Royal Vet Coll, London, England.</t>
  </si>
  <si>
    <t>dmlarkin@gmail.com</t>
  </si>
  <si>
    <t>Larkin, Denis/0000-0001-7859-6201; Yudin, Nikolay/0000-0002-1947-5554</t>
  </si>
  <si>
    <t>Russian Scientific Foundation (RSF) [19-76-20026]</t>
  </si>
  <si>
    <t>Russian Scientific Foundation (RSF)(Russian Science Foundation (RSF))</t>
  </si>
  <si>
    <t>Acknowledgements. This work was funded by the Russian Scientific Foundation (RSF) grant No. 19-76-20026.</t>
  </si>
  <si>
    <t>RUSSIAN ACAD SCI, INST CYTOLOGY GENETICS</t>
  </si>
  <si>
    <t>NOVOSIBIRSK</t>
  </si>
  <si>
    <t>PR LAVRENTYEVA 10, NOVOSIBIRSK, 630090, RUSSIA</t>
  </si>
  <si>
    <t>2500-0462</t>
  </si>
  <si>
    <t>2500-3259</t>
  </si>
  <si>
    <t>VAVILOVSKII ZH GENET</t>
  </si>
  <si>
    <t>Vavilovskii Zhurnal Genet. Sel.</t>
  </si>
  <si>
    <t>10.18699/VJGB-23-56</t>
  </si>
  <si>
    <t>Agriculture, Multidisciplinary; Genetics &amp; Heredity</t>
  </si>
  <si>
    <t>Agriculture; Genetics &amp; Heredity</t>
  </si>
  <si>
    <t>X3HD9</t>
  </si>
  <si>
    <t>WOS:001097388000005</t>
  </si>
  <si>
    <t>Cheng, Q; Hao, WF; Ma, C; Ye, F; Luo, J; Qu, Y</t>
  </si>
  <si>
    <t>Cheng, Qing; Hao, Weifeng; Ma, Chao; Ye, Fan; Luo, Jie; Qu, Ying</t>
  </si>
  <si>
    <t>Daily Arctic Sea-Ice Albedo Retrieval With a Multiband Reflectance Iteration Algorithm</t>
  </si>
  <si>
    <t>Albedo; Arctic sea ice; Moderate Resolution Imaging Spectroradiometer (MODIS); Multiband reflectance iteration (MBRI); multiband reflectance</t>
  </si>
  <si>
    <t>BROAD-BAND ALBEDO; IN-SITU OBSERVATIONS; SNOW GRAIN-SIZE; SURFACE ALBEDO; SATELLITE-OBSERVATIONS; GREENLAND; PRODUCT; SCATTERING; FEEDBACK; CLOUD</t>
  </si>
  <si>
    <t>Arctic sea-ice albedo plays a crucial role in regional and global climate changes. A high-quality albedo product over Arctic sea-ice surfaces with fine spatial and temporal resolution is scarce and therefore greatly required. This study proposed a new and operational algorithm named multiband reflectance iteration (MBRI) to estimate broadband albedo of Arctic sea ice from Moderate Resolution Imaging Spectroradiometer (MODIS). This algorithm uses an iteration procedure with multiband spectral reflectance data to retrieve the sea-ice bidirectional reflectance distribution function (BRDF), which is built based on the combination of the asymptotic radiative transfer (ART) model and the three-component ocean water albedo (TCOWA) model. Then, the broadband albedo is calculated from single-angular/date observations of MODIS. A daily 500-m albedo product over Arctic sea-ice regions from 2000 to 2017 is generated. Validation with the in situ sea-ice measurements from Tara Arctic Ocean expedition shows that the MBRI retrieved albedo has a correlation coefficient ${R}$ of 0.79, a bias of 0.005, and an RMSE of 0.067. Moreover, compared with the automatic weather station (AWS) measurements from the Program for Monitoring of the Greenland Ice Sheet (PROMICE), the MBRI albedo achieves more satisfactory performance with an ${R}$ value of 0.92, a bias of 0.019, and an RMSE of 0.062. Finally, the MBRI albedo trend analysis reveals a decreasing trend for Arctic sea-ice albedo throughout the past two decades, with a significant trend slope of -0.21% per year in the September sea-ice zone.</t>
  </si>
  <si>
    <t>[Cheng, Qing; Ye, Fan] China Univ Geosci, Sch Comp Sci, Wuhan 430074, Hubei, Peoples R China; [Hao, Weifeng; Ma, Chao] Wuhan Univ, Chinese Antarctic Ctr Surveying &amp; Mapping, Wuhan 430079, Hubei, Peoples R China; [Luo, Jie] Wuhan Univ, Sch Remote Sensing &amp; Informat Engn, Wuhan 430079, Hubei, Peoples R China; [Qu, Ying] Northeast Normal Univ, Sch Geog Sci, Changchun 130024, Jilin, Peoples R China</t>
  </si>
  <si>
    <t>China University of Geosciences; Wuhan University; Wuhan University; Northeast Normal University - China</t>
  </si>
  <si>
    <t>Hao, WF (corresponding author), Wuhan Univ, Chinese Antarctic Ctr Surveying &amp; Mapping, Wuhan 430079, Hubei, Peoples R China.</t>
  </si>
  <si>
    <t>qingcheng@whu.edu.cn; haowf@whu.edu.cn; macwhu@whu.edu.cn; yefan@cug.edu.cn; rogerluo@whu.edu.cn; quy100@nenu.edu.cn</t>
  </si>
  <si>
    <t>Qu, Ying/J-8801-2012</t>
  </si>
  <si>
    <t>Qu, Ying/0000-0001-9683-7136</t>
  </si>
  <si>
    <t>National Natural Science Foundation of China (NSFC) [42171383, 41971287]; National Key Research and Development Program of China [2017YFA0603104]; Fundamental Research Funds for the Central Universities, China University of Geosciences (Wuhan) [CUG2106212]</t>
  </si>
  <si>
    <t>National Natural Science Foundation of China (NSFC)(National Natural Science Foundation of China (NSFC)); National Key Research and Development Program of China; Fundamental Research Funds for the Central Universities, China University of Geosciences (Wuhan)(Fundamental Research Funds for the Central Universities)</t>
  </si>
  <si>
    <t>This work was supported in part by the National Natural Science Foundation of China (NSFC) under Grant 42171383 and Grant 41971287; in part by the National Key Research and Development Program of China under Grant 2017YFA0603104; and in part by the Fundamental Research Funds for the Central Universities, China University of Geosciences (Wuhan) under Grant CUG2106212.</t>
  </si>
  <si>
    <t>10.1109/TGRS.2023.3323506</t>
  </si>
  <si>
    <t>W3EC5</t>
  </si>
  <si>
    <t>WOS:001090483200026</t>
  </si>
  <si>
    <t>Coulson, PG</t>
  </si>
  <si>
    <t>Coulson, Peter Graham</t>
  </si>
  <si>
    <t>The age estimation of an extremely old Silver Drummer Kyphosus sydneyanus (Gunther 1886) from southern Western Australia</t>
  </si>
  <si>
    <t>PACIFIC CONSERVATION BIOLOGY</t>
  </si>
  <si>
    <t>bycatch; Kyphosinae; longevity; mortality; otoliths; rocky reef; teleost; temperate</t>
  </si>
  <si>
    <t>HERBIVOROUS FISH; GROWTH; GIRELLA; COAST; REPRODUCTION; LONGEVITY; WATERS</t>
  </si>
  <si>
    <t>Kyphosids are conspicuous members of temperate and tropical reef fish communities. Some species contribute to commercial and recreational fisheries but are vulnerable to capture in large numbers due to their schooling behaviour and site fidelity. Previous ageing studies of kyphosids have determined that some species are long-lived, with maximum ages &gt;40 years, which is a trait often associated with low natural mortality rates. Kyphosus sydneyanus is one of the largest kyphosids and has historically been caught in large numbers as a bycatch species in the demersal gillnet fishery in southern Western Australia. A large K. sydneyanus specimen was collected from that fishery in March 2021. A count of the growth (opaque) zones in the sectioned otoliths were used to determine that the age of this individual was 93 years, more than double the previous maximum age of a Kyphosus species and the longest-lived coastal species in southern Australia.</t>
  </si>
  <si>
    <t>[Coulson, Peter Graham] Govt Western Australia, Dept Primary Ind &amp; Reg Dev, Western Australian Fisheries &amp; Marine Res Labs, POB 20, North Beach, WA 6920, Australia; [Coulson, Peter Graham] Murdoch Univ, Ctr Sustainable Aquat Ecosyst, 90 South St, Murdoch, WA 6150, Australia; [Coulson, Peter Graham] Univ Tasmania, Inst Marine &amp; Antarctic Studies IMAS, Coll Sci &amp; Engn, Private Bag 49, Hobart, Tas 7001, Australia</t>
  </si>
  <si>
    <t>Western Australian Fisheries &amp; Marine Research Laboratories; Government of Western Australia; Murdoch University; University of Tasmania</t>
  </si>
  <si>
    <t>Coulson, PG (corresponding author), Univ Tasmania, Inst Marine &amp; Antarctic Studies IMAS, Coll Sci &amp; Engn, Private Bag 49, Hobart, Tas 7001, Australia.</t>
  </si>
  <si>
    <t>peter.coulson@utas.edu.au</t>
  </si>
  <si>
    <t>Coulson, Peter/0000-0003-0165-0788</t>
  </si>
  <si>
    <t>Many thanks to Mark Burton from the Department of Primary Industries and Regional Development (DPIRD) for preparing excellent otolith sections. Thank you to the two anonymous reviewers for their constructive comments on an earlier version of this manuscrip</t>
  </si>
  <si>
    <t>Many thanks to Mark Burton from the Department of Primary Industries and Regional Development (DPIRD) for preparing excellent otolith sections. Thank you to the two anonymous reviewers for their constructive comments on an earlier version of this manuscript.</t>
  </si>
  <si>
    <t>1038-2097</t>
  </si>
  <si>
    <t>2204-4604</t>
  </si>
  <si>
    <t>PAC CONSERV BIOL</t>
  </si>
  <si>
    <t>Pac. Conserv. Biol.</t>
  </si>
  <si>
    <t>10.1071/PC22047</t>
  </si>
  <si>
    <t>W6HF5</t>
  </si>
  <si>
    <t>WOS:001092610200008</t>
  </si>
  <si>
    <t>Du, XX; Ahmad, L; Wang, BJ; Ding, MS; Elsaid, FG; Wen, HM; Yang, JB; Khan, A</t>
  </si>
  <si>
    <t>Du, Xiaoxia; Ahmad, Latif; Wang, Baojie; Ding, Mengsong; Elsaid, Fahmy Gad; Wen, Huamei; Yang, Jinbao; Khan, Ahrar</t>
  </si>
  <si>
    <t>Infectious Bursal Disease: Distribution, Pathogenesis and Pathology</t>
  </si>
  <si>
    <t>PAKISTAN VETERINARY JOURNAL</t>
  </si>
  <si>
    <t>Diagnosis; Gumboro disease; Hots; Infectious bursal disease; Lesions; Pathogenesis</t>
  </si>
  <si>
    <t>LIVING WILD BIRDS; MOLECULAR CHARACTERIZATION; VIRUS-ANTIBODIES; VACCINE VIRUS; VIRULENT; POULTRY; CHICKENS; PATHOGENICITY; LYMPHOCYTES; PREVALENCE</t>
  </si>
  <si>
    <t>Infectious bursal disease (IBD) or Gumboro disease is caused by the genera Avibirnavirus and the family Birnaviridae. For the last 66 years, this disease has been causing huge morbidity and mortality leading to huge economic losses throughout the world. For this review, we collected data from PubMed, CNKI, and Google Scholar, especially for the last decade. Articles containing significant information were thrashed, extracted, and information being presented. IBD virus (IBDV) could be attenuated, virulent (vIBDV), and very virulent (vvIBDV). The host range is very wide including chickens, turkeys, Baltic ducks, pigeons, speckled pigeons, Herring gulls, ostriches, pied cordon blues, laughing doves, Antarctic penguins, and sparrows. The incubation period is very short, i.e., 2-3 days. The virus occurs worldwide, and prevalence varies from 8 to 100%. IBDV has a great affinity with lymphatic tissues. This disease is characterized by lesions of bursal hemorrhagic and inflamed lesions followed by atrophy thus leading to immunosuppression. Effective vaccination programs and strict biosecurity measures are mandatory for its prevention and control. The starring role of wild birds in the epidemiology of the IBD needs to be clarified as wild birds have indirect or direct contact with commercial chicken rearing. We concluded that infectious bursal disease is still a havoc in the poultry industry throughout the world. Vaccination is a successful tool to control and inhibit IBD. Vaccination failure could occur; however, farmers' education is necessary for successful vaccination and disease prevention/control.</t>
  </si>
  <si>
    <t>[Du, Xiaoxia; Wang, Baojie; Ding, Mengsong; Wen, Huamei; Yang, Jinbao; Khan, Ahrar] Shandong Vocat Anim Sci &amp; Vet Coll, Weifang, Shandong, Peoples R China; [Ahmad, Latif] Baqai Med Univ, Pathol Dept, Vet Campus, Karachi 75340, Pakistan; [Elsaid, Fahmy Gad] King Khalid Univ, Coll Sci, Biol Dept, POB 960, Abha 61421, Al Faraa, Saudi Arabia</t>
  </si>
  <si>
    <t>Baqai Medical University; King Khalid University</t>
  </si>
  <si>
    <t>Khan, A (corresponding author), Shandong Vocat Anim Sci &amp; Vet Coll, Weifang, Shandong, Peoples R China.</t>
  </si>
  <si>
    <t>ahrar1122@yahoo.com</t>
  </si>
  <si>
    <t>Ahmad, Latif/AAG-1094-2019; Yang, Jinbao/AAY-2477-2020; Elsaid, Fahmy Gad/HGC-7527-2022</t>
  </si>
  <si>
    <t>Yang, Jinbao/0000-0001-7421-0092; Elsaid, Fahmy Gad/0000-0002-7754-2524; Ahmad, Latif/0000-0002-6618-2033</t>
  </si>
  <si>
    <t>Deanship of Scientific Research at King Khalid University [RGP2/12/44]</t>
  </si>
  <si>
    <t>Deanship of Scientific Research at King Khalid University</t>
  </si>
  <si>
    <t>Acknowledgements: The authors extend their appreciation to the Deanship of Scientific Research at King Khalid University for funding this work through large group Research Project under grant number RGP2/12/44.</t>
  </si>
  <si>
    <t>UNIV AGRICULTURE, FAC VETERINARY SCIENCE</t>
  </si>
  <si>
    <t>FAISALABAD</t>
  </si>
  <si>
    <t>UNIV AGRICULTURE, FAC VETERINARY SCIENCE, FAISALABAD, 00000, PAKISTAN</t>
  </si>
  <si>
    <t>0253-8318</t>
  </si>
  <si>
    <t>2074-7764</t>
  </si>
  <si>
    <t>PAK VET J</t>
  </si>
  <si>
    <t>Pak. Vet. J.</t>
  </si>
  <si>
    <t>10.29261/pakvetj/2023.091</t>
  </si>
  <si>
    <t>Veterinary Sciences</t>
  </si>
  <si>
    <t>U5DT2</t>
  </si>
  <si>
    <t>WOS:001085009600002</t>
  </si>
  <si>
    <t>Baba, S; Nantasin, P; Kamei, A; Kitano, I; Section, YM; Setiawan, NI; Dashbaatar, DO; Hokada, T</t>
  </si>
  <si>
    <t>Baba, Sotaro; Nantasin, Prayath; Kamei, Atsushi; Kitano, Ippei; Section, Yoichi Motoyoshi; Setiawan, Nugroho I.; Dashbaatar, Davaa-Ochir; Hokada, Tomokazu</t>
  </si>
  <si>
    <t>Counter-clockwise P-T history deduced from kyanite-bearing pelitic gneiss in Tenmondai Rock, Lutzow-Holm Complex, East Antarctica</t>
  </si>
  <si>
    <t>NEOPROTEROZOIC ARC MAGMATISM; DRONNING MAUD LAND; SRI-LANKA; GEOCHRONOLOGICAL CONSTRAINTS; PHASE-EQUILIBRIA; AKARUI POINT; PETROLOGY; MODEL; GEOCHEMISTRY; GEOTHERMOMETRY</t>
  </si>
  <si>
    <t>This paper first reports the counter-clockwise pressure-temperature (P-T) path for the Lutzow-Holm Complex in East Antarctica. The metamorphic textures of kyanite-bearing pelitic gneisses from Tenmondai Rock including earlier spinel and ilmenite inclusions, geothermobarometric data, and pseudosection modeling indicate that the pressure increases prior to the peak metamorphic conditions at around 9 +/- 0.5 kbar and 770-820 degrees C, followed by cooling to kyanite-stability field. We conclude that these gneisses underwent granulite-facies meta-morphism with a counter-clockwise P-T path, but this contrasts with the widely recognized clockwise P-T path of the Lutzow-Holm Complex basement rocks in general. One plausible hypothesis we proposed could be that this counter-clockwise P-T path originated from magmatism with late compression and the rocks of the different structural levels are juxtaposed, while acknowledging that this hypothesis conflicts with previous studies and that further work is needed to clarify these issues.</t>
  </si>
  <si>
    <t>[Baba, Sotaro] Univ Ryukyus, Dept Sci Educ, Okinawa 9030213, Japan; [Nantasin, Prayath] Kasetsart Univ, Dept Earth Sci, Fac Sci, Bangkok 10900, Thailand; [Kamei, Atsushi] Shimane Univ, Dept Earth Sci, Matsue 6908504, Japan; [Kitano, Ippei] Kyushu Univ, Fac Social &amp; Cultural Studies, Div Earth Sci, Fukuoka 8190395, Japan; [Kitano, Ippei] Hokkaido Univ, Hokkaido Univ Museum, Sapporo, Hokkaido 0600810, Japan; [Section, Yoichi Motoyoshi; Hokada, Tomokazu] Natl Inst Polar Res, Tokyo 1908518, Japan; [Setiawan, Nugroho I.] Univ Gadjah Mada, Fac Engn, Dept Geol Engn, Di Yogyakarta 55281, Indonesia; [Dashbaatar, Davaa-Ochir] Mongolian Univ Sci &amp; Technol, Ulaanbaatar 14191, Mongolia; [Hokada, Tomokazu] Grad Univ Adv Studies SOKENDAI, Dept Polar Sci, Tokyo 1908518, Japan</t>
  </si>
  <si>
    <t>Baba, S (corresponding author), Univ Ryukyus, Dept Sci Educ, Okinawa 9030213, Japan.</t>
  </si>
  <si>
    <t>National Institute of Polar Research [25-17, 2-20]; Research Organization of Information and Systems [ROIS-DSJOINT 004RP2018]</t>
  </si>
  <si>
    <t>We would like to thank the members of the 58th Japan Antarctic Research Expedition and the crew of the icebreaker SHIRASE. SB acknowledges C. Kitano for support of sample preparations at the University of the Ryukyus. We thank T. Tsunogae and anonymous reviewers for constructive comments and T. Kawakami for editorial handling. SB and PN thank J. Booth for his improvement of the English and comments. This work was partly supported by the National Institute of Polar Research [General Collaboration Projects 25-17 and 2-20], the Research Organization of Information and Systems [ROIS-DSJOINT 004RP2018].</t>
  </si>
  <si>
    <t>WOS:001089014300006</t>
  </si>
  <si>
    <t>Grantham, GH; Satish-Kumar, M; Horie, K; Ueckermann, H</t>
  </si>
  <si>
    <t>Grantham, Geoffrey H.; Satish-Kumar, M.; Horie, Kenji; Ueckermann, Henriette</t>
  </si>
  <si>
    <t>The Kuunga Accretionary Complex of Sverdrupfjella and Gjelsvikfjella, western Dronning Maud Land, Antarctica</t>
  </si>
  <si>
    <t>Kuunga orogeny; Sverdrupfjella; Gjelsvikfjella; Structural geology; Geochronology</t>
  </si>
  <si>
    <t>SOR RONDANE MOUNTAINS; EAST-AFRICAN OROGEN; HU SVERDRUPFJELLA; TECTONOTHERMAL EVOLUTION; CONTINENTAL COLLISION; AGE CONSTRAINTS; NE MOZAMBIQUE; T PATH; METAMORPHISM; GONDWANA</t>
  </si>
  <si>
    <t>The similar to 550 Ma Kuunga Orogeny extends from the Damara in Namibia, through the Zambesi and Lurio orogenic belts in Zambia and Mozambique, southern Africa, through Dronning Maud Land and Princess Elizabeth Land, Antarctica into western Australia. Sverdrupfjella is located at the western end of Dronning Maud Land where the Kuunga Orogeny is inferred to post-date and overprint the East African Orogeny. Three complexes are recognized in Sverdrupfjella western Dronning Maud Land, Antarctica. A western basal similar to 1140 Ma Jutulrora Complex, consisting mostly of arc-related tonalitic trondjhemitic orthogneiss with evolved Sr-Nd isotopic signatures with TDm ages &gt;2 Ga. It is structurally overlain by the Fuglefjellet Complex, comprising supracrustal similar to 800-900 Ma carbonates intercalated with quartzo-feldspathic gneisses with detrital zircons of similar to 1000-1200 Ma age with similar to 500 Ma overgrowths. The Fuglefjellet Complex is overlain in the east by the Rootshorga Complex containing paragneisses with minor orthogneisses (similar to 1100-1200 Ma), intruded by granitic orthogneiss of similar age. Strontium-Nd isotopic signatures from the Rootshorga Complex has TDm ages &lt;1.8 Ga. D1 and D2 planar fabrics typically dip to SE with vergence top-to-NW in all complexes. D3 deformation verges top-to-the-SE. In the Jutulrora Complex, D3 comprises similar to 100 m scale folds withNWdipping axial planes, cut by SE dipping dilational granite sheets. In the Rootshorga Complex D3 is characterised by syntectonic granite veins with extensional and compressional displacements with top-to-the SE shear. Discordancies are consistent with low angle thrust planes at Fuglefjellet and Kvikjolen with probable repetition of carbonate layers. Zircon ages of the granitic sheets are 490-500 Ma. Strontium and Nd isotopic signatures of the granitic sheets intruded into all complexes are consistent with melting of Jutulrora Complex crust with Archaean and Mesoproterozoic xenocrysts in some samples. Top-to-SE shear zones displace pegmatites with an inferred age of 520 Ma and are syntectonic with layer parallel similar to 490 Ma granite sheets. P-T-t studies from the Rootshorga Complex yield isothermal decompression paths at similar to 800-900 degrees C with decompression from similar to 1.4 GPa at similar to 570 Ma to similar to 700 degrees C and similar to 0.7 GPa at similar to 500 Ma whereas P-T-t estimates from the Jutulrora Complex are similar to 600-700 degrees C and &lt; similar to 0.8 GPa at similar to 500 Ma with a path consistent with crustal loading. The Rootshorga and Fuglefjellet Complex are inferred to comprise a mega-nappe, emplaced during the Kuunga Orogeny similar to 500 Ma ago, over the footwall Jutulrora Complex. Aerogravity, satellite gravity and seismic tomography data reflecting unusually thick crust are consistent with this interpretation.</t>
  </si>
  <si>
    <t>[Grantham, Geoffrey H.; Ueckermann, Henriette] Univ Johannesburg, Dept Geol, Johannesburg, South Africa; [Satish-Kumar, M.] Niigata Univ, Fac Sci, Niigata 9502181, Japan; [Horie, Kenji] Natl Inst Polar Res, Tachikawa, Tokyo 1908518, Japan</t>
  </si>
  <si>
    <t>University of Johannesburg; Niigata University; Research Organization of Information &amp; Systems (ROIS); National Institute of Polar Research (NIPR) - Japan</t>
  </si>
  <si>
    <t>Grantham, GH (corresponding author), Univ Johannesburg, Dept Geol, Johannesburg, South Africa.</t>
  </si>
  <si>
    <t>ghgrantham@uj.ac.za</t>
  </si>
  <si>
    <t>Satish-Kumar, Madhusoodhan/0000-0003-3604-7399</t>
  </si>
  <si>
    <t>National Research Foundation of the South African National Antarctic Program [93079, 110739]; NRF-NEP under DSTNRF CIMERA [93208]; MEXT KAKENHI [JP15H05831, JP20KK0081, JP21H01182]</t>
  </si>
  <si>
    <t>National Research Foundation of the South African National Antarctic Program; NRF-NEP under DSTNRF CIMERA; MEXT KAKENHI(Ministry of Education, Culture, Sports, Science and Technology, Japan (MEXT)Japan Society for the Promotion of ScienceGrants-in-Aid for Scientific Research (KAKENHI))</t>
  </si>
  <si>
    <t>The National Research Foundation is thanked for research grants 93079 and 110739 for research under the auspices of the South African National Antarctic Program awarded to GHG. The LA-MC-ICPMS equipment at UJ has been funded by NRF-NEP grant #93208 under DSTNRF CIMERA.; This study was supported by MEXT KAKENHI Grant Numbers JP15H05831, JP20KK0081, and JP21H01182 to M. S-K. Special thanks to Rikako Nohara-Imanaka and Toshiro Takahashi at Niigata University for their help.; The Department of Environmental Affairs, South African Air Force and Starlite Aviation are acknowledged for logistical support in the field and on the SA Aghulhas II. Constructive reviews by an anonymous reviewer as well as K. Das are similarly acknowledged as well as editorial handling by T. Kawakami.</t>
  </si>
  <si>
    <t>10.2465/jmps.230125</t>
  </si>
  <si>
    <t>WOS:001089014300010</t>
  </si>
  <si>
    <t>Kitano, Ippei; Hokada, Tomokazu; Baba, Sotaro; Kamei, Atsushi; Motoyoshi, Yoichi; Nantasin, Prayath; Setiawan, Nugroho I.; Dashbaatar, Davaa-Ochir; Toyoshima, Tsuyoshi; Ishikawa, Masahiro; Katori, Takuma; Nakano, Nobuhiko; Osanai, Yasuhito</t>
  </si>
  <si>
    <t>[Kitano, Ippei; Nakano, Nobuhiko; Osanai, Yasuhito] Kyushu Univ, Fac Social &amp; Cultural Studies, Div Earth Sci, Fukuoka 8190395, Japan; [Kitano, Ippei] Hokkaido Univ, Hokkaido Univ Museum, Sapporo, Hokkaido 0600810, Japan; [Hokada, Tomokazu; Motoyoshi, Yoichi] Natl Inst Polar Res, Tokyo 1908518, Japan; [Hokada, Tomokazu; Motoyoshi, Yoichi] Grad Univ Adv Studies SOKENDAI, Dept Polar Sci, Tokyo 1908518, Japan; [Baba, Sotaro] Univ Ryukyus, Dept Sci Educ, Okinawa 9030213, Japan; [Kamei, Atsushi] Shimane Univ, Dept Earth Sci, Matsue, Shimane 6908504, Japan; [Nantasin, Prayath] Kasetsart Univ, Dept Earth Sci, Fac Sci, Bangkok 10900, Thailand; [Setiawan, Nugroho I.] Univ Gadjah Mada, Fac Engn, Dept Geol Engn, Di Yogyakarta 55281, Indonesia; [Dashbaatar, Davaa-Ochir] Mongolian Univ Sci &amp; Technol, Ulaanbaatar 14191, Mongolia; [Toyoshima, Tsuyoshi] Niigata Univ, Dept Geol, Fac Sci, Niigata 9502181, Japan; [Ishikawa, Masahiro] Yokohama Natl Univ, Fac Environm &amp; Informat Sci, Div Nat Environm &amp; Informat, Yokohama 2408501, Japan; [Katori, Takuma] Fossa Magna Museum, Itoigawa 9410056, Japan</t>
  </si>
  <si>
    <t>This study was part of the Science Program of the Japanese Antarctic Research Expedition (JARE). It was supported by the National Institute of Polar Research (NIPR) under MEXT. The fieldwork in this study was conducted by the operations of the 58th and 60th JARE. We thank the members of the 58th and 60th JARE and the crew of the icebreaker SHIRASE. We also acknowledge all members of the JARE geology group for their fruitful discussions and J. Booth for his extensive and helpful English correction of the manuscript. We greatly appreciate two anonymous reviewers for their extensive constructive reviews and T. Kawakami for the editorial support. This work was supported by Fujiwara Natural History Foundation to I. Kitano and JSPS KAKENHI Grants Numbers JP21H01182 to T. Hokada, JP21253008, JP22244063, and JP16H02743 to Y. Osanai, and JP15K05345, JP18H01316, and JP21K18381 to N. Nakano.</t>
  </si>
  <si>
    <t>WOS:001089014300009</t>
  </si>
  <si>
    <t>Occurrences and chemical compositions of ultrapotassic mafic dyke rocks from Skallevikshalsen and Rundvagshetta, Lutzow-Holm Complex, East Antarctica</t>
  </si>
  <si>
    <t>Lutzow-Holm Complex; Ultrapotassic mafic rocks; Fluorine and chlorine compositions; Collision between East and West Gondwana</t>
  </si>
  <si>
    <t>DRONNING MAUD LAND; HIGH-GRADE MARBLES; GARNET; PHLOGOPITE; EVOLUTION; QUARTZ; GEOCHEMISTRY; PETROGENESIS; CONSTRAINTS; STABILITY</t>
  </si>
  <si>
    <t>Melanocratic dyke rocks were found at Skallevikshalsen and Rundvagshetta in the Lutzow-Holm Complex. The rocks are commonly holocrystalline and aphyric, and consist mainly of alkali feldspar, biotite, augite, quartz, apatite, and titanite, with minor amounts of plagioclase. Almost all the mineral compositions tended to be homogeneous, whereas the composition of apatite sometimes showed intragranular heterogeneity in the F and Cl components. The melanocratic dyke rocks at Skallevikshalsen have an ultrapotassic mafic composition and resemble the compositional features of the lamproitic to minettic dyke rock previously found at Innhovde, located in the western region of the Lutzow-Holm Complex. The dyke rocks at Rundvagshetta are considered to be a mixture of ultrapotassic mafic magma and high-Cl/F intermediate to felsic magma. Considering their occurrence and the results of Rb-Sr mineral dating, the time of intrusion was just after the metamorphism of the Lutzow-Holm Complex, and the igneous activity was thought to have been caused by the collision between East and West Gondwana.</t>
  </si>
  <si>
    <t>[Miyamoto, Tomoharu; Shimada, Kazuhiko] Kyushu Univ, Dept Earth &amp; Planetary Sci, Fac Sci, Fukuoka 8190395, Japan; [Yamashita, Katsuyuki] Okayama Univ, Sch Sci, Dept Earth Sci, Okayama 7008530, Japan; [Dunkley, Daniel J.] Polish Acad Sci, Inst Geophys, Dept Polar &amp; Marine Res, PL-01452 Warsaw, Poland; [Tsunogae, Toshiaki] Univ Tsukuba, Fac Life &amp; Environm Sci, Tsukuba 3058577, Japan; [Kato, Mutsumi] Chiba Univ, Dept Earth Sci, Fac Sci, Chiba 2638522, Japan; [Tsunogae, Toshiaki] Univ Johannesburg, Dept Geol, ZA-2006 Auckland Pk, South Africa; [Kato, Mutsumi] Nittetsu Min Consultants Co Ltd, Tokyo 1080014, Japan</t>
  </si>
  <si>
    <t>Miyamoto, T (corresponding author), Kyushu Univ, Dept Earth &amp; Planetary Sci, Fac Sci, Fukuoka 8190395, Japan.</t>
  </si>
  <si>
    <t>We express our sincere thanks to the members of JARE52 and crew of the icebreaker 'Shirase'. We would like to thank the member of West Japan East Antarctic Research Group, especially Prof. H. Ishizuka, T. Kawasaki, Y. Osanai, M. Owada, T. Shimura, A. Kamei, and Drs. N. Nakano and T. Adachi, for their constructive discussions. In them, we acknowledge the useful comments and advise from Prof. M. Owada during data analysis. We thank Prof. M. Satish-Kumar for editing and two anonymous reviewers, who gave us useful advices to revise the text. We would like to thank Editage (www.editage.com) for English language editing. We also received help from Ms. K. Shiraga in correcting the text. Finally, we would also like to thank Prof. T. Hokada, main proposer of this special issue, for giving us the opportunity to publish this thesis. TM's research was supported by MEXT KAKENHI Grant Number JP19540484. D.Dunkley's research was supported financially by an OPUS grant UMO2021/43/B/ST10/03161 from the National Science Centre, Poland.</t>
  </si>
  <si>
    <t>WOS:001089014300005</t>
  </si>
  <si>
    <t>Lutzow-Holm Complex; East Antarctica; Tonian metamorphism; Pressure-temperature condition; U-Th-Pb monazite dating</t>
  </si>
  <si>
    <t>We determined the metamorphic age and pressure-temperature conditions recorded in a sillimanite-garnet-bearing pelitic gneiss from Niban-nishi Rock, which is part of Niban Rock, on the Prince Olav Coast, eastern Dronning Maud Land, East Antarctica. Niban-nishi Rock is recognized as a component of the Lutzow-Holm Complex (LHC), which is characterized by metamorphic age of 600-520 Ma and metamorphic grade of amphibolite to granulite facies. Electron microprobe U-Th-Pb monazite dating of the examined gneiss revealed that, unlike the typical exposures of the LHC, Niban-nishi Rock experienced Tonian metamorphism at 940.1 +/- 9.8 Ma (2s level), and is thus more similar to the neighboring exposures of Cape Hinode and Akebono Rock. Small numbers of younger monazite ages of 827-531 Ma were also detected, and some of which might relate to the metamorphism of the LHC. Phase equilibrium modeling and geothermobarometry indicate metamorphic conditions of 690-730 degrees C/0.38-0.68 GPa and 620-670 degrees C/0.42-0.60 GPa for peak and retrograde stages, respectively. The obtained peak temperature is lower than that of typical exposures in transitional- and granulite-facies zones of the LHC, such as Akarui Point and Skallen. Metamorphic features of Niban-nishi Rock, such as the upper amphibolite-facies condition and occurrences of garnet with retrograde zoning and sillimanite in the matrix, differ from those of Cape Hinode and Akebono Rock, with the former belonging to granulite facies and the latter showing kyanite in the matrix and garnet with growth zoning. Investigating Niban-nishi Rock is key in revealing the tectonic relation between the LHC and Cape Hinode (the Hinode Block). Further field surveys are required to reveal the metamorphic variations and the relations among exposures on the Prince Olav Coast.</t>
  </si>
  <si>
    <t>[Mori, Yuki] Japan Synchrotron Radiat Res Inst JASRI SPring8, Diffract &amp; Scattering Div, Sayo, Hyogo 6795198, Japan; [Hokada, Tomokazu] Natl Inst Polar Res, Geosci Grp, Tokyo 1908518, Japan; [Hokada, Tomokazu] SOKENDAI, Grad Inst Adv Studies, Tokyo 1908518, Japan; [Miyamoto, Tomoharu; Ikeda, Takeshi] Kyushu Univ, Dept Earth &amp; Planetary Sci, Fac Sci, Fukuoka 8190395, Japan</t>
  </si>
  <si>
    <t>Japan Synchrotron Radiation Research Institute; Research Organization of Information &amp; Systems (ROIS); National Institute of Polar Research (NIPR) - Japan; Graduate University for Advanced Studies - Japan; Kyushu University</t>
  </si>
  <si>
    <t>Mori, Y (corresponding author), Japan Synchrotron Radiat Res Inst JASRI SPring8, Diffract &amp; Scattering Div, Sayo, Hyogo 6795198, Japan.</t>
  </si>
  <si>
    <t>Mori, Yuki/AHB-2263-2022</t>
  </si>
  <si>
    <t>Mori, Yuki/0000-0002-9320-826X</t>
  </si>
  <si>
    <t>National Institute of Polar Research (NIPR) under MEXT; JSPS KAKENHI [JP21K14015, JP21H01182, JPC25400518]; NIPR [28-23, 4-17, 31-24]</t>
  </si>
  <si>
    <t>National Institute of Polar Research (NIPR) under MEXT; JSPS KAKENHI(Ministry of Education, Culture, Sports, Science and Technology, Japan (MEXT)Japan Society for the Promotion of ScienceGrants-in-Aid for Scientific Research (KAKENHI)); NIPR(National Institute of Polar Research (NIPR) - Japan)</t>
  </si>
  <si>
    <t>S005</t>
  </si>
  <si>
    <t>WOS:001089014300002</t>
  </si>
  <si>
    <t>Takehara, M; Horie, K; Hokada, T; Baba, S; Kamei, A; Kitano, I</t>
  </si>
  <si>
    <t>Takehara, Mami; Horie, Kenji; Hokada, Tomokazu; Baba, Sotaro; Kamei, Atsushi; Kitano, Ippei</t>
  </si>
  <si>
    <t>Zircon geochronology and geochemistry of felsic gneisses from Harvey Nunatak, Napier Complex in East Antarctica</t>
  </si>
  <si>
    <t>Zircon; U-Pb; Li in zircon; Monazite; Apatite</t>
  </si>
  <si>
    <t>RARE-EARTH-ELEMENTS; U-PB AGE; ENDERBY LAND; UHT METAMORPHISM; ISOTOPIC EVIDENCE; SYNTHETIC ZIRCON; RADIOGENIC PB; DEGREES-C; SHRIMP; APATITE</t>
  </si>
  <si>
    <t>The Napier Complex in East Antarctica has a complex thermal history, including ultra-high-temperature (UHT) metamorphism. Geochronology, trace element, and isotope geochemistry of zircon, apatite, and monazite in three felsic gneisses collected from Harvey Nunatak were studied using a sensitive high-resolution ion microprobe (SHRIMP) for the first time. Most zircons showed nebulous to fir-tree zoning, which is a common feature of zircons in granulite facies rocks, regardless of the core or rim. The U-Pb dating and rare earth element abundance of zircon indicated that zircon crystallization by regional metamorphism continued from 2567-2460 Ma, consistent with the previously proposed timing of UHT metamorphism. The zircon grains contained a large amount of Li (59-668 ppm). Li was incorporated with Cl at the interstitial sites of the zircon structure, and the zircons crystallized in melts with an abundant supply of Li and Cl. Monazite crystallized from apatite after the UHT metamorphism events of 2071 and 1799 Ma. The U-Pb system of apatite was completely disturbed by the crystallization of monazite at 1785 Ma. In addition, the U-Pb systems of apatite and monazite were disturbed at approximately 500 Ma.</t>
  </si>
  <si>
    <t>[Takehara, Mami; Horie, Kenji; Hokada, Tomokazu] Natl Inst Polar Res, Tokyo 1908518, Japan; [Horie, Kenji; Hokada, Tomokazu] Grad Univ Adv Studies SOKENDAI, Polar Sci Program, Tokyo 1908518, Japan; [Baba, Sotaro] Univ Ryukyus, Dept Nat Environm, Okinawa 9030213, Japan; [Kamei, Atsushi] Shimane Univ, Interdisciplinary Fac Sci &amp; Engn, Dept Earth Sci, Matsue 6908504, Japan; [Kitano, Ippei] Hokkaido Univ, Hokkaido Univ Museum, Sapporo 0600810, Japan</t>
  </si>
  <si>
    <t>Research Organization of Information &amp; Systems (ROIS); National Institute of Polar Research (NIPR) - Japan; Graduate University for Advanced Studies - Japan; University of the Ryukyus; Shimane University; Hokkaido University</t>
  </si>
  <si>
    <t>Takehara, M (corresponding author), Natl Inst Polar Res, Tokyo 1908518, Japan.</t>
  </si>
  <si>
    <t>takehara.mami@nipr.ac.jp</t>
  </si>
  <si>
    <t>National Institute of Polar Research (NIPR) under MEXT; National Institute of Polar Research (NIPR) [KP-306]; JSPS KAKENHI [JP21H01182, JP18K05020, JP17H02976]</t>
  </si>
  <si>
    <t>National Institute of Polar Research (NIPR) under MEXT; National Institute of Polar Research (NIPR)(National Institute of Polar Research (NIPR) - Japan); JSPS KAKENHI(Ministry of Education, Culture, Sports, Science and Technology, Japan (MEXT)Japan Society for the Promotion of ScienceGrants-in-Aid for Scientific Research (KAKENHI))</t>
  </si>
  <si>
    <t>The samples investigated in this study were collected during fieldwork in the 2016-2017 Japanese Antarctic Research Expedition (JARE) supported by the National Institute of Polar Research (NIPR) under MEXT. We thank the members of the 58th JARE, especially Prayath Nantasin, Nugroho Setiawan, Davaa-ochir Dashbaatar, and Yoichi Motoyoshi, for their cooperation in the field. We are also grateful to M. Shigeoka for helping prepare the thin sections. We thank S. Harley and M.A. Kusiak for their careful review and constructive comments and M. Satish Kumar for editorial handling. This study was supported by the National Institute of Polar Research (NIPR) through Project Research No. KP-306, and JSPS KAKENHI Grant Numbers JP21H01182, JP18K05020, and JP17H02976.</t>
  </si>
  <si>
    <t>10.2465/jmps.230331</t>
  </si>
  <si>
    <t>WOS:001089014300014</t>
  </si>
  <si>
    <t>Yuhara, M; Kamei, A; Kawano, Y; Owada, M; Shimura, T; Tsukada, K</t>
  </si>
  <si>
    <t>Yuhara, Masaki; Kamei, Atsushi; Kawano, Yoshinobu; Owada, Masaaki; Shimura, Toshiaki; Tsukada, Kazuhiro</t>
  </si>
  <si>
    <t>High-K adakitic granite in post-Gondwana collisional stage: example for the Vengen Granite, Sor Rondane Mountains, East Antarctica</t>
  </si>
  <si>
    <t>The Vengen Granite, one of early Paleozoic granitic rocks crops out of the southern end of the Vengen ridge, the Kanino-tsume Peak at the Main Shear Zone (MSZ) of the Sor Rondane Mountains, East Antarctica. This granite is composed of medium- to fine-grained mylonitic biotite granite and cuts the MSZ and Kanino-tsume Shear Zone. The fine-grained two-mica granitic dykes locally intrude the Vengen Granite. The two-mica granitic dykes have foliations parallel to mylonitic foliations of the Vengen Granite. The Vengen Granite is composed of plagioclase, quartz, K-feldspar, biotite, and muscovite with trace amounts of titanite, allanite, apatite, zircon and opaques as accessory minerals. The granite is geochemically characterized by a high- K content, which resembles adakitic affinity. These chemical data combined with rare earth elements and Sr-Nd isotope geochemistry suggest that the source magma of the Vengen Granite was derived from partial melting of the meta-tonalite with minor amounts of the pelitic gneisses in the SW-terrane subducted under the NE-terrane during collision of the West and East Gondwana continents.</t>
  </si>
  <si>
    <t>[Yuhara, Masaki] Fukuoka Univ, Dept Earth Syst Sci, Fukuoka 8140180, Japan; [Kamei, Atsushi] Shimane Univ, Dept Earth Sci, Matsue 6908504, Japan; [Kawano, Yoshinobu] Rissho Univ, Dept Environm Syst, Kumagaya 3600194, Japan; [Owada, Masaaki; Shimura, Toshiaki] Yamaguchi Univ, Dept Geosphere Sci, Yamaguchi 7538512, Japan; [Tsukada, Kazuhiro] Nagoya Univ Museum, Nagoya 4648601, Japan</t>
  </si>
  <si>
    <t>Yuhara, M (corresponding author), Fukuoka Univ, Dept Earth Syst Sci, Fukuoka 8140180, Japan.</t>
  </si>
  <si>
    <t>National Institute of Polar Research (NIPR) under MEXT; JSPS KAKENHI [JP25400521]</t>
  </si>
  <si>
    <t>National Institute of Polar Research (NIPR) under MEXT; JSPS KAKENHI(Ministry of Education, Culture, Sports, Science and Technology, Japan (MEXT)Japan Society for the Promotion of ScienceGrants-in-Aid for Scientific Research (KAKENHI))</t>
  </si>
  <si>
    <t>This study was part of the Science Program of the JARE supported by the National Institute of Polar Research (NIPR) under MEXT. We are grateful to M. Abe and the 50th JARE led by T. Odate, and the Belgian Antarctic Research Expedition led by A. Hubert for support of our field work. Courteous and constructive anonymous reviews and editorial comments by T. Hokada improved the manuscript significantly and are gratefully acknowl edged. This work was supported by JSPS KAKENHI Grant Number JP25400521.</t>
  </si>
  <si>
    <t>WOS:001089014300001</t>
  </si>
  <si>
    <t>Samy, VS; Thenkanidiyoor, V</t>
  </si>
  <si>
    <t>Samy, V. S.; Thenkanidiyoor, Veena</t>
  </si>
  <si>
    <t>Blizzard prediction in antarctic meteorological data using deep learning techniques</t>
  </si>
  <si>
    <t>JOURNAL OF INTELLIGENT &amp; FUZZY SYSTEMS</t>
  </si>
  <si>
    <t>Weather patterns analytics; machine learning; deep learning; extreme prediction and weather forecasting</t>
  </si>
  <si>
    <t>SURFACE WINDS; EVENTS</t>
  </si>
  <si>
    <t>Due to the unpredictable nature of the weather and the complexity of atmospheric movement, extreme weather has always been a significant and challenging meteorological concern. Meteorological problems and the complexity of how the atmosphere moves have made it necessary to find a technological solution. Deep learning techniques can automatically learn and train from vast quantities of data to provide enhanced feature expression. This is frequently used in computer vision, natural language processing, and other domains to enhance the performance of numerous real-time problems. The purpose of this research is to propose a deep learning-based approach for effectively predicting extreme weather events such as blizzards. To recognize weather patterns and forecast blizzards, the proposed deep learning-based method primarily employs RNN with LSTM. Real-time datasets from the Polar Regions were used to test the proposed approach's accuracy, and tests were conducted to compare it to existing weather forecasting models. The accuracy of the model is 49.60% (univariate) and 55.19% (bivariate) using bivariate attributes of wind speed and air pressure based on the calculated RMSE values such as 0.0023 and 0.0021.</t>
  </si>
  <si>
    <t>[Samy, V. S.] Natl Ctr Polar &amp; Ocean Res, Mormugao, Goa, India; [Thenkanidiyoor, Veena] Natl Inst Technol, Mormugao, Goa, India</t>
  </si>
  <si>
    <t>Ministry of Earth Sciences (MoES) - India; National Centre for Polar and Ocean Research (NCPOR)</t>
  </si>
  <si>
    <t>Samy, VS (corresponding author), Natl Ctr Polar &amp; Ocean Res, Mormugao, Goa, India.</t>
  </si>
  <si>
    <t>vssamy@ncpor.res.in</t>
  </si>
  <si>
    <t>IOS PRESS</t>
  </si>
  <si>
    <t>NIEUWE HEMWEG 6B, 1013 BG AMSTERDAM, NETHERLANDS</t>
  </si>
  <si>
    <t>1064-1246</t>
  </si>
  <si>
    <t>1875-8967</t>
  </si>
  <si>
    <t>J INTELL FUZZY SYST</t>
  </si>
  <si>
    <t>J. Intell. Fuzzy Syst.</t>
  </si>
  <si>
    <t>10.3233/JIFS-224543</t>
  </si>
  <si>
    <t>Computer Science, Artificial Intelligence</t>
  </si>
  <si>
    <t>U7WB6</t>
  </si>
  <si>
    <t>WOS:001086860200103</t>
  </si>
  <si>
    <t>Petti, MAV; Gheller, PF; Bromberg, S; Paiva, PC; Mahiques, MM; Corbisier, TN</t>
  </si>
  <si>
    <t>Petti, Monica A. V.; Gheller, Paula F.; Bromberg, Sandra; Paiva, Paulo C.; Mahiques, Michel M.; Corbisier, Thais N.</t>
  </si>
  <si>
    <t>Glacier retreat effects on the distribution of benthic assemblages in Martel Inlet (Admiralty Bay, Antarctica)</t>
  </si>
  <si>
    <t>Benthic ecology; Climate change; Glacier influence; King George Island</t>
  </si>
  <si>
    <t>KING-GEORGE-ISLAND; NEARSHORE ZONE; BIOMASS; MEGAFAUNA</t>
  </si>
  <si>
    <t>The Antarctic environment has special characteristics that influence the local marine life. The benthic organisms, adapted to these extreme conditions of life, are subject nowadays to effects of climate change. Recently, the consequences of glacier retreat on these assemblages have been observed in many West Antarctic Peninsula (WAP) regions, including King George Island (KGI). This study described the spatial variation of the benthic macrofauna in different areas of the Martel Inlet (Admiralty Bay -KGI), at depths around 25-30 m. Sampling was done in January 2001 at ten stations classified in localities according to their proximity to ice-margin/coastline in marine -terminating glacier (MTG), terrestrial-terminating glacier (TTG) and ice-free area (IFA). The total density and the abundance of annelids, nematodes, peracarid crustaceans and bivalves were higher at IFA stations. The locality discrimination by taxa and species was independent of available environmental/sedimentary conditions or was the result of unmeasured variables or species life history processes not assessed herein. Considering that our findings were obtained 21 years ago, they will be especially useful for comparing future studies of benthic assemblage responses to the influence of climate change and continuous glacier retreats in the WAP region.</t>
  </si>
  <si>
    <t>[Petti, Monica A. V.; Gheller, Paula F.; Bromberg, Sandra; Corbisier, Thais N.] Univ Sao Paulo, Inst Oceanog, Dept Oceanog Biol, Pracca Oceanog,191, BR-05508120 Sao Paulo, SP, Brazil; [Paiva, Paulo C.] Univ Fed Rio de Janeiro, Inst Biol, Dept Zool, Av Brig Trompowski,S-N,CCS Bloco A, BR-21941590 Rio de Janeiro, RJ, Brazil; [Mahiques, Michel M.] Univ Sao Paulo, Inst Oceanog, Dept Oceanog Fis Quim &amp; Geol, Pracca Oceanog,191, BR-05508120 Sao Paulo, SP, Brazil</t>
  </si>
  <si>
    <t>Universidade de Sao Paulo; Universidade Federal do Rio de Janeiro; Universidade de Sao Paulo</t>
  </si>
  <si>
    <t>Petti, MAV (corresponding author), Univ Sao Paulo, Inst Oceanog, Dept Oceanog Biol, Pracca Oceanog,191, BR-05508120 Sao Paulo, SP, Brazil.</t>
  </si>
  <si>
    <t>mapetti@usp.br</t>
  </si>
  <si>
    <t>de Paiva, Paulo Cesar/N-1234-2019</t>
  </si>
  <si>
    <t>de Paiva, Paulo Cesar/0000-0003-1061-6549; Gheller, Paula Foltran/0000-0002-1455-1271; Mahiques, Michel/0000-0002-5249-5610</t>
  </si>
  <si>
    <t>Conselho Nacional de Desenvolvimento Cientifico e Tecnologico [CNPq 680051/00-7]; CNPq [CNPq 680051/00-7, 300962/2018-5]; Secretariat for the Marine Resources Inter-Ministerial Committee (SeCIRM); Fundacao Carlos Chagas Filho de Amparo a Pesquisa do Estado do Rio de Janeiro-FAPERJ [304321/2017-6, 428447/2018-0]; [E-26/202.607/2019]; [246952]</t>
  </si>
  <si>
    <t>Conselho Nacional de Desenvolvimento Cientifico e Tecnologico(Conselho Nacional de Desenvolvimento Cientifico e Tecnologico (CNPQ)); CNPq(Conselho Nacional de Desenvolvimento Cientifico e Tecnologico (CNPQ)); Secretariat for the Marine Resources Inter-Ministerial Committee (SeCIRM); Fundacao Carlos Chagas Filho de Amparo a Pesquisa do Estado do Rio de Janeiro-FAPERJ(Fundacao Carlos Chagas Filho de Amparo a Pesquisa do Estado do Rio De Janeiro (FAPERJ)); ;</t>
  </si>
  <si>
    <t>Special thanks to the staff of the Brazilian Antarctic Station Comandante Ferraz (OPERANTAR XIX) and the researchers Rodrigo Skowronski and Alessandro Athie for their help in collecting samples and logistical support. Special thanks goes to Beatriz Grotto for the identification of bivalves. We are also grateful for support of the Secretariat for the Marine Resources Inter-Ministerial Committee (SeCIRM) . Financial support for this project was provided by the Conselho Nacional de Desenvolvimento Cientifico e Tecnologico (CNPq 680051/00-7) . PCP received grants from CNPq (Proc. 304321/2017-6 and 428447/2018-0) and Fundacao Carlos Chagas Filho de Amparo a Pesquisa do Estado do Rio de Janeiro-FAPERJ-Proc. E-26/202.607/2019 (246952) . MM de M acknowledges the CNPq for the Research Grant 300962/2018-5. Jim Hesson copyedited the manuscript (https://academicenglishsolutions.com /</t>
  </si>
  <si>
    <t>e20210622</t>
  </si>
  <si>
    <t>10.1590/0001-3765202320210622</t>
  </si>
  <si>
    <t>W0QT8</t>
  </si>
  <si>
    <t>WOS:001088770700001</t>
  </si>
  <si>
    <t>Lynch, HJ</t>
  </si>
  <si>
    <t>Lynch, Heather J.</t>
  </si>
  <si>
    <t>Satellite Remote Sensing for Wildlife Research in the Polar Regions</t>
  </si>
  <si>
    <t>MARINE TECHNOLOGY SOCIETY JOURNAL</t>
  </si>
  <si>
    <t>satellite imagery; computer vision; penguins; seals; whales</t>
  </si>
  <si>
    <t>ADELIE PENGUIN COLONIES; IMAGERY; ABUNDANCE; MODEL</t>
  </si>
  <si>
    <t>Wildlife research in the polar regions has historically been limited by the logistical constraints of site access, but recent developments in the use of satellite imagery for animal detection has unlocked new possibilities for pan-Arctic and pan-Antarctic monitoring of animal populations. A range of different sensor systems have been used for wildlife research, but most have focused on optical sensors that collect data in the visible spectrum and can be directly interpreted similar to a photograph. These include medium-resolution sensors like Landsat (30 m) and Sentinel-2 (10 m) and very high-resolution sensors such as Maxar's Worldview-2 (51 cm) and Worldview-3 (31 cm). These long-established satellite systems have been joined more recently by constellations of smaller satellites (so-called Small Sats) that offer imagery of comparable spatial and spectral resolution to those operated by Maxar. This rapidly expanding portfolio of earth observation satellites offers the potential for a radical transformation of wildlife research in polar regions, but the sheer volume of data being collected now eclipses our capacity for manual imagery interpretation. To meet this challenge, researchers are now harnessing advances in computer vision that, coupled with improvements in computing capacity, promise to deliver a new era in our ability to monitor polar wildlife.</t>
  </si>
  <si>
    <t>[Lynch, Heather J.] SUNY Stony Brook, Inst Adv Computat Sci, Stony Brook, NY 11794 USA; [Lynch, Heather J.] SUNY Stony Brook, Dept Ecol &amp; Evolut, Stony Brook, NY 11794 USA</t>
  </si>
  <si>
    <t>State University of New York (SUNY) System; State University of New York (SUNY) Stony Brook; State University of New York (SUNY) System; State University of New York (SUNY) Stony Brook</t>
  </si>
  <si>
    <t>Lynch, HJ (corresponding author), SUNY Stony Brook, Inst Adv Computat Sci, Stony Brook, NY 11794 USA.;Lynch, HJ (corresponding author), SUNY Stony Brook, Dept Ecol &amp; Evolut, Stony Brook, NY 11794 USA.</t>
  </si>
  <si>
    <t>National Science Foundation (NSF) EarthCube program [1740595]; Polar Geospatial Center under NSF-Office of Polar Programs Awards [1043681, 1559691]</t>
  </si>
  <si>
    <t>National Science Foundation (NSF) EarthCube program(National Science Foundation (NSF)); Polar Geospatial Center under NSF-Office of Polar Programs Awards</t>
  </si>
  <si>
    <t>I would like to thank Matt Schwaller for his ideas and suggestions on this manuscript and the National Science Foundation (NSF) EarthCube program (award 1740595) for funding my own work on satellite-based wildlife surveys. Geospatial support for much of the work described in this review was provided by the Polar Geospatial Center under NSF-Office of Polar Programs Awards 1043681 and 1559691.</t>
  </si>
  <si>
    <t>MARINE TECHNOLOGY SOC INC</t>
  </si>
  <si>
    <t>COLUMBIA</t>
  </si>
  <si>
    <t>5565 STERRETT PLACE, STE 108, COLUMBIA, MD 21044 USA</t>
  </si>
  <si>
    <t>0025-3324</t>
  </si>
  <si>
    <t>1948-1209</t>
  </si>
  <si>
    <t>MAR TECHNOL SOC J</t>
  </si>
  <si>
    <t>Mar. Technol. Soc. J.</t>
  </si>
  <si>
    <t>Engineering, Ocean; Oceanography</t>
  </si>
  <si>
    <t>Engineering; Oceanography</t>
  </si>
  <si>
    <t>W1BC0</t>
  </si>
  <si>
    <t>WOS:001089039400006</t>
  </si>
  <si>
    <t>Rabitz, F</t>
  </si>
  <si>
    <t>Rabitz, Florian</t>
  </si>
  <si>
    <t>Space Resources and the Politics of International Regime Formation</t>
  </si>
  <si>
    <t>INTERNATIONAL JOURNAL OF THE COMMONS</t>
  </si>
  <si>
    <t>space resources; space commons; multilateralism; international institutions; common heritage of humanity</t>
  </si>
  <si>
    <t>ISSUE-LINKAGE; COMMON HERITAGE; LEADERSHIP; GOVERNANCE; INSTITUTIONS; PERFORMANCE; RACE</t>
  </si>
  <si>
    <t>Space resources such as minerals or lunar ice deposits are of growing economic and political interest in the context of the emerging space economy and the intensifying geopolitical tensions of a new space race. Scholars and stakeholders increasingly engage with the question of how to regulate the future exploration and exploitation of space resources under international law. A potential option that has drawn broad attention in the debate is a multilateral regime that would regulate space resources as the common heritage of humanity and aim for the fair and equitable sharing of benefits that derive from their exploration and exploitation. Whereas a considerable body of literature addresses the legal and institutional characteristics of such a hypothetical regime, questions of regime formation have so far been neglected. This paper probes the feasibility and the prospects of developing a multilateral and common heritage-centric regime for space resources by a) drawing on theoretical insights from the scholarly debate on the politics of international regime formation and b) extracting insights and lessons from two historical cases of regime formation (under the Antarctic Treaty System and the Law of the Sea Convention) addressing similar challenges of regulating transnational commons in Areas Beyond National Jurisdiction. The analysis indicates extraordinarily adverse background conditions that make the successful formation of a multilateral and common heritage centric regime for space resources highly implausible despite its prima facie normative appeal. The political prospects for devising fair, equitable and effective solutions to the problem of space resources are accordingly limited and likely to remain so.</t>
  </si>
  <si>
    <t>[Rabitz, Florian] Kaunas Univ Technol, Kaunas, Lithuania</t>
  </si>
  <si>
    <t>Kaunas University of Technology</t>
  </si>
  <si>
    <t>Rabitz, F (corresponding author), Kaunas Univ Technol, Kaunas, Lithuania.</t>
  </si>
  <si>
    <t>florian.rabitz@ktu.lt</t>
  </si>
  <si>
    <t>Rabitz, Florian/0000-0002-0041-2094</t>
  </si>
  <si>
    <t>Research Council of Lithuania [P-MIP-23-234]</t>
  </si>
  <si>
    <t>Research Council of Lithuania(Research Council of Lithuania (LMTLT))</t>
  </si>
  <si>
    <t>Research for this paper was supported by the Research Council of Lithuania under grant agreement P-MIP-23-234, The Transnationalization of Outer Space.</t>
  </si>
  <si>
    <t>UBIQUITY PRESS LTD</t>
  </si>
  <si>
    <t>Unit 3.22, East London Works, 65-75 Whitechapel Road, LONDON, E1 1DU, ENGLAND</t>
  </si>
  <si>
    <t>1875-0281</t>
  </si>
  <si>
    <t>INT J COMMONS</t>
  </si>
  <si>
    <t>Int. J. Commons</t>
  </si>
  <si>
    <t>10.5334/ijc.1274</t>
  </si>
  <si>
    <t>Environmental Studies</t>
  </si>
  <si>
    <t>Social Science Citation Index (SSCI)</t>
  </si>
  <si>
    <t>U7OG9</t>
  </si>
  <si>
    <t>WOS:001086657100011</t>
  </si>
  <si>
    <t>Ma, Y; Tian, FL; Long, S; Huang, BX; Liu, W; Chen, G</t>
  </si>
  <si>
    <t>Ma, Ying; Tian, Fenglin; Long, Shuang; Huang, Baoxiang; Liu, Wen; Chen, Ge</t>
  </si>
  <si>
    <t>Global Oceanic Eddy-Front Associations From Synergetic Remote Sensing Data by Deep Learning</t>
  </si>
  <si>
    <t>Deep learning (DL); eddy-front association detection network (EFADN); eddy-front associations (EFAs)</t>
  </si>
  <si>
    <t>EDDIES</t>
  </si>
  <si>
    <t>Recently, fronts (eddies) at the margins of eddies (fronts) have been discovered by observing sea surface temperature (SST) and sea level anomaly (SLA) data. They can both induce strong vertical motions and submesoscale processes, and are important for the vertical exchange of ocean mass and energy as well as ocean ecological processes. However, it raises an important challenge about the global spatiotemporal distribution of eddy-induced fronts and frontal eddies. This letter proposes a deep learning (DL) approach, dubbed eddy-front association detection network (EFADN), that is appropriate for mining eddy-front associations (EFAs) to extract the features of eddy-induced fronts (anticyclonic and cyclonic eddy-induced fronts) and frontal eddies [frontal anticyclonic eddies (AEs) and frontal cyclonic eddies (CEs)] from SLA and SST satellite data during 2006-2015 in the global ocean. The EFADN model integrates encoder-decoder and attention structures. The introduced spatial attention (SA) module in attention structure utilizes large-scale convolutional kernels to extract spatial information, which enlarges the receptive field to enhance the recognition of topological structures between eddies and fronts, improving the ability of EFA detection. The results of comparative experiments demonstrate that EFADN surpasses the state-of-the-art (SOTA) eddy detection model. Ablation studies underscore the crucial importance of all modules within EFADN for achieving accurate detection of EFAs. Moreover, the spatiotemporal distribution characteristics of eddy-induced fronts and frontal eddies are displayed. They are widely dispersed in the western boundary current (WBC) and Antarctic Circumpolar Current (ACC) regions, and they are active in the boreal summer while weak in the austral summer.</t>
  </si>
  <si>
    <t>[Ma, Ying; Tian, Fenglin; Long, Shuang; Chen, Ge] Ocean Univ China, Sch Marine Technol, Frontiers Sci Ctr Deep Ocean Multispheres &amp; Earth, Qingdao 266100, Peoples R China; [Tian, Fenglin; Huang, Baoxiang; Chen, Ge] Laoshan Lab, Lab Reg Oceanog &amp; Numer Modeling, Qingdao 266100, Peoples R China; [Huang, Baoxiang] Qingdao Univ, Coll Comp Sci &amp; Technol, Qingdao 266100, Peoples R China; [Liu, Wen] Ocean Univ China, Fac Informat Sci &amp; Engn, Qingdao 266100, Peoples R China</t>
  </si>
  <si>
    <t>Ocean University of China; Laoshan Laboratory; Qingdao University; Ocean University of China</t>
  </si>
  <si>
    <t>Chen, G (corresponding author), Ocean Univ China, Sch Marine Technol, Frontiers Sci Ctr Deep Ocean Multispheres &amp; Earth, Qingdao 266100, Peoples R China.</t>
  </si>
  <si>
    <t>mayinger618@gmail.com; tianfenglin@ouc.edu.cn; longshuang@stu.ouc.edu.cn; hbx3726@163.com; l1uw3n@gmail.com; gechen@ouc.edu.cn</t>
  </si>
  <si>
    <t>Baoxiang, Huang/0000-0002-0380-419X</t>
  </si>
  <si>
    <t>International Research Center of Big Data for Sustainable Development Goals; Science and Technology Innovation Project for Laoshan Laboratory [CBAS2022GSP01, LSKJ202204303]; Fundamental Research Funds for the Central Universities [LSKJ202201406]; [202261006]</t>
  </si>
  <si>
    <t>International Research Center of Big Data for Sustainable Development Goals; Science and Technology Innovation Project for Laoshan Laboratory; Fundamental Research Funds for the Central Universities(Fundamental Research Funds for the Central Universities);</t>
  </si>
  <si>
    <t>This work was supported in part by the International Research Center of Big Data for Sustainable Development Goals under Grant CBAS2022GSP01, in part by the Science and Technology Innovation Project for Laoshan Laboratory under Grant LSKJ202204303 and Grant LSKJ202201406, and in part by the Fundamental Research Funds for the Central Universities under Grant 202261006.</t>
  </si>
  <si>
    <t>10.1109/LGRS.2023.3310053</t>
  </si>
  <si>
    <t>U0LE7</t>
  </si>
  <si>
    <t>WOS:001081799500010</t>
  </si>
  <si>
    <t>Megias, E; García-Román, M</t>
  </si>
  <si>
    <t>Megias, Emilio; Garcia-Roman, Manuel</t>
  </si>
  <si>
    <t>A Methodology for Statistical Mean Wave Climate Regime Characterisation in Oceanic Islands: The Case of the Southern Coast of Tenerife</t>
  </si>
  <si>
    <t>JOURNAL OF MARINE SCIENCE AND TECHNOLOGY-TAIWAN</t>
  </si>
  <si>
    <t>Fetch; Oceanic archipelago; Peak period; Statistical wave description</t>
  </si>
  <si>
    <t>WIND SEA; SWELL</t>
  </si>
  <si>
    <t>Oceanic islands of volcanic origin tend to have peculiar characteristics, such as: exposure to many wave directions; grouping in archipelagos; steep coastal slopes; and small coastal shelves. All these features require certain considerations in wave climate studies. These types of studies, when wave spectra are not available and have to be performed with parametric data, can be unreliable without an adequate systematic treatment. In this work we propose a methodology consisting of pre-classification according to the peak period and subsequent separation into different sectors according to the geographical fetch. The island of Tenerife is the case study, and in particular the waves reaching its southern coast. Data from the existing deep-water buoy have been used in this work. A range of fetch lengths between the few miles of distance to the neighbouring islands, and more than 5500 nautical miles that separate it from the Antarctic region have been considered. The dominant type of waves and the direction of provenance in each season of the year have been characterised. The proposed methodology has been designed to be applied to any oceanic archipelago with similar characteristics to those mentioned above.</t>
  </si>
  <si>
    <t>[Megias, Emilio] Univ Laguna, Sch Doctoral &amp; Postgrad Programs, S C Tenerife 38200, Spain; [Megias, Emilio] Satocan SA, S C Tenerife 38296, Spain; [Garcia-Roman, Manuel] Univ La Laguna, Higher Polytech Sch Engn EPSI, S C Tenerife 38001, Spain</t>
  </si>
  <si>
    <t>Universidad de la Laguna</t>
  </si>
  <si>
    <t>Megias, E (corresponding author), Univ Laguna, Sch Doctoral &amp; Postgrad Programs, S C Tenerife 38200, Spain.</t>
  </si>
  <si>
    <t>emegiasd@ull.edu.es</t>
  </si>
  <si>
    <t>Megías, Emilio/IUP-4324-2023</t>
  </si>
  <si>
    <t>Megías, Emilio/0000-0002-6334-2468</t>
  </si>
  <si>
    <t>NATL TAIWAN OCEAN UNIV</t>
  </si>
  <si>
    <t>KEELUNG</t>
  </si>
  <si>
    <t>NO 2 PEI-NING RD, KEELUNG, 202, TAIWAN</t>
  </si>
  <si>
    <t>1023-2796</t>
  </si>
  <si>
    <t>2709-6998</t>
  </si>
  <si>
    <t>J MAR SCI TECH-TAIW</t>
  </si>
  <si>
    <t>J. Mar. Sci. Technol.-Taiwan</t>
  </si>
  <si>
    <t>10.51400/2709-6998.2707</t>
  </si>
  <si>
    <t>Engineering, Multidisciplinary; Oceanography</t>
  </si>
  <si>
    <t>U6VV1</t>
  </si>
  <si>
    <t>WOS:001086171200001</t>
  </si>
  <si>
    <t>Bogorodskiy, PV; Borisik, AL; Kustov, VY; Marchenko, AV; Movchan, VV; Novikov, AL; Romashova, KV; Ryzhov, IV; Sidorova, OR; Filchuk, KV; Khaustov, VA</t>
  </si>
  <si>
    <t>V. Bogorodskiy, P.; Borisik, A. L.; Kustov, V. Yu.; Marchenko, A. V.; Movchan, V. V.; Novikov, A. L.; Romashova, K. V.; Ryzhov, I. V.; Sidorova, O. R.; Filchuk, K. V.; Khaustov, V. A.</t>
  </si>
  <si>
    <t>Ice and Snow on Lake Stemmevatnet, Spitsbergen, in Winter 2019/20</t>
  </si>
  <si>
    <t>Svalbard; lake; ice cover; measurements; radar survey; modeling</t>
  </si>
  <si>
    <t>SVALBARD</t>
  </si>
  <si>
    <t>The results of observations and modeling of the formation of the snow-ice cover of Lake Stemme (West Svalbard Island) in winter 2019/20 are presented. The main information was obtained by two radar (GPR) survey, performed on the floating ice of the Lake on March 12 and April 22 of 2020. Authors believe that probably these observations were the first ones on the Lake. The use of the radar made it possible to obtain data on the dynamics of the thickness of the layers of snow and ice cover, the so-called snow ice which is formed when the boundary between snow and ice was submerged under water. During the time between records, the thick-ness of the last snow ice increased two to three times, i.e., from units to the first tens of cm, and it spread to the entire deep-water part of the Lake area. In addition, analysis of high-precision positioning of the radar records revealed a significant deflection in the ice surface in the central part of the Lake under the influence of snow load and the decreasing level of the reservoir. The calculations of the thermodynamics of the floating ice cover have shown that its thickening occurs as a result of the processes of congelation and isostatic ice formation, replacing each other at its lower and upper boundaries, respectively. At the same time, the formation of snow ice violates the characteristic feature of decreasing of ice thickness with growth of the snow thick-ness, which significantly influences on the thermal and mass balance of the Lake snow-ice cover. Results of calculations of the ice cover deformation did show that it takes place not only due to the elastic, but also to the viscous properties of ice, and it is concentrated in a narrow coastal zone. The maximum radial stress is reached at a distance of several meters from the shore, where a circular crack parallel to the shoreline is formed. Such a crack is formed at all ice thicknesses at about the same distance from the shore.</t>
  </si>
  <si>
    <t>[V. Bogorodskiy, P.; Borisik, A. L.; Kustov, V. Yu.; Movchan, V. V.; Novikov, A. L.; Romashova, K. V.; Ryzhov, I. V.; Sidorova, O. R.; Filchuk, K. V.] Arctic &amp; Antarctic Res Inst, St Petersburg, Russia; [Marchenko, A. V.] Univ Ctr Svalbard, Longyearbyen, Norway; [Marchenko, A. V.] Zubov Oceanog Inst, Moscow, Russia; [Khaustov, V. A.] State Hydrometeorol Univ, St Petersburg, Russia</t>
  </si>
  <si>
    <t>Arctic &amp; Antarctic Research Institute; University Centre Svalbard (UNIS)</t>
  </si>
  <si>
    <t>Bogorodskiy, PV (corresponding author), Arctic &amp; Antarctic Res Inst, St Petersburg, Russia.</t>
  </si>
  <si>
    <t>bogorodski@aari.ru</t>
  </si>
  <si>
    <t>10.31857/S2076673423020035</t>
  </si>
  <si>
    <t>U7FL0</t>
  </si>
  <si>
    <t>WOS:001086423600001</t>
  </si>
  <si>
    <t>Dyment, LN; Ershova, AA; Porubaev, VS; Chirkova, AA</t>
  </si>
  <si>
    <t>Dyment, L. N.; Ershova, A. A.; Porubaev, V. S.; Chirkova, A. A.</t>
  </si>
  <si>
    <t>Determination of the Predominant Orientation of Cracks in Ice Cover of the Laptev Sea from the Ice Drift Data</t>
  </si>
  <si>
    <t>sea ice cover discontinuities; direction of cracks; air flow intensity; ice cover deformation; satellite images</t>
  </si>
  <si>
    <t>The paper shows that in order to solve the problem of predicting the predominant orientation of cracks in ice covering the Laptev Sea, when the satellite information is absent, the orientation of cracks in ice cover can be calculated using data on the ice drift in the Sea. We have selected 200 satellite images made in both visible and infrared spectral bands allowing to obtain actual data on ice cracks in the Laptev Sea for seasons 2016-2021, and then calculated the predominant orientation of them using data on the O SI SAF ice drift for the date of each image as well as for several previous days. Results obtained were compared with actual modal orientations of the cracks and with characteristics of the atmospheric pressure fields in these days. It was found that selecting of initial ice drift data should be done with regard for the intensity of air flows, the invariability or constancy of the direction of air flows over the sea aquatory during several days, and the presence of a cyclone centered over the sea area. An algorithm has been developed for automatic selection of a date when the ice drift can be most likely accompanied by formation of cracks on the day under con-sideration, and calculation of predominant orientation of cracks should be made exactly on that day. The selected data on ice drift serve as a basis for calculating. It was revealed also that with the difference in the types of intensity of air flows in the northern and southern parts of the Laptev Sea, the developed algorithm for determining the date of ice drift should be applied to each part of the sea separately. The number of squares of the Laptev Sea grid in which the calculated orientation of cracks corresponded to its actual meaning with an established permissible error of 30 degrees has been determined. The ratio of this number to the total quantity of grid squares (skill score) was equal to 69% on the average. The skill score exceeded 70% in 46 percent of the cases. The skill score falls below 60% in only 16 percent of the cases, with minimum value of 50%.</t>
  </si>
  <si>
    <t>[Dyment, L. N.; Ershova, A. A.; Porubaev, V. S.; Chirkova, A. A.] Arctic &amp; Antarctic Res Inst, St Petersburg, Russia</t>
  </si>
  <si>
    <t>Dyment, LN (corresponding author), Arctic &amp; Antarctic Res Inst, St Petersburg, Russia.</t>
  </si>
  <si>
    <t>ldyment@yandex.ru</t>
  </si>
  <si>
    <t>Ershova, Anastasia/IST-5987-2023</t>
  </si>
  <si>
    <t>Ershova, Anastasia/0009-0006-6545-3635</t>
  </si>
  <si>
    <t>10.31857/S2076673423030031</t>
  </si>
  <si>
    <t>WOS:001086423600002</t>
  </si>
  <si>
    <t>Rahim, NAA; Merican, FMMS; Radzi, R; Omar, WMW; Nor, SAM; Broady, P; Convey, P</t>
  </si>
  <si>
    <t>Rahim, Nur Afiqah Abdul; Merican, Faradina Merican Mohd Sidik; Radzi, Ranina; Omar, Wan Maznah Wan; Nor, Siti Azizah Mohd; Broady, Paul; Convey, Peter</t>
  </si>
  <si>
    <t>Unveiling The Diversity of Periphytic Cyanobacteria (Cyanophyceae) from Tropical Mangroves in Penang, Malaysia</t>
  </si>
  <si>
    <t>TROPICAL LIFE SCIENCES RESEARCH</t>
  </si>
  <si>
    <t>Cyanobacteria; Morphospecies; Phenotypic Diversity; Tropical Mangrove</t>
  </si>
  <si>
    <t>EAST-COAST; PENINSULAR MALAYSIA; BENTHIC CYANOBACTERIA; MICROBIAL MATS; BIODIVERSITY; ABUNDANCE; ECOSYSTEM; SARAWAK; ESTUARY; FOREST</t>
  </si>
  <si>
    <t>Cyanobacteria are one of the most important groups of photoautotrophic organisms, contributing to carbon and nitrogen fixation in mangroves worldwide. They also play an important role in soil retention and stabilisation and contribute to high plant productivity through their secretion of plant growth-promoting substances. However, their diversity and distribution in Malaysian mangrove ecosystems have yet to be studied in detail, despite Malaysia hosting a significant element of remaining mangroves globally. In a floristic survey conducted in Penang, peninsular Malaysia, 33 morphospecies of periphytic cyanobacteria were identified and described for the first time from a mangrove ecosystem in Malaysia. Sixteen genera, comprising Aphanocapsa, Chroococcus, Chroococcidiopsis, Cyanobacterium, Desmonostoc, Geitlerinema, Leptolyngbya, Lyngbya, Microcystis, Myxosarcina, Oscillatoria, Phormidium, Pseudanabaena, Spirulina, Trichocoleus and Xenococcus, were obtained from field material growing on diverse natural and artificial substrata. Oscillatoriales was the dominant order with Phormidium the dominant genus at nine of the 15 sampling sites examined. Three of the morphospecies, Aphanocapsa cf. concharum, Xenococcus cf. pallidus and Oscillatoria pseudocurviceps, are rare and poorly known morphospecies worldwide. Chroococcus minutus, Phormidium uncinatum, P. amphigranulata, and some species of Oscillatoriales are considered as pollution indicator species. This study provides important baseline information for further investigation of the cyanobacterial microflora present in other mangrove areas around Malaysia. A complete checklist will enhance understanding of their ecological role and the potential for benefits arising from useful secondary metabolites or threats via toxin production to the ecosystem.</t>
  </si>
  <si>
    <t>[Rahim, Nur Afiqah Abdul; Merican, Faradina Merican Mohd Sidik; Radzi, Ranina; Omar, Wan Maznah Wan] Univ Sains Malaysia, Sch Biol Sci, George Town 11800, Malaysia; [Nor, Siti Azizah Mohd] Univ Malaysia Terengganu, Inst Marine Biotechnol, Kuala Terengganu 21300, Terengganu, Malaysia; [Broady, Paul] Univ Canterbury, Sch Biol Sci, 20 Kirkwood Ave, Christchurch 8041, New Zealand; [Convey, Peter] British Antarctic Survey, NERC, High Cross,Madingley Rd, Cambridge CB3 0ET, Cambridgeshire, England</t>
  </si>
  <si>
    <t>Universiti Sains Malaysia; Universiti Malaysia Terengganu; University of Canterbury; UK Research &amp; Innovation (UKRI); Natural Environment Research Council (NERC); NERC British Antarctic Survey</t>
  </si>
  <si>
    <t>Merican, FMMS (corresponding author), Univ Sains Malaysia, Sch Biol Sci, George Town 11800, Malaysia.</t>
  </si>
  <si>
    <t>faradina@usm.my</t>
  </si>
  <si>
    <t>Research University (RU) Top Down Research Grant [1001/PBIOLOGI/870018]; NERC</t>
  </si>
  <si>
    <t>Research University (RU) Top Down Research Grant; NERC(UK Research &amp; Innovation (UKRI)Natural Environment Research Council (NERC))</t>
  </si>
  <si>
    <t>This research was supported by Research University (RU) Top Down Research Grant (1001/PBIOLOGI/870018) . Peter Convey is supported by NERC core funding to the BAS 'Biodiversity, Evolution and Adaptation' Team. We thank anonymous referees for helpful and constructive comments on an earlier version of the manuscript.</t>
  </si>
  <si>
    <t>PENERBIT UNIV SAINS MALAYSIA</t>
  </si>
  <si>
    <t>PULAU PINANG</t>
  </si>
  <si>
    <t>PENERBIT UNIVERSITI SAINS MALAYSIA, PULAU PINANG, PINANG 11800, MALAYSIA</t>
  </si>
  <si>
    <t>1985-3718</t>
  </si>
  <si>
    <t>2180-4249</t>
  </si>
  <si>
    <t>TROP LIFE SCI RES</t>
  </si>
  <si>
    <t>Trop. Life Sci. Res.</t>
  </si>
  <si>
    <t>10.21315/tlsr2023.34.3.4</t>
  </si>
  <si>
    <t>Biology</t>
  </si>
  <si>
    <t>Life Sciences &amp; Biomedicine - Other Topics</t>
  </si>
  <si>
    <t>U5MN5</t>
  </si>
  <si>
    <t>Green Published, gold</t>
  </si>
  <si>
    <t>WOS:001085244700004</t>
  </si>
  <si>
    <t>Halici, MG; Bölükbasi, E; Güllü, M; Yigit, MK; Barták, M</t>
  </si>
  <si>
    <t>Halici, Mehmet Gokhan; Bolukbasi, Ekrem; Gullu, Mithat; Yigit, Merve Kahraman; Bartak, Milos</t>
  </si>
  <si>
    <t>Lendemeriella vaczii, a new lichenized fungal species from Antarctic Peninsula-with a key to the genus Lendemeriella</t>
  </si>
  <si>
    <t>Antarctica; biodiversity; Caloplacoidae; James Ross Island; Teloschistaceae</t>
  </si>
  <si>
    <t>CALOPLACA; TELOSCHISTACEAE; NORTH; ASCOMYCOTA</t>
  </si>
  <si>
    <t>Lichens are most dominant elements of Antarctic terrestrial vegetation, however, they are still not well known. In this paper, Lendemerialla vaczii is described as a new lichen la, based on morphology and phylogenetic analysis. The new species is characterized by brownish cream or buff-colored areolate thallus lacking vegetative propagules, black and lecideine apothecia and very thin (up to 1 mu m) septa in ascospores. Phylogenetic analysis of nrITS sequence data shows that new species clusters in the genus Lendemeriella with a high bootstrap support. The new species is compared with other Lendemeriella species and other related crustose Teloschistaceae species without anthraquinones and a comprehensive description is provided. An identification key to 10 species of Lendemeriella is also provided.</t>
  </si>
  <si>
    <t>[Halici, Mehmet Gokhan; Gullu, Mithat; Yigit, Merve Kahraman] Erciyes Univ, Dept Biol, Kayseri, Turkiye; [Bolukbasi, Ekrem] Amasya Univ, Suluova Vocat Sch, Dept Environm Protect Technol, Amasya, Turkiye; [Bartak, Milos] Masaryk Univ, Dept Expt Biol, Sect Expt Plant Biol, Kamenice 5, Brno 62500, Czech Republic</t>
  </si>
  <si>
    <t>Erciyes University; Amasya University; Ministry of National Education - Turkey; Masaryk University Brno</t>
  </si>
  <si>
    <t>Halici, MG (corresponding author), Erciyes Univ, Dept Biol, Kayseri, Turkiye.</t>
  </si>
  <si>
    <t>mghalici@gmail.com</t>
  </si>
  <si>
    <t>Kahraman Yiğit, Merve/AAW-5674-2021; BOLUKBASI, Ekrem/U-4066-2018</t>
  </si>
  <si>
    <t>BOLUKBASI, Ekrem/0000-0003-3828-1226</t>
  </si>
  <si>
    <t>Erciyes University; Presidency of the Republic of Turkey - Ministry of Industry and Technology; TUBITAK [118Z587, 121Z771]; Turkish Academy of Science (TUEBA); J.G. Mendel station (CzechPolar projects - Ministry of Education, Youth and Sports of the Czech Republic) [LM2010009, LM2015078]; ITU Polrec</t>
  </si>
  <si>
    <t>Erciyes University(Erciyes University); Presidency of the Republic of Turkey - Ministry of Industry and Technology; TUBITAK(Turkiye Bilimsel ve Teknolojik Arastirma Kurumu (TUBITAK)); Turkish Academy of Science (TUEBA)(Turkish Academy of Sciences); J.G. Mendel station (CzechPolar projects - Ministry of Education, Youth and Sports of the Czech Republic); ITU Polrec</t>
  </si>
  <si>
    <t>The first author thanks to Erciyes University for their financial support to conduct the field work on James Ross Island, Antarctica, to ITU Polrec for their support, and to the J.G. Mendel station for infrastructure and facilities. This study was carried under the auspices of the Presidency of the Republic of Turkey, supported by the Ministry of Industry and Technology, and coordinated by TUBITAK MAM Polar Research Institute and financially supported by TUBITAK 118Z587 and 121Z771 coded projects and Turkish Academy of Science (TUEBA) . The authors are also grateful for the support provided by the J.G. Mendel station (CzechPolar projects provided by the Ministry of Education, Youth and Sports of the Czech Republic (LM2010009 and LM2015078) .</t>
  </si>
  <si>
    <t>10.5817/CPR2023-1-1</t>
  </si>
  <si>
    <t>U5EM6</t>
  </si>
  <si>
    <t>WOS:001085029000001</t>
  </si>
  <si>
    <t>Hrbácek, F; Knazková, M; Farzamian, M; Baptista, J</t>
  </si>
  <si>
    <t>Hrbacek, Filip; Knazkova, Michaela; Farzamian, Mohammad; Baptista, Joana</t>
  </si>
  <si>
    <t>Variability of soil moisture on three sites in the Northern Antarctic Peninsula in 2022/23</t>
  </si>
  <si>
    <t>soil moisture; soil thermal regime; permafrost; freeze-thaw processes</t>
  </si>
  <si>
    <t>KING GEORGE ISLAND; UNFROZEN WATER-CONTENT; ACTIVE LAYER; BARTON PENINSULA; THERMAL REGIME; PERMAFROST; DEGLACIATION; ENVIRONMENT; VEGETATION; CURVES</t>
  </si>
  <si>
    <t>Soil moisture represents one of the crucial parameters of the terrestrial environments in Antarctica. It affects the biological abundance and also the thermal state of the soils. In this study, we present one year of volumetric water content and soil temperature measwater content at all sites increased with depth. The mean summer values were between 0.24 and 0.37 cm(3)/cm(3) (James Ross Island), 0.30 and 0.40 cm(3)/cm(3) (Nelson Island) and 0.11 and 0.36 cm(3)/cm(3) (King George Island). We found that the freezing point of the soils was close to 0 C-degrees on Nelson Island and King George Island. We attributed the lower temperature of soil freezing around -0.5 C-degrees on James Ross Island to the site location close to the sea. Even though the sites are located in the distinctive climate zones and comprise of contrasting soil types, the only differences of moisture regime were observed the surficial layer of the studied sites.</t>
  </si>
  <si>
    <t>[Hrbacek, Filip; Knazkova, Michaela] Masaryk Univ, Dept Geog, Polar Geo Lab, Kotlarska 2, Brno 61137, Czech Republic; [Farzamian, Mohammad] Inst Nacl Invest Agr &amp; Vet INIAV, P-2784505 Oeiras, Portugal; [Farzamian, Mohammad; Baptista, Joana] IGOT Univ Lisboa, Ctr Estudos Geog, Lisbon, Portugal</t>
  </si>
  <si>
    <t>Masaryk University Brno; Universidade de Lisboa</t>
  </si>
  <si>
    <t>Hrbácek, F (corresponding author), Masaryk Univ, Dept Geog, Polar Geo Lab, Kotlarska 2, Brno 61137, Czech Republic.</t>
  </si>
  <si>
    <t>hrbacekfilip@gmail.com</t>
  </si>
  <si>
    <t>Farzamian, Mohammad/K-9804-2015</t>
  </si>
  <si>
    <t>Czech Scientific Foundation [GM22-28659M]; Czech Antarctic Research Programme - MEYS of Czech Republic; Thawimpact - Fundacao para a Ciencia e a Tecnologia of Portugal [2022.06628.PTDC]</t>
  </si>
  <si>
    <t>Czech Scientific Foundation(Grant Agency of the Czech Republic); Czech Antarctic Research Programme - MEYS of Czech Republic; Thawimpact - Fundacao para a Ciencia e a Tecnologia of Portugal</t>
  </si>
  <si>
    <t>This work was supported by Czech Scientific Foundation project (GM22-28659M) and Czech Antarctic Research Programme funded by MEYS of Czech Republic and Thawimpact project (2022.06628.PTDC) funded by Fundacao para a Ciencia e a Tecnologia of Portugal. We acknowledge Ondrej Zverina and Christopher Stringer for the annual maintenance of the site on Nelson Island.</t>
  </si>
  <si>
    <t>10.5817/CPR2023-1-2</t>
  </si>
  <si>
    <t>WOS:001085029000002</t>
  </si>
  <si>
    <t>Tochácek, J; Láska, K; Bálková, R; Kapler, P; Váczi, P; Krmícek, L</t>
  </si>
  <si>
    <t>Tochacek, Jiri; Laska, Kamil; Balkova, Radka; Kapler, Pavel; Vaczi, Peter; Krmicek, Lukas</t>
  </si>
  <si>
    <t>Antarctica - A unique location for the testing of polymers</t>
  </si>
  <si>
    <t>weathering; plastics; polymers; degradation; outdoor exposure; Antarctica</t>
  </si>
  <si>
    <t>SOLAR UV-RADIATION; TEMPERATURE; POLYPROPYLENE; VARIABILITY; MARAMBIO; OZONE</t>
  </si>
  <si>
    <t>The Johann Gregor Mendel Czech Antarctic Station (JGM), located in the northern part of James Ross Island in Antarctica, provides a facility for research in many scientific disciplines, such as geography, geology, climatology and biology. In 2015 its activities were extended by the testing of plastics. When synthetic polymers, often referred to as plastics, are exposed to outdoor conditions they undergo irreversible changes due to the absorption of incident solar UV radiation and the consequent reactions with oxygen. Their stability and reliability for outdoor applications are tested through weathering at various locations around the world. Until 2015, when systematic research into plastics started at the JGM, no information on the resistance of plastics to the Antarctic climate was available.</t>
  </si>
  <si>
    <t>[Tochacek, Jiri] Brno Univ Technol, Cent European Inst Technol CEITEC, Purkynova 123, Brno 61200, Czech Republic; [Laska, Kamil; Kapler, Pavel] Masaryk Univ, Fac Sci, Dept Geog, Kotlarska 2, Brno 61137, Czech Republic; [Balkova, Radka] Brno Univ Technol, Fac Chem, Purkynova 118, Brno 61200, Czech Republic; [Vaczi, Peter] Masaryk Univ, Fac Sci, Dept Expt Plant Biol, Kamenice 753-5, Brno 62500, Czech Republic; [Krmicek, Lukas] Brno Univ Technol, Inst Geotech, Fac Civil Engn, Veveri 95, Brno 60200, Czech Republic</t>
  </si>
  <si>
    <t>Brno University of Technology; Masaryk University Brno; Brno University of Technology; Masaryk University Brno; Brno University of Technology</t>
  </si>
  <si>
    <t>Tochácek, J (corresponding author), Brno Univ Technol, Cent European Inst Technol CEITEC, Purkynova 123, Brno 61200, Czech Republic.</t>
  </si>
  <si>
    <t>Jiri.Tochacek@ceitec.vutbr.cz</t>
  </si>
  <si>
    <t>Ministry of Education, Youths and Sports of the Czech Republic [LQ1601]</t>
  </si>
  <si>
    <t>Ministry of Education, Youths and Sports of the Czech Republic(Ministry of Education, Youth &amp; Sports - Czech Republic)</t>
  </si>
  <si>
    <t>The research was founded by the CEITEC 2020 (LQ1601) project with financial contribution made by the Ministry of Education, Youths and Sports of the Czech Republic within special support paid from the National Programme for Sustainability II funds. The authors are also grateful to the crew of J. G. Mendel station for fieldwork assistance and research infrastructure facilities supported by the Ministry of Education, Youth and Sports of the Czech Republic and the project VAN 2022. A BERA Gravel FixTM provided by CEGAN s.r.o., Slapanice, Czech Republic, is highly appreciated.</t>
  </si>
  <si>
    <t>10.5817/CPR2023-1-4</t>
  </si>
  <si>
    <t>WOS:001085029000004</t>
  </si>
  <si>
    <t>Golubev, S</t>
  </si>
  <si>
    <t>Golubev, Sergey</t>
  </si>
  <si>
    <t>Marine mammals records in the Haswell archipelago, East Antarctica</t>
  </si>
  <si>
    <t>Davis Sea; Mirny Station; cetaceans; pinnipeds</t>
  </si>
  <si>
    <t>This is the first comprehensive review of marine mammal records from the Haswell archipelago (Davis Sea, East Antarctica), collected in 1912-2016. The goal of the review is to provide baseline ecological and faunal information on the marine mammals during the historical period (species diversity and status). Eight marine mammal species were recorded within the survey area. Ross seals (Ommatophoca rossii) and sei whales (Balaenoptera borealis) were seen very rarely. Killer whales (Orcinus orca), southern elephant seals (Mirounga leonina) and leopard seals (Hydrurga leptonyx) appeared rare -ly and few in numbers. Crabeater seals (Lobodon carcinophaga) were rare in general but common during the rare seasons of early fast ice breaking. Weddell seals (Leptonychotes weddellii) were common year-round. Antarctic minke whales (Balaenoptera bonaeren-sis) were seasonally common. Weddell seals and Antarctic minke whales were recorded annually. Only Weddell seals were found year-round. Leopard seals were seasonal resi-dents, the remaining species were seasonal visitors in the area. The archipelago is an annual breeding site for Weddell seals (up to 10 pups per breeding season). Rare breed -ing of crabeater seals is possible. The information presented in this paper was obtained mostly through random observations and few historical records. During the long-term monitoring, a single agreed-upon data collection protocol was not used. As a result, the status of each marine mammal species in this paper should be regarded as preliminary. The review represents a basis for the development of further research programs. A uni-fied protocol for the year-round registration of marine mammals under the conditions of the Mirny Station for the program for monitoring the biota of the Haswell archipelago is proposed.</t>
  </si>
  <si>
    <t>[Golubev, Sergey] Russian Acad Sci, Papanin Inst Biol Inland Waters, Borok 152742, Russia</t>
  </si>
  <si>
    <t>Russian Academy of Sciences; Papanin Institute for Biology of Inland Waters</t>
  </si>
  <si>
    <t>Golubev, S (corresponding author), Russian Acad Sci, Papanin Inst Biol Inland Waters, Borok 152742, Russia.</t>
  </si>
  <si>
    <t>gol_arctic@mail.ru</t>
  </si>
  <si>
    <t>10.5817/CPR2023-1-5</t>
  </si>
  <si>
    <t>WOS:001085029000005</t>
  </si>
  <si>
    <t>Puhovkin, A; Smykla, J; Váczi, P; Parnikoza, I</t>
  </si>
  <si>
    <t>Puhovkin, Anton; Smykla, Jerzy; Vaczi, Peter; Parnikoza, Ivan</t>
  </si>
  <si>
    <t>Spectral characteristics of bryophyte carpet and mat subforma- tion showing a vitality-dependent color pattern: Comparison for two distant regions of maritime Antarctica</t>
  </si>
  <si>
    <t>spectral reflectance; maritime Antarctica; moss communities; ecological; monitoring; NDVI; PRI; moss species resistance; Galindez Island; Nelson Island</t>
  </si>
  <si>
    <t>CHLOROPHYLL CONTENT; REFLECTANCE; VEGETATION; MOSS; STRESS; LEAF; TOLERANCE; RESPONSES; INDEX; OSAVI</t>
  </si>
  <si>
    <t>Spectral characteristics of the bryophyte carpet and mat subformation on Nelson Island analyzed using spectral reflectance characteristics. A set of 9 specific reflectance indices were calculated and compared between two locations for the same type of moss vegetation formed by Sanionia georgicouncinata and Warnstorfia spp. The Normalized Difference Vegetation Index (NDVI) is efficient in discriminating between the two contrasting color/ecological moss community classes, i.e. such as less vigorous or dead and vigorous. However, NDVI is not sufficiently sensitive to discriminate intermediate vitality states. Presented data also demonstrates that complementary application of two indices, NDVI and Photochemical Reflectance Index (PRI), can be promising for followup studies focused on the determination of the color differences attributed to ecolophysiological state of a moss community. With the same values of NDVI, bryophyte carpet and mat subformation on Galindez Island are characterized by higher values of the OSAVI, which can be used as an indicator for further monitoring.</t>
  </si>
  <si>
    <t>[Puhovkin, Anton; Vaczi, Peter] Masaryk Univ, Fac Sci, Dept Expt Biol, Kamenice 5,A13-119, Brno 62500, Czech Republic; [Puhovkin, Anton] Minist Educ &amp; Sci Ukraine, State Inst, Natl Antarctic Sci Ctr, Taras Shevchenko Blvd 16, UA-01601 Kiev, Ukraine; [Puhovkin, Anton] Natl Acad Sci Ukraine, Inst Problems Cryobiol &amp; Cryomed, Pereyaslavska Str 23, UA-61016 Kharkiv, Ukraine; [Smykla, Jerzy; Parnikoza, Ivan] Polish Acad Sci, Inst Nat Conservat, Adam Mickiewicz Ave 33, PL-31120 Krakow, Poland; [Parnikoza, Ivan] Natl Acad Sci Ukraine, Inst Mol Biol Ukraine, Zabolotnoho Str 150, UA-03143 Kiev, Ukraine</t>
  </si>
  <si>
    <t>Masaryk University Brno; Ministry of Education &amp; Science of Ukraine; State Institution National Antarctic Scientific Center; National Academy of Sciences Ukraine; Institute for Problems of Cryobiology &amp; Cryomedicine of NASU; Polish Academy of Sciences; National Academy of Sciences Ukraine</t>
  </si>
  <si>
    <t>Puhovkin, A (corresponding author), Masaryk Univ, Fac Sci, Dept Expt Biol, Kamenice 5,A13-119, Brno 62500, Czech Republic.;Puhovkin, A (corresponding author), Minist Educ &amp; Sci Ukraine, State Inst, Natl Antarctic Sci Ctr, Taras Shevchenko Blvd 16, UA-01601 Kiev, Ukraine.;Puhovkin, A (corresponding author), Natl Acad Sci Ukraine, Inst Problems Cryobiol &amp; Cryomed, Pereyaslavska Str 23, UA-61016 Kharkiv, Ukraine.</t>
  </si>
  <si>
    <t>antonpuhovkin@gmail.com</t>
  </si>
  <si>
    <t>Smykla, Jerzy/N-3288-2014; Puhovkin, Anton/ABA-5895-2021</t>
  </si>
  <si>
    <t>Puhovkin, Anton/0000-0003-4765-8849</t>
  </si>
  <si>
    <t>Czech Antarctic Research Programme (CARP); Polish Academy of Science</t>
  </si>
  <si>
    <t>The authors are grateful to prof. Milo &amp; scaron; Bartak, doc. Josef Hajek for valuable advice and discussion. The authors would like to thank doc. Daniel N &amp; yacute;vlt and ing. Pavel Kapler for the opportunity to participate in the Czech Antarctic expedition 2023 to Nelson Island. The authors are also thankful to Czech Antarctic Research Programme (CARP) and State Institution National Antarctic Scientific Center, Ministry of Education and Science of Ukraine (NASC) for the organisation of Antarctic expeditions 2023 and the possibility of this study. We also kindly thanks Prof. R. Ochyra from W. Szafer Institute of Botany, Polish Academy of Science for consultation about Antarctic bryophytes determination. I. Parnikoza was supported by project of Polish Academy of Science supporting stay of Ukrainian scientists in Poland. A. Puhovkin gratefully acknowledges the Masaryk University for the help to Ukrainian scientists.</t>
  </si>
  <si>
    <t>10.5817/CPR2023-1-9</t>
  </si>
  <si>
    <t>WOS:001085029000009</t>
  </si>
  <si>
    <t>Zakovská, A</t>
  </si>
  <si>
    <t>Zakovska, Alena</t>
  </si>
  <si>
    <t>Changes in immunological chracteristics of summer crew during a short term expedition to Antarctica</t>
  </si>
  <si>
    <t>Antarctica; extreme environment; austral summer; expedition; Mendel station; immunoglobulins</t>
  </si>
  <si>
    <t>INTERNATIONAL BIOMEDICAL EXPEDITION; CELL-MEDIATED-IMMUNITY; MUCOSAL IMMUNITY; SERUM-LEVELS; IMMUNOGLOBULINS; RESPONSES; DYNAMICS; MEMBERS; IMPACT; IGA</t>
  </si>
  <si>
    <t>The aim of this study was to examine the effect of extreme climatic conditions and isolation on levels of pre-selected immunological parameters in humans. This article describes changes in immunological parameters measured in members of the 9th Czech Antarctic Scientific Expedition during their field work in Antarctica in summer time. The total of 15 sera samples were collected in the morning shortly before the expedition, the second collection was proved in the middle and the third in the end of stay at the Czech Polar station (Mendel station). The statistically significant difference appeared in eight of 11 parameters, from which the value of C3, C4, IgA, and number of monocytes decreased; level of IgG and number of non segmented neutrophils increased. The difference was showed also in the middle of stay, when the level of IgM, number of neutrophils and lymphocytes in the first part of stay decreased, in the second increased. The way of life in the station, physical performance and extreme climatic condition, probably positively affected the results of some studied immunological parameters.</t>
  </si>
  <si>
    <t>[Zakovska, Alena] Masaryk Univ, Fac Sci, Dept Expt Biol, Sect Anim Physiol &amp; Immunol, Campus Brno Bohunice D 36,Kamenice 753-5, Brno 62500, Czech Republic; [Zakovska, Alena] Masaryk Univ, Fac Educ, Dept Biol, Porici 623-7, Brno 60300, Czech Republic</t>
  </si>
  <si>
    <t>Masaryk University Brno; Masaryk University Brno</t>
  </si>
  <si>
    <t>Zakovská, A (corresponding author), Masaryk Univ, Fac Sci, Dept Expt Biol, Sect Anim Physiol &amp; Immunol, Campus Brno Bohunice D 36,Kamenice 753-5, Brno 62500, Czech Republic.;Zakovská, A (corresponding author), Masaryk Univ, Fac Educ, Dept Biol, Porici 623-7, Brno 60300, Czech Republic.</t>
  </si>
  <si>
    <t>zakovska@ped.muni.cz</t>
  </si>
  <si>
    <t>specific research of Masaryk University [MUNI/A/1258/2022]</t>
  </si>
  <si>
    <t>specific research of Masaryk University</t>
  </si>
  <si>
    <t>The study was financially supported by specific research of Masaryk University (MUNI/A/1258/2022) .</t>
  </si>
  <si>
    <t>10.5817/CPR2023-1-11</t>
  </si>
  <si>
    <t>WOS:001085029000010</t>
  </si>
  <si>
    <t>Bendia, AG; Moreira, JCF; Ferreira, JCN; Romano, RG; Ferreira, IGC; Franco, DC; Evangelista, H; Montone, RC; Pellizari, VH</t>
  </si>
  <si>
    <t>Bendia, Amanda G.; Moreira, Julio Cezar F.; Ferreira, Juliana C. N.; Romano, Renato G.; Ferreira, Ivan G. C.; Franco, Diego C.; Evangelista, Heitor; Montone, Rosalinda C.; Pellizari, Vivian Helena</t>
  </si>
  <si>
    <t>Insights into Antarctic microbiomes: diversity patterns for terrestrial and marine habitats</t>
  </si>
  <si>
    <t>microbial diversity; microbial indicators; core microbiome; Antarctic habitats</t>
  </si>
  <si>
    <t>MCMURDO DRY VALLEYS; SP NOV.; GEN. NOV.; BACTERIAL COMMUNITIES; PROPOSAL; ECOLOGY; SNOW; MICROORGANISMS; BIODIVERSITY; TEMPERATURE</t>
  </si>
  <si>
    <t>Microorganisms in Antarctica are recognized for having crucial roles in ecosystems functioning and biogeochemical cycles. To explore the diversity and composition of microbial communities through different terrestrial and marine Antarctic habitats, we analyze 16S rRNA sequence datasets from fumarole and marine sediments, soil, snow and seawater environments. We obtained measures of alpha-and beta -diversities, as well as we have identified the core microbiome and the indicator microbial taxa of a particular habitat. Our results showed a unique microbial community structure according to each habitat, including specific taxa composing each microbiome. Marine sediments harbored the highest microbial diversity among the analyzed habitats. In the fumarole sediments, the core microbiome was composed mainly of thermophiles and hyperthermophilic Archaea, while in the majority of soil samples Archaea was absent. In the seawater samples, the core microbiome was mainly composed by cultured and uncultured orders usually identified on Antarctic pelagic ecosystems. Snow samples exhibited common taxa previously described for habitats of the Antarctic Peninsula, which suggests long-distance dispersal processes occurring from the Peninsula to the Continent. This study contributes as a baseline for further efforts on evaluating the microbial responses to environmental conditions and future changes.</t>
  </si>
  <si>
    <t>[Bendia, Amanda G.; Moreira, Julio Cezar F.; Ferreira, Juliana C. N.; Romano, Renato G.; Ferreira, Ivan G. C.; Franco, Diego C.; Pellizari, Vivian Helena] Univ Sao Paulo, Inst Oceanog Biol, Dept Oceanog, Cidade Univ,Praca Oceanog 191, BR-05508120 Sao Paulo, SP, Brazil; [Evangelista, Heitor] Univ Estado Rio De Janeiro UERJ, Inst Biol Roberto Alcantara Gomes, BR-20550011 Rio De Janeiro, RJ, Brazil; [Montone, Rosalinda C.] Univ Sao Paulo, Dept Oceanog Fis Quim &amp; Geol, Inst Oceanog, Cidade Univ,Praca Oceanog 191, BR-05508900 Sao Paulo, SP, Brazil</t>
  </si>
  <si>
    <t>Universidade de Sao Paulo; Universidade do Estado do Rio de Janeiro; Universidade de Sao Paulo</t>
  </si>
  <si>
    <t>Bendia, AG (corresponding author), Univ Sao Paulo, Inst Oceanog Biol, Dept Oceanog, Cidade Univ,Praca Oceanog 191, BR-05508120 Sao Paulo, SP, Brazil.</t>
  </si>
  <si>
    <t>amandagb@usp.br</t>
  </si>
  <si>
    <t>Evangelista, Heitor/C-7561-2013; Montone, Rosalinda/J-9110-2012; Franco, Diego/J-6987-2015</t>
  </si>
  <si>
    <t>Bendia, Amanda/0000-0003-0042-8990; Montone, Rosalinda/0000-0002-9586-1000; Evangelista, Heitor/0000-0001-9832-1141; Romano, Renato/0000-0003-3687-5469; Franco, Diego/0000-0002-0731-9511</t>
  </si>
  <si>
    <t>Conselho Nacional de Desenvolvimento Cientfico e Tecnologico (CNPq) [009/2012]; Brazilian Ministry of the Environment (MMA); Brazilian Antarctic Program (ProAntar); [2012/23241-0]</t>
  </si>
  <si>
    <t>Conselho Nacional de Desenvolvimento Cientfico e Tecnologico (CNPq)(Conselho Nacional de Desenvolvimento Cientifico e Tecnologico (CNPQ)); Brazilian Ministry of the Environment (MMA); Brazilian Antarctic Program (ProAntar);</t>
  </si>
  <si>
    <t>We thank the captain and the crew of the research polar vessel Almirante Maximiano, and the chief and team of the Comandante Ferraz Brazilian Antarctic Station for their support in sampling during the OPERANTARs XXX to XXXV. We thank the Criosfera 1 team, in special Dr. Emanuele Kuhn, for their support in sampling during OPERANTAR XXXII. We are very thankful to LECOM's research team, and Rosa C. Gamba for their scientific support. This study was part of the projects Microsfera (CNPq 407816/2013-5) , INCT-Criosfera (CNPq 028306/2009-Criosfera 1 module) and MonitorAntar (USP-IO/MMA-SBF Agreement No.009/2012) , supported by the Conselho Nacional de Desenvolvimento Cientifico e Tecnologico (CNPq) , Brazilian Ministry of the Environment (MMA) and the Brazilian Antarctic Program (ProAntar) . The Fundacao de Amparo a Pesquisa do Estado de Sao Paulo - FAPESP supported the AB Doctorate's fellowship (2012/23241-0) . The authors declare that the research was conducted in the absence of any commercial or financial relationships that could be construed as a potential conflict of interest.r -Criosfera 1 module) and MonitorAntar (USP-IO/MMA-SBF Agreement No.009/2012) , supported by the Conselho Nacional de Desenvolvimento Cientifico e Tecnologico (CNPq) , Brazilian Ministry of the Environment (MMA) and the Brazilian Antarctic Program (ProAntar) . The Fundacao de Amparo a Pesquisa do Estado de Sao Paulo - FAPESP supported the AB Doctorate's fellowship (2012/23241-0) . The authors declare that the research was conducted in the absence of any commercial or financial relationships that could be construed as a potential conflict of interest.</t>
  </si>
  <si>
    <t>e20211442</t>
  </si>
  <si>
    <t>10.1590/0001-3765202320211442</t>
  </si>
  <si>
    <t>U4VM3</t>
  </si>
  <si>
    <t>WOS:001084792900001</t>
  </si>
  <si>
    <t>Cataldo, M; Evangelista, H; Pereira, JAA; Bertho, AL; Pellizari, V; Kuhn, E; Sampaio, M; da Cunha, KD; Alencar, AS; Anjos, D; Amaral, C</t>
  </si>
  <si>
    <t>Cataldo, Marcio; Evangelista, Heitor; Pereira, Jose Augusto A.; Bertho, Alvaro Luiz; Pellizari, Vivian; Kuhn, Emanuele; Sampaio, Marcelo; da Cunha, Kenya D.; Alencar, Alexandre S.; Anjos, Dafne; Amaral, Cesar</t>
  </si>
  <si>
    <t>Aerobiology in High Latitudes: Evidence of Bacteria Acting as Tracer of Warm Air Mass Advection reaching Northern Antarctic Peninsula</t>
  </si>
  <si>
    <t>extremophiles; atmospheric transport; Antarctica; atmospheric tracers; aerobiology</t>
  </si>
  <si>
    <t>GRADIENT GEL-ELECTROPHORESIS; KING-GEORGE-ISLAND; BACILLUS-CEREUS; SEEDLING GROWTH; PLANT-GROWTH; LIFE-CYCLE; RHIZOSPHERE; POPULATIONS; SUBTILIS; GENES</t>
  </si>
  <si>
    <t>Despite the extent use of geochemical tracers to track warm air mass origin reaching the Antarctic continent, we present here evidences that microorganisms being transported by the atmosphere and deposited in fresh snow layers of Antarctic ice sheets do act as tracers of air mass advection from the Southern Patagonia region to Northern Antarctic Peninsula. We combined atmospheric circulation data with microorganism content in snow/firn samples collected in two sites of the Antarctic Peninsula (King George Island/Wanda glacier and Detroit Plateau) by using flow cytometer quantification. In addition, we cultivated, isolated and submitted samples to molecular sequencing to precise species classification. Viable gram-positive bacteria were found and recovered in different snow/firn layers samples, among dead and living cells, their number concentration was compared to northern wind component, stable isotopes of oxygen, d18O, and the concentration of crustal elements (Fe, Ti and Ca). Use of satellite images combined with air mass back-trajectory analysis obtained from the NOAA/ HYSPLIT model corroborated the results.</t>
  </si>
  <si>
    <t>[Cataldo, Marcio; Evangelista, Heitor; Alencar, Alexandre S.; Anjos, Dafne; Amaral, Cesar] Univ Estado Rio De Janeiro, Dept Biofis &amp; Biometria, Lab Radioecol &amp; Mudancas Globais, PHLC, Rua S Francisco Xavier 524, BR-20550013 Rio De Janeiro, RJ, Brazil; [Pereira, Jose Augusto A.] Univ Estado Rio De Janeiro, Dept Microbiol, S Francisco Xavier 524, BR-20550013 Rio De Janeiro, RJ, Brazil; [Bertho, Alvaro Luiz] Fundacao Oswaldo Cruz, Dept Imunol, Lab Imunoparasitol, Ave Brasil 4365, BR-21040360 Rio De Janeiro, RJ, Brazil; [Pellizari, Vivian; Kuhn, Emanuele] Univ Sao Paulo, Dept Oceanog Biol, Lab Ecol Microbiana, Inst Oceanog, Praca Oceanog 191, BR-05508120 Sao Paulo, SP, Brazil; [Sampaio, Marcelo] INPE Inst Nacl Pesquisas Espaciais, Div Heliofis Ciencias Planetarias &amp; Aeron DIHPA, Ave Astronautas 1758, BR-12227010 Sao Jose Dos Campos, SP, Brazil; [da Cunha, Kenya D.] Comissao Nacl Energia Nucl, Inst Radioprotecao &amp; Dosimetria, Ave Salvador Allende S-N, BR-22780160 Rio De Janeiro, RJ, Brazil; [da Cunha, Kenya D.] Pontificia Univ Catolica Rio De Janeiro, Dept Fis, Lab Graaff, Rua Marques Sao Vicente 225, BR-22451900 Rio De Janeiro, RJ, Brazil; [Alencar, Alexandre S.] Univ Veiga Almeida, Ciencias Biol, Campus Tijuca,Rua Ibituruna 108, BR-20271020 Rio De Janeiro, RJ, Brazil</t>
  </si>
  <si>
    <t>Universidade do Estado do Rio de Janeiro; Universidade do Estado do Rio de Janeiro; Fundacao Oswaldo Cruz; Universidade de Sao Paulo; Instituto Nacional de Pesquisas Espaciais (INPE); Comissao Nacional de Energia Nuclear (CNEN); Instituto de Radioprotecao e Dosimetria; Universidade Veiga de Almeida (UVA)</t>
  </si>
  <si>
    <t>Amaral, C (corresponding author), Univ Estado Rio De Janeiro, Dept Biofis &amp; Biometria, Lab Radioecol &amp; Mudancas Globais, PHLC, Rua S Francisco Xavier 524, BR-20550013 Rio De Janeiro, RJ, Brazil.</t>
  </si>
  <si>
    <t>cesarrlamaral@gmail.com</t>
  </si>
  <si>
    <t>Evangelista, Heitor/C-7561-2013; Bertho, Alvaro Luiz/JXN-0369-2024</t>
  </si>
  <si>
    <t>Anjos, Dafne/0000-0002-0769-2279; Evangelista, Heitor/0000-0001-9832-1141; Bertho, Alvaro Luiz/0000-0002-0962-1925; Alencar, Alexandre/0000-0002-8104-1781</t>
  </si>
  <si>
    <t>FAPERJ - CNPq/PROANTAR [55.0353/2002-0]; FAPERJ; CNPq/PROANTAR [55.0353/2002-0]</t>
  </si>
  <si>
    <t>FAPERJ - CNPq/PROANTAR(Fundacao Carlos Chagas Filho de Amparo a Pesquisa do Estado do Rio De Janeiro (FAPERJ)); FAPERJ(Fundacao Carlos Chagas Filho de Amparo a Pesquisa do Estado do Rio De Janeiro (FAPERJ)); CNPq/PROANTAR(Conselho Nacional de Desenvolvimento Cientifico e Tecnologico (CNPQ))</t>
  </si>
  <si>
    <t>We thank Ivan and Denilson for helping with the sterilization of the sampling equipment. We thank FAPERJ to have provided scholarship. This research was funded by CNPq/PROANTAR (process: 55.0353/2002-0) and logistics provided by SCIRM and CAP (Clube Alpino Paulista) . We also thank the CASA project and University of Maine to have provided the samplings at Detroit Plateau and measurements of the stable isotopes of oxygen.</t>
  </si>
  <si>
    <t>e20210807</t>
  </si>
  <si>
    <t>10.1590/0001-3765202320210807</t>
  </si>
  <si>
    <t>U5RD7</t>
  </si>
  <si>
    <t>WOS:001085365700001</t>
  </si>
  <si>
    <t>de Souza, AM; Peres, L; Bittencourt, GD; Pinheiro, DK; Lopes, BC; Anabor, V; Leme, NMP; Martins, MPP; da Silva, R; dos Reis, GCG; dos Reis, MAG; Bageston, J; Bencherif, H</t>
  </si>
  <si>
    <t>de Souza, Alanna M.; Peres, Lucas, V; Bittencourt, Gabriela D.; Pinheiro, Damaris K.; Lopes, Bibiana C.; Anabor, Vagner; Leme, Neusa M. p.; Martins, Maria Paulete P.; da Silva, Rodrigo; dos Reis, Gabriela C. g.; dos Reis, Marco Antonio G.; Bageston, Jose, V; Bencherif, Hassan</t>
  </si>
  <si>
    <t>Impacts of the antartic ozone hole influence events over southern Brazil in October 2015</t>
  </si>
  <si>
    <t>Antarctic Ozone Hole; Southern Brazil; potential vorticity; UV index</t>
  </si>
  <si>
    <t>ROSSBY-WAVE BREAKING; ULTRAVIOLET-RADIATION; UV-RADIATION; POLAR VORTEX; DEPLETION; TRANSPORT; IDENTIFICATION; SCATTERING; DYNAMICS; BARRIERS</t>
  </si>
  <si>
    <t>impact of the Antarctic Ozone Hole Influence over Southern Brazil in October 2015 was analyzed using daily mean data of the Total Column Ozone (TCO), Ultraviolet Index (UVI) and Radiative Cloud Fraction (RCF) from the Ozone Monitoring Instrument satellite instrument. Vertical profiles and fields of ozone content and Potential Vorticity available from the European Centre for Medium-Range Weather Forecast reanalysis, air masses backward trajectories from the HYbrid Single-Particle Lagrangian Integrated Trajectory model and channel 3 water vapor images from the Geostationary Operational Environmental Satellite GOES-13 were also analyzed. The five identified events showed an-7.4 +/- 2.3% average TCO reduction, leading to an +16.6 +/- 54.6% UVI increase even with a predominance of partly cloudy days. Other impacts were observed in the ozone profiles, where the most significant anomalies occurred from 650 K reaching 1.2 ppmv at the 850 K level. In the ozone fields at 700 K, the presence of a polar origin tongue was observed causing negatives anomalies between-0.2 and 0.4 ppmv in a transient system format forced with eastward-traveling Rossby waves passing through the Southern of Brazil and Uruguay.</t>
  </si>
  <si>
    <t>[de Souza, Alanna M.; Peres, Lucas, V; da Silva, Rodrigo; dos Reis, Gabriela C. g.; dos Reis, Marco Antonio G.] Univ Fed Oeste Para, Inst Engn &amp; Geociencias, Rua Vera Paz S-N, BR-68040255 Santarem, PA, Brazil; [Bittencourt, Gabriela D.; Pinheiro, Damaris K.; Lopes, Bibiana C.; Anabor, Vagner] Univ Fed Santa Maria, Programa Posgrad Meteorol, Ave Roraima 1000, BR-97105900 Santa Maria, Rio Grande RSSu, Brazil; [Leme, Neusa M. p.] Inst Nacl Pesquisas Espaciais, Coordenacao Espacial Nordeste, Rua Carlos Serrano 2073, BR-59076740 Natal, RN, Brazil; [Martins, Maria Paulete P.] Inst Nacl Pesquisas Espaciais, Coordenacao Geral Engn Tecnol &amp; Ciencias Espaciai, Ave Astronautas 1758, BR-12227010 Sao Jose Dos Campos, SP, Brazil; [Bageston, Jose, V] Inst Nacl Pesquisas Espaciais, Coordenacao Espacial, Ave Roraima 1000, BR-97105340 Santa Maria, RS, Brazil; [Bencherif, Hassan] Univ La Reunion, Lab Atmosphere &amp; Cyclones LACy, UMR 8105, Reunionl, F-97744 Reunion Isl, France</t>
  </si>
  <si>
    <t>Universidade Federal do Oeste do Para; Universidade Federal de Santa Maria (UFSM); Instituto Nacional de Pesquisas Espaciais (INPE); Instituto Nacional de Pesquisas Espaciais (INPE); Instituto Nacional de Pesquisas Espaciais (INPE); University of La Reunion; Centre National de la Recherche Scientifique (CNRS); CNRS - National Institute for Earth Sciences &amp; Astronomy (INSU)</t>
  </si>
  <si>
    <t>Peres, L (corresponding author), Univ Fed Oeste Para, Inst Engn &amp; Geociencias, Rua Vera Paz S-N, BR-68040255 Santarem, PA, Brazil.</t>
  </si>
  <si>
    <t>Bencherif, Hichem/W-5849-2019</t>
  </si>
  <si>
    <t>Anabor, Vagner/0000-0002-7301-2075; Pinheiro, Damaris/0000-0001-6939-7091</t>
  </si>
  <si>
    <t>Institutional Scientific Initiation Scholarship Program (PIBIC-UFOPA); Coordenacao de Aperfeicoamento de Pessoal de Nivel Superior (CAPES/COFECUB) [88887.130199/201701]; Instituto Nacional de Ciencia e Tecnologia Antarico de Pesquisas Ambientais; Conselho Nacional de Desenvolvimento Cientifico e Tecnologico-CNPq [574018/2008-5]; Fundacao de Amparo a Pesquisa do Estado do Rio de Janeiro-FAPERJ [E-16/170.023/2008]</t>
  </si>
  <si>
    <t>Institutional Scientific Initiation Scholarship Program (PIBIC-UFOPA); Coordenacao de Aperfeicoamento de Pessoal de Nivel Superior (CAPES/COFECUB)(Coordenacao de Aperfeicoamento de Pessoal de Nivel Superior (CAPES)); Instituto Nacional de Ciencia e Tecnologia Antarico de Pesquisas Ambientais; Conselho Nacional de Desenvolvimento Cientifico e Tecnologico-CNPq(Conselho Nacional de Desenvolvimento Cientifico e Tecnologico (CNPQ)); Fundacao de Amparo a Pesquisa do Estado do Rio de Janeiro-FAPERJ(Fundacao Carlos Chagas Filho de Amparo a Pesquisa do Estado do Rio De Janeiro (FAPERJ))</t>
  </si>
  <si>
    <t>This work is a Bachelor in Atmospheric Sciences course at the Federal University of Western Para product, with financial support from the Institutional Scientific Initiation Scholarship Program (PIBIC-UFOPA) . The authors express their thanks to the MESO Project-Modeling and Prediction of the Secondary Effects of the Antarctic Ozone Hole, linked to the Coordenacao de Aperfeicoamento de Pessoal de Nivel Superior (CAPES/COFECUB) , Process No. 88887.130199/201701 and Instituto Nacional de Ciencia e Tecnologia Antarico de Pesquisas Ambientais, Conselho Nacional de Desenvolvimento Cientifico e Tecnologico-CNPq process no. 574018/2008-5 and Fundacao de Amparo a Pesquisa do Estado do Rio de Janeiro-FAPERJ process no. E-16/170.023/2008. They also thank NASA for the OMI satellite data, ECMWF/ERA-Interim for the daily ozone and PV data, and NOAA for the products generated through the HYSPLIT model.</t>
  </si>
  <si>
    <t>e20210528</t>
  </si>
  <si>
    <t>10.1590/0001-3765202320210528</t>
  </si>
  <si>
    <t>U5RD4</t>
  </si>
  <si>
    <t>WOS:001085365400001</t>
  </si>
  <si>
    <t>Pérez, NAA</t>
  </si>
  <si>
    <t>Perez, Natalia A. Accossano</t>
  </si>
  <si>
    <t>Crossroads in the White Desert. Voyages of Discovery and Scientific Expeditions with Warner Herzog and Adriana Lestido</t>
  </si>
  <si>
    <t>452 F-REVISTA DE TEORIA DE LA LITERATURA Y LITERATURA COMPARADA</t>
  </si>
  <si>
    <t>Landscape; Sublime; Film; Travel Writing</t>
  </si>
  <si>
    <t>|| In this work, we aim to analyse two works -one cinematic and the other literary- which originated in voyages to the white desert of the Antarctic. The landscapes are poetically presented in these works as desolate, menacing, and isolated, thus linking them with the aesthetic category of the sublime. In Encounters at the End of the World (2007), the filmmaker Werner Herzog lives together with scientists at McMurdo Antarctic base and depicts them as figures of that white landscape. In Antartida negra (2017) Adriana Lestido, the photographer, sets off in on a trip in search of the absolute white. In view of the former, it is our aim to study the way in which these works take place in the landscapes of the sublime: what changes, what stays, what was sought and what is finally found, and how this solitude and this purity are represented in our time.</t>
  </si>
  <si>
    <t>[Perez, Natalia A. Accossano] Univ Nacl Rio Negro, LabTIS, San Carlos De Bariloche, Argentina</t>
  </si>
  <si>
    <t>Pérez, NAA (corresponding author), Univ Nacl Rio Negro, LabTIS, San Carlos De Bariloche, Argentina.</t>
  </si>
  <si>
    <t>naccos88@gmail.com</t>
  </si>
  <si>
    <t>UNIV BARCELONA, FACULTAD FILOLOGIA</t>
  </si>
  <si>
    <t>BARCELONA</t>
  </si>
  <si>
    <t>GRAN VIA DE LES CORTS CATALANES, 585, BARCELONA, 08007, SPAIN</t>
  </si>
  <si>
    <t>2013-3294</t>
  </si>
  <si>
    <t>452 F-REV TEOR LIT L</t>
  </si>
  <si>
    <t>452 F-Rev. Teor. Lit. Llit. Comp.</t>
  </si>
  <si>
    <t>10.1344/452f.2023.29.7</t>
  </si>
  <si>
    <t>Literature</t>
  </si>
  <si>
    <t>U1KX6</t>
  </si>
  <si>
    <t>WOS:001082472800006</t>
  </si>
  <si>
    <t>Wolfe, R; Yang, YW; Howe, B; Caliskan, A</t>
  </si>
  <si>
    <t>Wolfe, Robert; Yang, Yiwei; Howe, Bill; Caliskan, Aylin</t>
  </si>
  <si>
    <t>Contrastive Language-Vision AI Models Pretrained on Web-Scraped Multimodal Data Exhibit Sexual Objectification Bias</t>
  </si>
  <si>
    <t>PROCEEDINGS OF THE 6TH ACM CONFERENCE ON FAIRNESS, ACCOUNTABILITY, AND TRANSPARENCY, FACCT 2023</t>
  </si>
  <si>
    <t>6th ACM Conference on Fairness, Accountability, and Transparency (FAccT)</t>
  </si>
  <si>
    <t>JUN 12-15, 2023</t>
  </si>
  <si>
    <t>Chicago, IL</t>
  </si>
  <si>
    <t>language-vision AI; generative AI; text-to-image generators; representation learning; AI bias; gender bias; sexualization; AI bias propagation; AI bias in applications</t>
  </si>
  <si>
    <t>SELF-OBJECTIFICATION; MENTAL-HEALTH; WOMEN; GENDER</t>
  </si>
  <si>
    <t>Nine language-vision AI models trained on web scrapes with the Contrastive Language-Image Pretraining (CLIP) objective are evaluated for evidence of a bias studied by psychologists: the sexual objectification of girls and women, which occurs when a person's human characteristics, such as emotions, are disregarded and the person is treated as a body or a collection of body parts. We replicate three experiments in the psychology literature quantifying sexual objectification and show that the phenomena persist in trained AI models. A first experiment uses standardized images of women from the Sexual OBjectification and EMotion Database, and finds that human characteristics are disassociated from images of objectified women: the model's recognition of emotional state is mediated by whether the subject is fully or partially clothed. Embedding association tests (EATs) return significant effect sizes for both anger (d &gt; 0.80) and sadness (d &gt; 0.50), associating images of fully clothed subjects with emotions. GRAD-CAM saliency maps highlight that CLIP gets distracted from emotional expressions in objectified images where subjects are partially clothed. A second experiment measures the effect in a representative application: an automatic image captioner (Antarctic Captions) includes words denoting emotion less than 50% as often for images of partially clothed women than for images of fully clothed women. A third experiment finds that images of female professionals (scientists, doctors, executives) are likely to be associated with sexual descriptions relative to images of male professionals. A fourth experiment shows that a prompt of a [age] year old girl generates sexualized images (as determined by an NSFW classifier) up to 73% of the time for VQGAN-CLIP (age 17), and up to 42% of the time for Stable Diffusion (ages 14 and 18); the corresponding rate for boys never surpasses 9%. The evidence indicates that language-vision AI models trained on automatically collected web scrapes learn biases of sexual objectification, which propagate to downstream applications.</t>
  </si>
  <si>
    <t>[Wolfe, Robert; Yang, Yiwei; Howe, Bill; Caliskan, Aylin] Univ Washington, Seattle, WA 98195 USA</t>
  </si>
  <si>
    <t>University of Washington; University of Washington Seattle</t>
  </si>
  <si>
    <t>Wolfe, R (corresponding author), Univ Washington, Seattle, WA 98195 USA.</t>
  </si>
  <si>
    <t>rwolfe3@uw.edu; yanyiwei@uw.edu; billhowe@uw.edu; aylin@uw.edu</t>
  </si>
  <si>
    <t>U.S. National Institute of Standards and Technology (NIST) [60NANB20D212T]</t>
  </si>
  <si>
    <t>U.S. National Institute of Standards and Technology (NIST)(National Institute of Standards &amp; Technology (NIST) - USA)</t>
  </si>
  <si>
    <t>This material is based on research partially supported by the U.S. National Institute of Standards and Technology (NIST) Grant 60NANB20D212T. Any opinions, findings, and conclusions or recommendations expressed in this material are those of the authors and do not necessarily reflect those of NIST.</t>
  </si>
  <si>
    <t>978-1-4503-7252-7</t>
  </si>
  <si>
    <t>10.1145/3593013.3594072</t>
  </si>
  <si>
    <t>Computer Science, Artificial Intelligence; Computer Science, Interdisciplinary Applications; Ethics; Social Sciences, Interdisciplinary</t>
  </si>
  <si>
    <t>Computer Science; Social Sciences - Other Topics</t>
  </si>
  <si>
    <t>BV6VC</t>
  </si>
  <si>
    <t>Green Submitted, Bronze</t>
  </si>
  <si>
    <t>WOS:001062819300101</t>
  </si>
  <si>
    <t>Liu, S; Shen, LL; Xu, TM; Song, CG; Gao, N; Wu, DM; Sun, YF; Cui, BK</t>
  </si>
  <si>
    <t>Liu, S.; Shen, L. L.; Xu, T. M.; Song, C. G.; Gao, N.; Wu, D. M.; Sun, Y. F.; Cui, B. K.</t>
  </si>
  <si>
    <t>Global diversity, molecular phylogeny and divergence times of the brown-rot fungi within the Polyporales</t>
  </si>
  <si>
    <t>MYCOSPHERE</t>
  </si>
  <si>
    <t>16 new taxa; brown-rot fungi; macro-fungi; molecular clock; multi-gene; phylogeny</t>
  </si>
  <si>
    <t>WOOD-ROTTING FUNGI; ANTARCTIC PIPTOPORUS POLYPORACEAE; SP-NOV POLYPORALES; SPECIES-DIVERSITY; MORPHOLOGICAL CHARACTERS; ANTRODIA BASIDIOMYCOTA; POSTIA BASIDIOMYCOTA; CORTICIOID FUNGI; SP. NOV.; LAETIPORUS BASIDIOMYCOTA</t>
  </si>
  <si>
    <t>Brown-rot fungi are an important group of wood-decaying fungi, aside from the ecological significance as decomposer and plant pathogens in forest ecosystems, some species are edible and medicinal fungi, which have important economic value. Recent taxonomic and phylogenetic studies shown that Polyporales contains the majority of brown-rot fungi and forms 14 family-level lineages. However, its species composition and divergence time are not fully understood. In this study, we inferred phylogeny and divergence times of the brown-rot fungi within the Polyporales. The phylogenetic relationships of the brown-rot fungi within the Polyporales are reconstructed based on DNA sequences of multiple loci including the internal transcribed spacer regions (ITS), the large subunit of nuclear ribosomal RNA gene (nLSU), the small subunit of mitochondrial rRNA gene (mtSSU), the small subunit of nuclear ribosomal RNA gene (nuSSU), the largest subunit of RNA polymerase II gene (RPB1), the second largest subunit of RNA polymerase II gene (RPB2) and the translation elongation factor 1-alpha gene (TEF1). Molecular clock analysis for the divergence time of the brown-rot fungi within the Polyporales is performed using BEAST based on the seven DNA fragments (ITS, nLSU, mtSSU, nuSSU, RPB1, RPB2, TEF1). Phylogenetic and molecular clock analyses showed that Polyporales appeared in the early Cretaceous (about 141.55 Mya); species of brown-rot fungi within Polyporales gathered and formed 14 family-level lineages, and the differentiation with white-rot fungi occurred in the early Cretaceous (about 119.25 Mya); the brown-rot families of Polyporales were centralized differentiation in the middle Cretaceous (about 81.48-99.54 Mya). Through years of extensive field trip investigations, combined with relevant literature and databases, we concluded that there are 383 brown-rot fungi species within the Polyporales worldwide. Based on the evidence of morphological characters and molecular phylogenetic analyses, 383 brown-rot fungi species within Polyporales belonging to 14 families and 69 genera are recognized, including two new genera, viz., Eucalyptoporia and Resupinopostia; nine new species, viz., Daedalea submodesta, D. vinacea, Eucalyptoporia tasmanica, Fuscopostia avellaneus, F. persicinus, F. tomentosa, Niveoporofomes orientalis, Rhodoantrodia subtropica and Resupinopostia sublateritia; and five new combinations, viz., Cystidiopostia simanii, Osteina subundosa, Resupinopostia lateritia, Spongiporus japonica and S. persicinus. Additionally, an annotated checklist of the species composition, geographical distribution, host trees and some morphological characteristics of brown-rot fungi within Polyporales is given, based on the field trip investigations and published papers.</t>
  </si>
  <si>
    <t>[Liu, S.; Xu, T. M.; Song, C. G.; Sun, Y. F.; Cui, B. K.] Beijing Forestry Univ, Sch Ecol &amp; Nat Conservat, State Key Lab Efficient Prod Forest Resources, Beijing 100083, Peoples R China; [Shen, L. L.] Yichang Acad Agr Sci, Yichang 443000, Hubei, Peoples R China; [Gao, N.; Wu, D. M.] Xinjiang Acad Agr &amp; Reclamat Sci, Biotechnol Res Inst, Xinjiang Prod &amp; Construction Grp Key Lab Crop Germ, Shihezi 832000, Xinjiang, Peoples R China</t>
  </si>
  <si>
    <t>Beijing Forestry University; Xinjiang Academy of Agricultural &amp; Reclamation Science</t>
  </si>
  <si>
    <t>Sun, YF; Cui, BK (corresponding author), Beijing Forestry Univ, Sch Ecol &amp; Nat Conservat, State Key Lab Efficient Prod Forest Resources, Beijing 100083, Peoples R China.</t>
  </si>
  <si>
    <t>yifeisun2016@163.com; cuibaokai@bjfu.edu.cn</t>
  </si>
  <si>
    <t>Cui, Bao-Kai/P-8328-2014</t>
  </si>
  <si>
    <t>National Natural Science Foundation of China [32270010, U2003211]; Fundamental Research Funds for the Central Universities [QNTD202307]; Scientific and Technological Tackling Plan for the Key Fields of Xinjiang Production and Construction Corps [2021AB004]</t>
  </si>
  <si>
    <t>National Natural Science Foundation of China(National Natural Science Foundation of China (NSFC)); Fundamental Research Funds for the Central Universities(Fundamental Research Funds for the Central Universities); Scientific and Technological Tackling Plan for the Key Fields of Xinjiang Production and Construction Corps</t>
  </si>
  <si>
    <t>Acknowledgements The research is supported by the National Natural Science Foundation of China (Nos. 32270010, U2003211) , the Fundamental Research Funds for the Central Universities (No. QNTD202307) , the Scientific and Technological Tackling Plan for the Key Fields of Xinjiang Production and Construction Corps (No. 2021AB004) . The authors are very grateful to Dr. Wen-Min Qin (Institute of Applied Ecology, Chinese Academy of Sciences, China) for loan of specimens. Prof. Yu-Cheng Dai (Beijing Forestry University, China) is gratefully acknowledged for help in field collections and providing specimens and pictures.</t>
  </si>
  <si>
    <t>MYCOSPHERE PRESS</t>
  </si>
  <si>
    <t>GUIYANG</t>
  </si>
  <si>
    <t>GUIZHOU KEY LAB AGRIC BIOTECH, GUIZHOU ACAD AGRIC SCI, GUIYANG, 00000, PEOPLES R CHINA</t>
  </si>
  <si>
    <t>2077-7000</t>
  </si>
  <si>
    <t>2077-7019</t>
  </si>
  <si>
    <t>Mycosphere</t>
  </si>
  <si>
    <t>10.5943/mycosphere/14/1/18</t>
  </si>
  <si>
    <t>Mycology</t>
  </si>
  <si>
    <t>T7CR4</t>
  </si>
  <si>
    <t>WOS:001079529000001</t>
  </si>
  <si>
    <t>Prokhorova, UV; Terekhov, A; Demidov, VE; Ivanov, B; Verkulich, SR</t>
  </si>
  <si>
    <t>Prokhorova, U., V; Terekhov, A., V; Demidov, V. E.; Ivanov, B., V; Verkulich, S. R.</t>
  </si>
  <si>
    <t>Intra-Annual Variability of the Surface Ablation of the Aldegondabreen Glacier (Spitsbergen)</t>
  </si>
  <si>
    <t>Arctic; Svalbard; glacier mass balance; short-wave radiation; heat wave</t>
  </si>
  <si>
    <t>MASS-BALANCE; SVALBARD; MELT</t>
  </si>
  <si>
    <t>The intra-annual variability of the surface ice ablation on the 5.5 km2 Aldegondabreen glacier (Spitsbergen Island, Barentsburg area) is presented. The ice ablation was measured during five seasons (2018-2022) at the two stakes, installed in the lower part of the glacier and at the index site, where the amount of ablation numerically coincides with the glacier-averaged value with the r = 0.99 agreement. The temporal resolution of the ice ablation data is uneven and varies from 3 to 45 days. To carry out the correlation analysis, meteorological data from the automated weather station located near the glacier terminus are used. The ice ablation rates, obtained after normalization for the number of days between stake readings, have a tight correlation with both the air temperature and the downwelling shortwave radiation flux for most of the seasons, in 2018- 2021 (r = 0.71-0.99). Surface air temperature and short-wave radiation are closely related; the above estimates indicate the leading role of short-wave radiation in the summer ablation of the glacier in the period 2018-2021. The year 2022 became anomalous, as the correlation with the shortwave radiation significantly decreased (r = 0.21-0.34). The European heat wave of 2022, which also affected the Svalbard archipelago, interrupted the ordinary intra-annual variability of the air temperature, causing the unprecedented ice melt on Aldegondabreen in September. The predicted increase in frequency and intensity of the future heat waves will result in an increased role of turbulent fluxes in the surface energy balance of the low-elevated Svalbard glaciers. The article demonstrates how the empirically identified dependencies can change from season to season in a non-stationary climate.</t>
  </si>
  <si>
    <t>[Prokhorova, U., V; Terekhov, A., V; Demidov, V. E.; Ivanov, B., V; Verkulich, S. R.] Arctic &amp; Antarctic Res Inst, St Petersburg, Russia; [Ivanov, B., V] St Petersburg State Univ, St Petersburg, Russia</t>
  </si>
  <si>
    <t>Arctic &amp; Antarctic Research Institute; Saint Petersburg State University</t>
  </si>
  <si>
    <t>Prokhorova, UV (corresponding author), Arctic &amp; Antarctic Res Inst, St Petersburg, Russia.</t>
  </si>
  <si>
    <t>uvprokhorova@aari.ru</t>
  </si>
  <si>
    <t>Terekhov, Anton/S-1329-2016</t>
  </si>
  <si>
    <t>Project 5.1.4, Monitoring of State and Pollution of the Environment, Including the Cryosphere, in the Arctic Basin and in the Area of Scientific Station Ice Base Cape Baranov, hydrometeorological Observatory of Tiksi; Russian Scientific Centre on Spitsbergen</t>
  </si>
  <si>
    <t>The authors are grateful to the Russian Arctic Expedition on Svalbard (Arctic and Antarctic Research Institute, Saint Petersburg, Rus-sia) for providing logistics, equipment and for helping to carry out the field studies. This study was funded under Project 5.1.4, Moni-toring of State and Pollution of the Environment, In-cluding the Cryosphere, in the Arctic Basin and in the Area of Scientific Station Ice Base Cape Baranov, hy-drometeorological Observatory of Tiksi and Russian Scientific Centre on Spitsbergen, within the Plan NITR of Roshydromet 2020-2024.</t>
  </si>
  <si>
    <t>10.31857/S2076673423020138</t>
  </si>
  <si>
    <t>T3DH2</t>
  </si>
  <si>
    <t>WOS:001076817000004</t>
  </si>
  <si>
    <t>Fields, BD; Wallner, A</t>
  </si>
  <si>
    <t>Fields, Brian D.; Wallner, Anton</t>
  </si>
  <si>
    <t>Deep-Sea and Lunar Radioisotopes from Nearby Astrophysical Explosions</t>
  </si>
  <si>
    <t>ANNUAL REVIEW OF NUCLEAR AND PARTICLE SCIENCE</t>
  </si>
  <si>
    <t>supernovae; nucleosynthesis; r-process; accelerator mass spectrometry</t>
  </si>
  <si>
    <t>CORE-COLLAPSE SUPERNOVAE; NEUTRON-STAR MERGERS; R-PROCESS ELEMENTS; MASSIVE STARS; X-RAY; DUST FORMATION; LOCAL BUBBLE; COSMIC-RAYS; FE-60; NUCLEOSYNTHESIS</t>
  </si>
  <si>
    <t>Live (not decayed) radioisotopes on the Earth and Moon are messengers from recent nearby astrophysical explosions. Measurements of Fe-60 in deep-sea samples, Antarctic snow, and lunar regolith reveal two pulses about 3 Myr and 7 Myr ago. Detection of Pu-244 in a deep-sea crust indicates a recent r-process event. We review the ultrasensitive accelerator mass spectrometry techniques that enable these findings.We then explore the implications for astrophysics, including supernova nucleosynthesis, particularly the r-process, as well as supernova dust production and the formation of the Local Bubble that envelops the Solar System. The implications go beyond nuclear physics and astrophysics to include studies of heliophysics, astrobiology, geology, and evolutionary biology.</t>
  </si>
  <si>
    <t>[Fields, Brian D.] Univ Illinois, Dept Astron, Urbana, IL 61801 USA; [Fields, Brian D.] Univ Illinois, Dept Phys, Urbana, IL 61801 USA; [Fields, Brian D.] Univ Illinois, Illinois Ctr Adv Studies Universe, Urbana, IL 61801 USA; [Wallner, Anton] Helmholtz Zentrum Dresden Rossendorf, Inst Ion Beam Phys &amp; Mat Res, Dresden, Germany; [Wallner, Anton] Australian Natl Univ, Res Sch Phys, Canberra, ACT, Australia; [Wallner, Anton] Tech Univ Dresden, Inst Nucl &amp; Particle Phys, Dresden, Germany</t>
  </si>
  <si>
    <t>University of Illinois System; University of Illinois Urbana-Champaign; University of Illinois System; University of Illinois Urbana-Champaign; University of Illinois System; University of Illinois Urbana-Champaign; Helmholtz Association; Helmholtz-Zentrum Dresden-Rossendorf (HZDR); Australian National University; Technische Universitat Dresden</t>
  </si>
  <si>
    <t>Fields, BD (corresponding author), Univ Illinois, Dept Astron, Urbana, IL 61801 USA.;Fields, BD (corresponding author), Univ Illinois, Dept Phys, Urbana, IL 61801 USA.;Fields, BD (corresponding author), Univ Illinois, Illinois Ctr Adv Studies Universe, Urbana, IL 61801 USA.</t>
  </si>
  <si>
    <t>bdfields@illinois.edu; a.wallner@hzdr.de</t>
  </si>
  <si>
    <t>National Science Foundation [AST-2108589]; Australian Research Council [DP180100495, DP180100496]</t>
  </si>
  <si>
    <t>National Science Foundation(National Science Foundation (NSF)); Australian Research Council(Australian Research Council)</t>
  </si>
  <si>
    <t>It is a pleasure to thank our collaborators and colleagues who made this work possible. The work of B.D.F. was supported by the National Science Foundation under grant AST-2108589.A.W. was supported by the Australian Research Council under grants DP180100495 and DP180100496.</t>
  </si>
  <si>
    <t>ANNUAL REVIEWS</t>
  </si>
  <si>
    <t>PALO ALTO</t>
  </si>
  <si>
    <t>4139 EL CAMINO WAY, PO BOX 10139, PALO ALTO, CA 94303-0139 USA</t>
  </si>
  <si>
    <t>0163-8998</t>
  </si>
  <si>
    <t>1545-4134</t>
  </si>
  <si>
    <t>ANNU REV NUCL PART S</t>
  </si>
  <si>
    <t>Annu. Rev. Nucl. Part. Sci.</t>
  </si>
  <si>
    <t>10.1146/annurev-nucl-011823-045541</t>
  </si>
  <si>
    <t>Physics, Nuclear; Physics, Particles &amp; Fields</t>
  </si>
  <si>
    <t>S7EY3</t>
  </si>
  <si>
    <t>WOS:001072775400015</t>
  </si>
  <si>
    <t>Cai, YH; Yao, ZJ; Lang, SA; Cui, XB; Wan, FX; He, YL</t>
  </si>
  <si>
    <t>Cai, Yiheng; Yao, Zijun; Lang, Shinan; Cui, Xiangbin; Wan, Fuxing; He, Yanliang</t>
  </si>
  <si>
    <t>Generative Elevation Inpainting: An Efficient Completion Method for Generating High-Resolution Antarctic Bed Topography</t>
  </si>
  <si>
    <t>Antarctica; Surfaces; Feature extraction; Interpolation; Training; Convolutional neural networks; Ice thickness; bed topography; digital elevation model (DEM); inpainting</t>
  </si>
  <si>
    <t>DEEP NEURAL-NETWORK; ICE THICKNESS; SUBGLACIAL TOPOGRAPHY; THWAITES GLACIER; WEST ANTARCTICA; WATER NETWORKS; MODELS; IDENTIFICATION; MOUNTAINS; EVOLUTION</t>
  </si>
  <si>
    <t>Understanding subglacial bed topography is essential for learning about Antarctica in the geologic and glaciological fields. The primary method of investigating the Antarctic bed involves measuring the bed elevation by radio-echo sounding (RES) deployed on aircraft. Digital elevation models (DEMs) of the Antarctic bed generated by traditional interpolation methods usually lack resolution, precision, and roughness. To generate Antarctic bed DEMs by interpolating sparse RES bed elevation data, we use a two-stage coarse-to-fine fully convolutional neural network (CNN), which presents a deep generative elevation inpainting method that can extract, use in-depth features, and reconstruct the bed elevation conforming to the textural character of deglacial landscapes. Our method can generate a detailed and reasonable bed DEM with the full calculation of CNN and the training strategy of a generative adversarial network (GAN). The quantitative evaluation results show that a 250-m resolution elevation grid map with a 77-m mean absolute error (MAE) can be generated through elevation inpainting by sparse data with 4-km RES survey spacing in the Arctic test area. Our study also generates two realistic bed DEMs with a 250-m spatial resolution in the Gamburtsev Subglacial Mountains and Amundsen Sea Embayment. Compared with the existing Antarctic bed DEM products, BedMachine_Antarctica, DeepBedMap_DEM, and MB_DeepBedMap_DEM, our generated bed DEMs show more realistic terrain and elevation with low MAEs in test regions, which could better suit follow-up glaciological research. The code of this work will be available at https://github.com/Hecian/GEI_2022 for the sake of reproducibility.</t>
  </si>
  <si>
    <t>[Cai, Yiheng; Yao, Zijun; Lang, Shinan; Wan, Fuxing; He, Yanliang] Beijing Univ Technol, Sch Informat &amp; Commun Engn, Beijing 100124, Peoples R China; [Cui, Xiangbin] Polar Res Inst China, Shanghai 200136, Peoples R China</t>
  </si>
  <si>
    <t>Beijing University of Technology; Polar Research Institute of China</t>
  </si>
  <si>
    <t>Lang, SA (corresponding author), Beijing Univ Technol, Sch Informat &amp; Commun Engn, Beijing 100124, Peoples R China.</t>
  </si>
  <si>
    <t>caiyiheng@bjut.edu.cn; yaoshendyy@163.com; langshinan803@163.com; cuixiangbin@pric.org.cn; wanfuxing729@qq.com; heyanliang@emails.bjut.edu.cn</t>
  </si>
  <si>
    <t>Yao, Zijun/IYS-5851-2023</t>
  </si>
  <si>
    <t>Yao, Zijun/0000-0002-2144-9494</t>
  </si>
  <si>
    <t>Shanghai Science and Technology Development Funds [21ZR1469700]</t>
  </si>
  <si>
    <t>Shanghai Science and Technology Development Funds</t>
  </si>
  <si>
    <t>This work was supported by the Shanghai Science and Technology Development Funds under Grant 21ZR1469700.</t>
  </si>
  <si>
    <t>10.1109/TGRS.2023.3303231</t>
  </si>
  <si>
    <t>R5JR8</t>
  </si>
  <si>
    <t>WOS:001064718000011</t>
  </si>
  <si>
    <t>Liu, ML; Wang, ZM; Zhang, BJ; Wu, S; An, JC</t>
  </si>
  <si>
    <t>Liu, Mingliang; Wang, Zemin; Zhang, Baojun; Wu, Shuang; An, Jiachun</t>
  </si>
  <si>
    <t>Extraction and Analysis of the Antarctic Ice Shelf Basal Channel</t>
  </si>
  <si>
    <t>Antarctic ice shelf; basal channel; basal channels concentration (BCC); formation mechanism</t>
  </si>
  <si>
    <t>PINE ISLAND GLACIER; ELEVATION MODEL; BENEATH; OCEAN; MELT; VARIABILITY; SURFACE; WATER</t>
  </si>
  <si>
    <t>Basal channels are the expression of basal melting in detail. In extreme cases, they will cause the ice shelf calving and seriously threaten the ice shelf stability, which has attracted wide attention. In this study, we used reference elevation model of Antarctica (REMA) digital elevation models (DEMs) data, IceBridge data, and Amery Ice Shelf thickness data to accurately identify the distribution location of Antarctic Ice Shelf Basal Channel (AISBC). In addition, we counted the basal channels length (BCL) and basal channels concentration (BCC) and analyzed the main formation mechanism of basal channels in different sea. The accuracy of identifying basal channels was at least more than 90%. Our identification results were more accurate compared with Alley et al. (2016), and there were especially basal channels on Amery Ice Shelf and Larsen-C Ice Shelf. AISBC network is developed, and AISBC's total length is about 16965 km. In particular, the transverse basal channel has a potential impact on the ice shelf calving. BBC along the coast of Dumont D'Urville Sea was the highest, which is closely related to the active degree of the formation mechanism of the basal channels. The types of AISBC show obvious regional characteristics, which were mainly affected by the formation mechanism of basal channels. Our research results can provide scientific reference data for studying ice shelf stability in different sea regions.</t>
  </si>
  <si>
    <t>[Liu, Mingliang; Wang, Zemin; Zhang, Baojun; Wu, Shuang; An, Jiachun] Wuhan Univ, Chinese Antarctic Ctr Surveying &amp; Mapping, Wuhan 430079, Peoples R China; [Liu, Mingliang; Wang, Zemin; Zhang, Baojun; Wu, Shuang; An, Jiachun] Chinese Acad Sci, Northwest Inst Ecoenvironm &amp; Resources, State Key Lab Cryospher Sci, Lanzhou 730000, Peoples R China</t>
  </si>
  <si>
    <t>Wuhan University; Chinese Academy of Sciences</t>
  </si>
  <si>
    <t>Zhang, BJ (corresponding author), Wuhan Univ, Chinese Antarctic Ctr Surveying &amp; Mapping, Wuhan 430079, Peoples R China.</t>
  </si>
  <si>
    <t>liuming_liang@163.com; zmwang@whu.edu.cn; bjzhang@whu.edu.cn; wushuang1004@whu.edu.cn; jcan@whu.edu.cn</t>
  </si>
  <si>
    <t>An, Jiachun/0000-0002-3106-0714; Zhang, Baojun/0000-0001-5438-8723</t>
  </si>
  <si>
    <t>National Natural Science Foundation of China [41941010, 42006184]; State Key Laboratory of Cryospheric Science, Northwest Institute of Eco-Environment and Resources, Chinese Academy Sciences [SKLCS-OP-2021-07]</t>
  </si>
  <si>
    <t>National Natural Science Foundation of China(National Natural Science Foundation of China (NSFC)); State Key Laboratory of Cryospheric Science, Northwest Institute of Eco-Environment and Resources, Chinese Academy Sciences</t>
  </si>
  <si>
    <t>This work was supported in part by the National Natural Science Foundation of China under Contract 41941010 and Contract 42006184; and in part by the State Key Laboratory of Cryospheric Science, Northwest Institute of Eco-Environment and Resources, Chinese Academy Sciences under Grant SKLCS-OP-2021-07.</t>
  </si>
  <si>
    <t>10.1109/LGRS.2023.3304350</t>
  </si>
  <si>
    <t>R3RT1</t>
  </si>
  <si>
    <t>WOS:001063563700004</t>
  </si>
  <si>
    <t>Prado, T; Magalhaes, MGP; Moreira, DA; Brandao, ML; Fumian, TM; Ferreira, FC; Chame, M; Leomil, L; Degrave, WMS; Leite, JPG; Miagostovich, MP</t>
  </si>
  <si>
    <t>Prado, Tatiana; Magalhaes, Maithe Gaspar Pontes; Moreira, Daniel Andrade; Brandao, Martha Lima; Fumian, Tulio Machado; Ferreira, Fernando Cesar; Chame, Marcia; Leomil, Luciana; Degrave, Wim Maurits Sylvain; Leite, Jose Paulo Gagliardi; Miagostovich, Marize Pereira</t>
  </si>
  <si>
    <t>Microbiome and virome on indoor surfaces of an Antarctic research ship</t>
  </si>
  <si>
    <t>MEMORIAS DO INSTITUTO OSWALDO CRUZ</t>
  </si>
  <si>
    <t>Antarctica; metagenomics; microbiome; naval indoor surfaces; virome</t>
  </si>
  <si>
    <t>VIRAL-INFECTIONS; PUBLIC-HEALTH; SEQUENCE; FOMITES; VIRUSES; SPREAD; TRANSMISSION; BACTERIA; SOIL</t>
  </si>
  <si>
    <t>BACKGROUND Few studies have focused on microbial diversity in indoor environments of ships, as well as the role of the microbiome and its ecological interconnections. In this study, we investigated the microbiome and virome present on the internal surfaces of a polar ship in different stages (beginning, during, and at the end) of the Brazilian Antarctic expedition in order to evaluate abundance of microorganisms in different periods.OBJECTIVES AND METHODS We used shotgun metagenomic analysis on pooled samples from sampling surfaces in the ship's interior to track the microbial diversity.FINDINGS Considering the total fraction of the microbiome, the relative abundance of bacteria, eukaryotes, viruses, and archaea was 83.7%, 16.2%, 0.04%, and 0.002%, respectively. Proteobacteria was the most abundant bacterial phyla, followed by Firmicutes, Actinobacteria, and Bacteroidetes. Concerning the virome, the greatest richness of viral species was identified during the middle of the trip, including ten viral families after de novo assembly: Autographiviridae, Chrysoviridae, Genomoviridae, Herelleviridae, Myoviridae, Partitiviridae, Podoviridae, Potyviridae, Siphoviridae, and Virgaviridae.MAIN CONCLUSIONS This study contributed to the knowledge of microbial diversity in naval transportation facilities, and variations in the abundance of microorganisms probably occurred due to factors such as the number of passengers and activities on the ship.</t>
  </si>
  <si>
    <t>[Prado, Tatiana] Fdn Oswaldo Cruz Fiocruz, Lab Virus Resp Exantemat Enterovirus &amp; Emergencias, Rio De Janeiro, RJ, Brazil; [Prado, Tatiana; Magalhaes, Maithe Gaspar Pontes; Moreira, Daniel Andrade; Degrave, Wim Maurits Sylvain] Fdn Oswaldo Cruz Fiocruz, Lab Genom Aplicada &amp; BioInovacoes, Rio De Janeiro, RJ, Brazil; [Brandao, Martha Lima] Fdn Oswaldo Cruz Fiocruz, Projeto Fio Antar, VPPIS, Rio De Janeiro, RJ, Brazil; [Fumian, Tulio Machado; Ferreira, Fernando Cesar; Leite, Jose Paulo Gagliardi; Miagostovich, Marize Pereira] Fdn Oswaldo Cruz Fiocruz, Lab Microrganismos Referencia, Rio De Janeiro, RJ, Brazil; [Chame, Marcia] Fdn Oswaldo Cruz Fiocruz, Plataforma Inst Biodiversidade &amp; Saude Silvestre, Rio De Janeiro, RJ, Brazil; [Leomil, Luciana] Parque Tecnol Univ Fed Rio Janeiro, Ctr Tecnol Ind Quim &amp; Text Biotecnol, Serv Nacl Aprendizagem Ind, Rio De Janeiro, RJ, Brazil</t>
  </si>
  <si>
    <t>Fundacao Oswaldo Cruz; Fundacao Oswaldo Cruz; Fundacao Oswaldo Cruz; Fundacao Oswaldo Cruz; Fundacao Oswaldo Cruz</t>
  </si>
  <si>
    <t>Prado, T (corresponding author), Fdn Oswaldo Cruz Fiocruz, Lab Virus Resp Exantemat Enterovirus &amp; Emergencias, Rio De Janeiro, RJ, Brazil.;Prado, T (corresponding author), Fdn Oswaldo Cruz Fiocruz, Lab Genom Aplicada &amp; BioInovacoes, Rio De Janeiro, RJ, Brazil.</t>
  </si>
  <si>
    <t>tatianaprado436@gmail.com</t>
  </si>
  <si>
    <t>Prado, Tatiana/JPA-5097-2023</t>
  </si>
  <si>
    <t>Moreira, Daniel/0000-0002-9434-9582; Magalhaes, Maithe/0000-0003-3340-2236</t>
  </si>
  <si>
    <t>CAPES/BRAZIL [21/2018, CNPq 442646/2018-6]; INOVA-EDITAL 2/2018-GERACAO DE CONHECIMENTO [015/2015, 4720463444]; CNPq/MCTIC/CAPES/FNDCT [21/2018, CNPq 442646/2018-6]; CNPq; SVS-Ministry of Health [015/2015]; PAEF 2-Instituto Oswaldo Cruz</t>
  </si>
  <si>
    <t>CAPES/BRAZIL(Coordenacao de Aperfeicoamento de Pessoal de Nivel Superior (CAPES)); INOVA-EDITAL 2/2018-GERACAO DE CONHECIMENTO; CNPq/MCTIC/CAPES/FNDCT; CNPq(Conselho Nacional de Desenvolvimento Cientifico e Tecnologico (CNPQ)); SVS-Ministry of Health; PAEF 2-Instituto Oswaldo Cruz</t>
  </si>
  <si>
    <t>This study was partly supported by INOVA-EDITAL 2/2018-GERACAO DE CONHECIMENTO [grant number: 4720463444] , CNPq/MCTIC/CAPES/FNDCT N 21/2018-PROANTAR [grant number: CNPq 442646/2018-6] . TP is a CAPES/BRAZIL fellow [grant number: 88887.711743/2022-00] ; MPM, TMF, and JPGL are CNPq fellows and received funding from CNPq; SVS-Ministry of Health n. 015/2015; and PAEF 2-Instituto Oswaldo Cruz.</t>
  </si>
  <si>
    <t>FUNDACO OSWALDO CRUZ</t>
  </si>
  <si>
    <t>RIO DE JANEIRO, RJ</t>
  </si>
  <si>
    <t>AV BRASIL 4365, 21045-900 RIO DE JANEIRO, RJ, BRAZIL</t>
  </si>
  <si>
    <t>0074-0276</t>
  </si>
  <si>
    <t>1678-8060</t>
  </si>
  <si>
    <t>MEM I OSWALDO CRUZ</t>
  </si>
  <si>
    <t>Mem. Inst. Oswaldo Cruz</t>
  </si>
  <si>
    <t>e230084</t>
  </si>
  <si>
    <t>10.1590/0074-02760230084</t>
  </si>
  <si>
    <t>Parasitology; Tropical Medicine</t>
  </si>
  <si>
    <t>S0DU5</t>
  </si>
  <si>
    <t>WOS:001067971100001</t>
  </si>
  <si>
    <t>Noren, SR; Rosen, DAS</t>
  </si>
  <si>
    <t>Noren, S. R.; Rosen, David A. S.</t>
  </si>
  <si>
    <t>What are the Metabolic Rates of Marine Mammals and What Factors Impact this Value: A review</t>
  </si>
  <si>
    <t>Bioenergetics; field metabolic rate; basal metabolic rate; marine mammal; metabolism; modeling; mysticete; odontocete; pinniped; resting metabolic rate</t>
  </si>
  <si>
    <t>DOUBLY LABELED WATER; STELLER SEA LIONS; DIVING WEDDELL SEALS; ANTARCTIC FUR SEALS; ENERGY-EXPENDITURE; HEART-RATE; OXYGEN-CONSUMPTION; FORAGING ENERGETICS; BODY-COMPOSITION; GAS-EXCHANGE</t>
  </si>
  <si>
    <t>Assessing population-level consequences for marine mammals exposed to disturbance requires knowledge of their metabolism. We provide an overview of the magnitude and variation in marine mammal metabolism, and the intrinsic and extrinsic factors and behaviors that influence metabolism to assist with choosing a reliable metabolic rate for future bioenergetic models. Over the past several decades, scientists have constructed bioenergetic models for marine mammals to assess potential population-level consequences following exposure to a disturbance, stressor, or environmental change, such as under the Population Consequences of Disturbance (pCOD) framework. The animal's metabolic rate (rate of energy expenditure) is a cornerstone for these models, yet the cryptic lifestyles of marine mammals, particularly cetaceans, have limited our ability to quantify basal (BMR) and field (FMR) metabolic rates using accepted 'gold standard' approaches (indirect calorimeter via oxygen consumption and doubly labeled water, respectively). Thus, alternate methods have been used to quantify marine mammal metabolic rates, such as extrapolating from known allometric relationships (e.g. Kleiber's mouse to elephant curve) and developing predictive relationships between energy expenditure and physiological or behavioral variables. To understand our current knowledge of marine mammal metabolic rates, we conducted a literature review (1900-2023) to quantify the magnitude and variation of metabolic rates across marine mammal groups. A compilation of data from studies using 'gold standard' methods revealed that BMR and FMR of different marine mammal species ranges from 0.2 to 3.6 and 1.1 to 6.1 x Kleiber, respectively. Mean BMR and FMR varied across taxa; for both measures odontocete levels were intermediate to higher values for otariids and lower values of phocids. Moreover, multiple intrinsic (e.g. age, sex, reproduction, molt, individual) and extrinsic (e.g. food availability, water temperature, season) factors, as well as individual behaviors (e.g. animal at water's surface or submerged, activity level, dive effort and at-sea behaviors) impact the magnitude of these rates. This review provides scientists and managers with a range of reliable metabolic rates for several marine mammal groups as well as an understanding of the factors that influence metabolism to improve the discernment for inputs into future bioenergetic models.</t>
  </si>
  <si>
    <t>[Noren, S. R.] Univ Calif Santa Cruz, Inst Marine Sci, Ctr Ocean Hlth, 115 McAllister Way, Santa Cruz, CA 95060 USA; [Rosen, David A. S.] Univ British Columbia, Inst Oceans &amp; Fisheries, Marine Mammal Res Unit, 2202 Main Mall, Vancouver, BC V6T 1Z4, Canada</t>
  </si>
  <si>
    <t>University of California System; University of California Santa Cruz; University of British Columbia</t>
  </si>
  <si>
    <t>Noren, SR (corresponding author), Univ Calif Santa Cruz, Inst Marine Sci, Ctr Ocean Hlth, 115 McAllister Way, Santa Cruz, CA 95060 USA.</t>
  </si>
  <si>
    <t>snoren@ucsc.edu; rosen@zoology.ubc.ca</t>
  </si>
  <si>
    <t>This review was inspired by D.P. Costa, who invited SN to present a review on the metabolic rate of marine mammals to attendees of a Marine Mammal Bioenergetics Workshop, which was held remotely in 2021. Many thanks to C. Booth for organizing our presentat</t>
  </si>
  <si>
    <t>This review was inspired by D.P. Costa, who invited SN to present a review on the metabolic rate of marine mammals to attendees of a Marine Mammal Bioenergetics Workshop, which was held remotely in 2021. Many thanks to C. Booth for organizing our presentations into a Special Issue in Conservation Physiology. Thanks to J. Maresh for providing us with a copy of her dissertation, which included a lengthy appendix of references on metabolic measurements in marine mammals. We also thank the other workshop contributors who provided comments on the earliest draft of this manuscript.</t>
  </si>
  <si>
    <t>coad077</t>
  </si>
  <si>
    <t>10.1093/conphys/coad077</t>
  </si>
  <si>
    <t>S7YN5</t>
  </si>
  <si>
    <t>WOS:001073289000001</t>
  </si>
  <si>
    <t>Georgiou, M; Chastin, S</t>
  </si>
  <si>
    <t>Gerlak, AK</t>
  </si>
  <si>
    <t>Georgiou, Michail; Chastin, Sebastien</t>
  </si>
  <si>
    <t>Living near Water Can Be Beneficial to Your Mental Health-Here's How to Have More Blue Spaces in Cities</t>
  </si>
  <si>
    <t>CONVERSATION ON WATER</t>
  </si>
  <si>
    <t>Critical Conversations</t>
  </si>
  <si>
    <t>IMPACT</t>
  </si>
  <si>
    <t>[Georgiou, Michail] Glasgow Caledonian Univ, Sch Hlth &amp; Life Sci, Glasgow, Lanark, Scotland; [Chastin, Sebastien] Glasgow Caledonian Univ, Hlth Behav Dynam People Pl &amp; Syst, Glasgow, Lanark, Scotland; [Chastin, Sebastien] Univ Ghent, Ghent, Belgium; [Chastin, Sebastien] British Antarctic Survey, Cambridge, England; [Chastin, Sebastien] Univ Oxford, Oxford, England; [Chastin, Sebastien] Univ Edinburgh, Edinburgh, Midlothian, Scotland</t>
  </si>
  <si>
    <t>Glasgow Caledonian University; Glasgow Caledonian University; Ghent University; UK Research &amp; Innovation (UKRI); Natural Environment Research Council (NERC); NERC British Antarctic Survey; University of Oxford; University of Edinburgh</t>
  </si>
  <si>
    <t>Georgiou, M (corresponding author), Glasgow Caledonian Univ, Sch Hlth &amp; Life Sci, Glasgow, Lanark, Scotland.</t>
  </si>
  <si>
    <t>JOHNS HOPKINS UNIV PRESS</t>
  </si>
  <si>
    <t>BALTIMORE</t>
  </si>
  <si>
    <t>2715 N CHARLES ST, BALTIMORE, MD 21218-4319 USA</t>
  </si>
  <si>
    <t>978-1-4214-4620-2; 978-1-4214-4621-9</t>
  </si>
  <si>
    <t>Crit Conversations</t>
  </si>
  <si>
    <t>Environmental Sciences; Political Science; Water Resources</t>
  </si>
  <si>
    <t>Book Citation Index – Social Sciences &amp; Humanities (BKCI-SSH); Book Citation Index – Science (BKCI-S)</t>
  </si>
  <si>
    <t>Environmental Sciences &amp; Ecology; Government &amp; Law; Water Resources</t>
  </si>
  <si>
    <t>BV6FX</t>
  </si>
  <si>
    <t>WOS:001056779200033</t>
  </si>
  <si>
    <t>Coupe, J; Harrison, C; Robock, A; DuVivier, A; Maroon, E; Lovenduski, NS; Bachman, S; Landrum, L; Bardeen, C</t>
  </si>
  <si>
    <t>Coupe, Joshua; Harrison, Cheryl; Robock, Alan; DuVivier, Alice; Maroon, Elizabeth; Lovenduski, Nicole S.; Bachman, Scott; Landrum, Laura; Bardeen, Charles</t>
  </si>
  <si>
    <t>Sudden Reduction of Antarctic Sea Ice Despite Cooling After Nuclear War</t>
  </si>
  <si>
    <t>JOURNAL OF GEOPHYSICAL RESEARCH-OCEANS</t>
  </si>
  <si>
    <t>nuclear winter; climate change; polynya; Antarctica; sea ice</t>
  </si>
  <si>
    <t>DIRTY SNOW; POLYNYAS; MODEL</t>
  </si>
  <si>
    <t>A large-scale nuclear war could inject massive amounts of soot into the stratosphere, triggering rapid global climate change. In climate model simulations of nuclear war, global cooling contributes to an expansion of sea ice in the Northern Hemisphere. However, in the Southern Hemisphere (SH), an initial expansion of sea ice shifts suddenly to a 30% loss of sea ice volume over the course of a single melting season in the largest nuclear war simulation. In smaller nuclear war simulations an expansion in sea ice is instead observed which lasts for approximately 15 years. In contrast, in the largest nuclear war simulation, Antarctic sea ice remains below the long term control mean for 15 years, indicating a threshold that must be crossed to cause the response. Declining sea ice in the SH following a global cooling event has been previously attributed to shifts in the zonal winds around Antarctica, which can reduce the strength of the Weddell Gyre. In climate model simulations of nuclear war, the primary mechanisms responsible for Antarctic sea ice loss are: (a) enhanced atmospheric poleward heat transport through teleconnections with a strong nuclear war-driven El Nino, (b) increased upwelling of warm subsurface waters in the Weddell Sea due to changes in wind stress curl, and (c) decreased equatorward Ekman transport due to weakened Southern Ocean westerlies. The prospect of sudden Antarctic sea ice loss after an episode of global cooling may have implications for solar geoengineering and further motivates this study of the underlying mechanisms of change.</t>
  </si>
  <si>
    <t>[Coupe, Joshua; Harrison, Cheryl] Louisiana State Univ, Dept Oceanog &amp; Coastal Sci, Baton Rouge, LA USA; [Coupe, Joshua; Harrison, Cheryl] Louisiana State Univ, Ctr Computat &amp; Technol, Baton Rouge, LA USA; [Coupe, Joshua; Robock, Alan] Rutgers State Univ, Dept Environm Sci, New Brunswick, NJ USA; [DuVivier, Alice; Bachman, Scott; Landrum, Laura; Bardeen, Charles] Natl Ctr Atmospher Res, Boulder, CO USA; [Maroon, Elizabeth] Univ Wisconsin Madison, Dept Atmospher &amp; Ocean Sci, Madison, WI USA; [Lovenduski, Nicole S.] Univ Colorado, Dept Atmospher &amp; Ocean Sci, Inst Arctic &amp; Alpine Res, Boulder, CO USA</t>
  </si>
  <si>
    <t>Louisiana State University System; Louisiana State University; Louisiana State University System; Louisiana State University; Rutgers University System; Rutgers University New Brunswick; National Center Atmospheric Research (NCAR) - USA; University of Wisconsin System; University of Wisconsin Madison; University of Colorado System; University of Colorado Boulder</t>
  </si>
  <si>
    <t>Coupe, J (corresponding author), Louisiana State Univ, Dept Oceanog &amp; Coastal Sci, Baton Rouge, LA USA.;Coupe, J (corresponding author), Louisiana State Univ, Ctr Computat &amp; Technol, Baton Rouge, LA USA.;Coupe, J (corresponding author), Rutgers State Univ, Dept Environm Sci, New Brunswick, NJ USA.</t>
  </si>
  <si>
    <t>coupewx@gmail.com</t>
  </si>
  <si>
    <t>Robock, Alan/B-6385-2016; Maroon, Elizabeth/JGD-5913-2023; Harrison, Cheryl Shannon/IWV-0053-2023; Lovenduski, Nicole/A-6226-2011</t>
  </si>
  <si>
    <t>Maroon, Elizabeth/0000-0002-1660-7822; Harrison, Cheryl Shannon/0000-0003-4544-947X; DUVIVIER, ALICE K./0000-0001-6920-5926; Coupe, Joshua/0000-0002-8652-9970; Robock, Alan/0000-0002-6319-5656; Lovenduski, Nicole/0000-0001-5893-1009</t>
  </si>
  <si>
    <t>Open Philanthropy Project; National Science Foundation [ACI-1532235, ACI-1532236]; University of Colorado Boulder; Colorado State University; University of Colorado Boulder and Colorado State University</t>
  </si>
  <si>
    <t>Open Philanthropy Project; National Science Foundation(National Science Foundation (NSF)); University of Colorado Boulder; Colorado State University; University of Colorado Boulder and Colorado State University</t>
  </si>
  <si>
    <t>This work is supported by a grant from the Open Philanthropy Project. This work utilized the RMACC Summit supercomputer, which is supported by the National Science Foundation (awards ACI-1532235 and ACI-1532236), the University of Colorado Boulder, and Colorado State University. The Summit supercomputer is a joint effort of the University of Colorado Boulder and Colorado State University.</t>
  </si>
  <si>
    <t>2169-9275</t>
  </si>
  <si>
    <t>2169-9291</t>
  </si>
  <si>
    <t>J GEOPHYS RES-OCEANS</t>
  </si>
  <si>
    <t>J. Geophys. Res.-Oceans</t>
  </si>
  <si>
    <t>e2022JC018774</t>
  </si>
  <si>
    <t>10.1029/2022JC018774</t>
  </si>
  <si>
    <t>R0ZI9</t>
  </si>
  <si>
    <t>Green Published</t>
  </si>
  <si>
    <t>WOS:001061706900003</t>
  </si>
  <si>
    <t>Correa-Otto, S; Gianni, GM</t>
  </si>
  <si>
    <t>Correa-Otto, Sebastian; Gianni, Guido M.</t>
  </si>
  <si>
    <t>Lower and Upper Plate Controls on Crustal Seismicity in the Southern Central and Patagonian Andes</t>
  </si>
  <si>
    <t>TECTONICS</t>
  </si>
  <si>
    <t>slab tear; slab break-off; crustal seismicity; Andes</t>
  </si>
  <si>
    <t>PAMPEAN FLAT-SLAB; CENTRAL CHILE; TECTONIC EVOLUTION; SIERRAS PAMPEANAS; ELASTIC THICKNESS; NAZCA FARALLON; NEUQUEN BASIN; VOLCANIC ZONE; LOCAL-NETWORK; FAULT SYSTEM</t>
  </si>
  <si>
    <t>We analyze crustal seismological records to assess the origin of the variable seismic activity along the southern Central and Patagonian Andes (30 &amp; amp;DEG;-55 &amp; amp;DEG;S), an area associated with latitudinal changes in the lower-plate geometry, upper-plate deformation, and topography. We carried out a statistical analysis of the seismicity records at crustal depths of 0-50 km from an updated earthquake catalog. Studying the seismicity by its area covered, depth, latitude, and time, this analysis reveals a consistent and drastic decrease in the number of earthquakes south of 38.5?degrees S. We note that the low seismicity area is spatially correlated with a thin, hot, and weak (at least in the forearc region) upper plate and the subduction of a young/warm lower plate with short slab depths (&amp; sim;150-400 km) beneath Patagonia. Notably, the reduced upper plate seismicity is mimicked at depth by a similar decrease in lower plate seismicity associated with the presence of relatively shallow slabs south of 38.5 degrees S. This observation allows us to suspect a genetic connection between lower plate properties and the striking reduction in the upper-plate seismicity. We tentatively suggest that the young/warm and short Nazca and Antarctic subducting plates, left after Neogene slab detachments, modified the thermomechanical upper plate structure, triggering the drastic decrease in crustal earthquakes. This process was likely aided by an inherited thin continental margin. This study reveals that slab detachment in non-collisional settings can impact upper-plate seismicity.</t>
  </si>
  <si>
    <t>[Correa-Otto, Sebastian; Gianni, Guido M.] Consejo Nacl Invest Cient &amp; Tecn CONICET, Rivadavia, Argentina; [Correa-Otto, Sebastian; Gianni, Guido M.] Univ Nacl San Juan, Inst Geofis Sismol Ing Fernando Volponi IGSV, San Juan, Argentina; [Correa-Otto, Sebastian] Juan Widmer Norte 924,Casa C, Rivadavia, Argentina</t>
  </si>
  <si>
    <t>Universidad Nacional de San Juan</t>
  </si>
  <si>
    <t>Correa-Otto, S (corresponding author), Consejo Nacl Invest Cient &amp; Tecn CONICET, Rivadavia, Argentina.;Correa-Otto, S (corresponding author), Univ Nacl San Juan, Inst Geofis Sismol Ing Fernando Volponi IGSV, San Juan, Argentina.;Correa-Otto, S (corresponding author), Juan Widmer Norte 924,Casa C, Rivadavia, Argentina.</t>
  </si>
  <si>
    <t>s.correaotto@conicet.gov.ar</t>
  </si>
  <si>
    <t>Correa-Otto, Sebastian/0000-0002-8653-5799; Gianni, Guido Martin/0000-0001-9036-0621</t>
  </si>
  <si>
    <t>0278-7407</t>
  </si>
  <si>
    <t>1944-9194</t>
  </si>
  <si>
    <t>Tectonics</t>
  </si>
  <si>
    <t>e2022TC007335</t>
  </si>
  <si>
    <t>10.1029/2022TC007335</t>
  </si>
  <si>
    <t>R0BY4</t>
  </si>
  <si>
    <t>WOS:001061089900001</t>
  </si>
  <si>
    <t>Schaefer, CEGR; Francelino, MR; Pereira, AB; Michel, RFM; Schmitz, D; Sacramento, IF; Rodrigues, WF; De Miranda, CO</t>
  </si>
  <si>
    <t>Schaefer, Carlos Ernesto G. R.; Francelino, Marcio R.; Pereira, Antonio B.; Michel, Roberto F. M.; Schmitz, Daniela; Sacramento, Iorrana F.; Rodrigues, William F.; De Miranda, Caik O.</t>
  </si>
  <si>
    <t>Thermal monitoring of a Cryosol in a high marine terrace (Half Moon Island, Maritime Antarctica)</t>
  </si>
  <si>
    <t>climate change; holocene terraces; soil moisture; soil thermal regime; permafrost</t>
  </si>
  <si>
    <t>SOUTH SHETLAND ISLANDS; KING GEORGE ISLAND; PENINSULA LIVINGSTON ISLAND; GROUND SURFACE-TEMPERATURE; CALM-S SITE; ACTIVE-LAYER; PERMAFROST DISTRIBUTION; BYERS PENINSULA; DECEPTION ISLAND; CLIMATE</t>
  </si>
  <si>
    <t>Active layer and permafrost are important indicators of climate changes in periglacial areas of Antarctica, and the soil thermal regime of Maritime Antarctica is sensitive to the current warming trend. This research aimed to characterize the active layer thermal regime of a patterned ground located at an upper marine terrace in Half Moon Island, during 2015-2018. Temperature and moisture sensors were installed at different soil depths, combined with air temperature, collecting hourly data. Statistical analysis was applied to describe the soil thermal regime and estimate active layer thickness. The thermal regime of the studied soil was typical of periglacial environment, with high variability in temperature and water content in the summer, resulting in frequent freeze-thaw cycles. We detected dominant freezing conditions, whereas soil temperatures increased, and the period of high soil moisture content lasted longer over the years. Active layer thickness varied between the years, reaching a maximum depth in 2018. Permafrost degradation affects soil drainage and triggers erosion in the upper marine terrace, where permafrost occurrence is unlikely. Longer monitoring periods are necessary for a detailed understanding on how current climatic and geomorphic conditions affect the unstable permafrost of low-lying areas of Antarctica (marine terraces).</t>
  </si>
  <si>
    <t>[Schaefer, Carlos Ernesto G. R.; Francelino, Marcio R.; Schmitz, Daniela; Sacramento, Iorrana F.; De Miranda, Caik O.] Univ Fed Vicosa, Ctr, Dept Soil, PH Rolfs Ave s-n, BR-36570000 Vicosa, MG, Brazil; [Pereira, Antonio B.] Fed Univ Pampa, Antonio Trilha Ave 1847, BR-97300162 Sao Gabriel, RS, Brazil; [Michel, Roberto F. M.] Fed Univ Santa Cruz, Dept Agrarian &amp; Environm Sci, Jorge Amado Rd, Km 16, BR-45662900 Ilheus, BA, Brazil; [Rodrigues, William F.] Univ Fed Ouro Preto, Dept Geol, Diogo de Vasconcelos St 122, BR-35402163 Ouro Preto, MG, Brazil</t>
  </si>
  <si>
    <t>Universidade Federal de Vicosa; Universidade Federal do Pampa; Universidade Federal de Ouro Preto</t>
  </si>
  <si>
    <t>Sacramento, IF (corresponding author), Univ Fed Vicosa, Ctr, Dept Soil, PH Rolfs Ave s-n, BR-36570000 Vicosa, MG, Brazil.</t>
  </si>
  <si>
    <t>iorrana.figueiredo@ufv.br</t>
  </si>
  <si>
    <t>Schmitz, Daniela/AAY-8008-2020; Francelino, Marcio Rocha/AAS-4224-2020; Pereira, Antonio B/I-8201-2014</t>
  </si>
  <si>
    <t>Schmitz, Daniela/0000-0002-3162-2430; Francelino, Marcio Rocha/0000-0001-8837-1372; Pereira, Antonio B/0000-0003-0368-4594; Fortes, William/0000-0003-0980-282X; Oliveira de Miranda, Caik/0000-0002-3510-2678; Sacramento, Iorrana/0000-0002-9440-0034</t>
  </si>
  <si>
    <t>Coordenacao de Aperfeicoamento de Pessoal de Nivel Superior-Brasil (CAPES) [001]; Conselho Nacional de Desenvolvimento Cientfico e Tecnolgico (CNPq)</t>
  </si>
  <si>
    <t>Coordenacao de Aperfeicoamento de Pessoal de Nivel Superior-Brasil (CAPES)(Coordenacao de Aperfeicoamento de Pessoal de Nivel Superior (CAPES)); Conselho Nacional de Desenvolvimento Cientfico e Tecnolgico (CNPq)(Conselho Nacional de Desenvolvimento Cientifico e Tecnologico (CNPQ))</t>
  </si>
  <si>
    <t>This study was financed in part by the Coordenacao de Aperfeicoamento de Pessoal de Nivel Superior-Brasil (CAPES) -Finance Code 001. We also acknowledge the support of the Conselho Nacional de Desenvolvimento Cientifico e Tecnologico (CNPq) and the Brazilian Navy for the logistic support during the Antarctic expeditions. This work is a contribution of Institute of Science and Technology of the Cryosphere-TERRANTAR group.</t>
  </si>
  <si>
    <t>e20210692</t>
  </si>
  <si>
    <t>10.1590/0001-3765202320210692</t>
  </si>
  <si>
    <t>P7BR1</t>
  </si>
  <si>
    <t>WOS:001052194100001</t>
  </si>
  <si>
    <t>Sierpinski, SFD; Baquer, LML; Martins, CC; Grassi, MT</t>
  </si>
  <si>
    <t>Sierpinski, Sheisa F. d.; Baquer, Luis Miguel Laglera; Martins, Cesar C.; Grassi, Marco Tadeu</t>
  </si>
  <si>
    <t>Exploratory evaluation of iron and its speciation in surface waters of Admiralty Bay, King George Island, Antarctica</t>
  </si>
  <si>
    <t>Ads-CSV; coastal waters; dissolved iron; iron biogeochemistry</t>
  </si>
  <si>
    <t>CATHODIC STRIPPING VOLTAMMETRY; NATURAL ORGANIC-LIGANDS; DISSOLVED IRON; SOUTHERN-OCEAN; HUMIC SUBSTANCES; CHEMICAL SPECIATION; COASTAL WATERS; COPPER-BINDING; SEA-ICE; SEAWATER</t>
  </si>
  <si>
    <t>The determination of dissolved iron concentrations and speciation was conducted for the first time in surface seawater coastline samples collected during the austral summer of 2020 in Admiralty Bay, King George Island, Antarctica. The technique of competitive ligand exchange/adsorptive cathodic stripping voltammetry with 2,3-dihydroxynaphthalene as the competing ligand was evaluated, showing a sensitivity between 14.25 and 21.05 nA nmol L-1 min-1, with an LOD of 14 pmol L-1and a mean blank contribution of 0.248 nmol L-1. Physicochemical parameters such as pH (7.85 &amp; PLUSMN; 0.2), salinity (32.7 &amp; PLUSMN; 0.8) and dissolved oxygen (51.3 &amp; PLUSMN; 26.6%) were compatible with those of the literature; however, the average temperature (4.2 &amp; PLUSMN; 0.8 &amp; DEG;C) was higher, possibly as a reflection of global warming. The dissolved iron mean value was 18.9 &amp; PLUSMN; 6.1 nmol L-1, with a total ligand concentration of 23.6 &amp; PLUSMN; 12.2 nmol L-1 and a conditional stability complex constant of 12.2 &amp; PLUSMN; 0.2, indicating humic substances as possible ligands. On average, the calculated free iron concentrations were 0.7 &amp; PLUSMN; 0.3 pmol L-1. Relatively high concentrations of iron indicate a possible local source of Fe, likely predominantly from upwelling sediments and secondarily from ice-melting waters, which does not limit the growth of the phytoplankton.</t>
  </si>
  <si>
    <t>[Sierpinski, Sheisa F. d.; Grassi, Marco Tadeu] Univ Fed Parana, Dept Quim, Ave Francisco H Dos Santos, 100, Caixa Postal 1903, BR-81531980 Curitiba, PR, Brazil; [Baquer, Luis Miguel Laglera] Univ Islas Baleares, Dept Quim, FI TRACE, Palma De Mallorca 07122, Illes Balears, Spain; [Martins, Cesar C.] Univ Fed Parana, Ctr Estudos Mar, Ave Beira Mar, S-N,Caixa Postal 61, BR-83255976 Pontal Do Parana, PR, Brazil</t>
  </si>
  <si>
    <t>Universidade Federal do Parana; Universitat de les Illes Balears; Universidade Federal do Parana</t>
  </si>
  <si>
    <t>Grassi, MT (corresponding author), Univ Fed Parana, Dept Quim, Ave Francisco H Dos Santos, 100, Caixa Postal 1903, BR-81531980 Curitiba, PR, Brazil.</t>
  </si>
  <si>
    <t>mtgrassi@ufpr.br</t>
  </si>
  <si>
    <t>Laglera, Luis/B-7983-2010; Grassi, Marco Tadeu/AAB-3075-2020</t>
  </si>
  <si>
    <t>Laglera, Luis/0000-0002-5941-5900; Grassi, Marco Tadeu/0000-0002-9325-2674; de Castro Martins, Cesar/0000-0002-2515-5565</t>
  </si>
  <si>
    <t>Antarctic Brazilian Program (PROANTAR); Conselho Nacional de Desenvolvimento Cientfico e Tecnolgico (CNPq) [442692/2018-8]; Coordenaao de Aperfeioamento de Pessoal de Ensino Superior (CAPES); CNPq [381705/2020-0, 465768/2014-8]; CAPES; Brazilian Ministry of Science, Technology and Innovation</t>
  </si>
  <si>
    <t>Antarctic Brazilian Program (PROANTAR); Conselho Nacional de Desenvolvimento Cientfico e Tecnolgico (CNPq)(Conselho Nacional de Desenvolvimento Cientifico e Tecnologico (CNPQ)); Coordenaao de Aperfeioamento de Pessoal de Ensino Superior (CAPES); CNPq(Conselho Nacional de Desenvolvimento Cientifico e Tecnologico (CNPQ)); CAPES(Coordenacao de Aperfeicoamento de Pessoal de Nivel Superior (CAPES)); Brazilian Ministry of Science, Technology and Innovation</t>
  </si>
  <si>
    <t>Theworkwas supported by the Antarctic Brazilian Program (PROANTAR) , Conselho Nacional de Desenvolvimento Cientifico e Tecnologico (CNPq, 442692/2018-8) and Coordenacao de Aperfeicoamento de Pessoal de Ensino Superior (CAPES) . S.F.D. Sierpinski thanks CNPq by the EV-3 Grant (381705/2020-0) . The authors wish to thank the NPo Almirante Maximiano staff, R.A. Lourenco (University of Sao Paulo) and T. Combi (Federal University of Bahia) for their support during the sampling activities. Authors are also thankful to Instituto Nacional de Ciencias e Tecnologias Analiticas Avancadas (INCTAA, CNPq, 465768/2014-8) for financial support. Finally, this work is part of CARBMET project (The multiple faces of organic CARBon and METals in the sub-Antarctic ecosystem) sponsored by CNPq, CAPES and Brazilian Ministry of Science, Technology and Innovation.</t>
  </si>
  <si>
    <t>e20211520</t>
  </si>
  <si>
    <t>10.1590/0001-3765202320211520</t>
  </si>
  <si>
    <t>P6ZY7</t>
  </si>
  <si>
    <t>WOS:001052149300001</t>
  </si>
  <si>
    <t>Haymet, ADJ</t>
  </si>
  <si>
    <t>Haymet, A. D. J.</t>
  </si>
  <si>
    <t>How should a small country respond to climate change?</t>
  </si>
  <si>
    <t>CONDENSED MATTER PHYSICS</t>
  </si>
  <si>
    <t>climate change; greenhouse gases; small country response</t>
  </si>
  <si>
    <t>Responses to the global climate crisis often focus on the largest current emitters of greenhouse gases. However, analysis shows that about a third of emissions come from a collection of small emitters, each contributing one to two-percent of the total additional CO2 injected into the communal atmosphere. Attempts to hold global warming to less than 1.5celcius cannot succeed without also reducing emissions from these small countries.</t>
  </si>
  <si>
    <t>[Haymet, A. D. J.] Antarctic Sci Fdn, 203 Channel Highway, Kingston, Tas, Australia; [Haymet, A. D. J.] Univ Calif San Diego, Scripps Inst Oceanog, San Diego, CA 92101 USA</t>
  </si>
  <si>
    <t>University of California System; University of California San Diego; Scripps Institution of Oceanography</t>
  </si>
  <si>
    <t>Haymet, ADJ (corresponding author), Antarctic Sci Fdn, 203 Channel Highway, Kingston, Tas, Australia.;Haymet, ADJ (corresponding author), Univ Calif San Diego, Scripps Inst Oceanog, San Diego, CA 92101 USA.</t>
  </si>
  <si>
    <t>INST CONDENSED MATTER PHYSICS NATL ACAD SCIENCES UKRAINE</t>
  </si>
  <si>
    <t>LVIV</t>
  </si>
  <si>
    <t>1 SVIENTSITSKII STR, LVIV, 79011, UKRAINE</t>
  </si>
  <si>
    <t>1607-324X</t>
  </si>
  <si>
    <t>2224-9079</t>
  </si>
  <si>
    <t>CONDENS MATTER PHYS</t>
  </si>
  <si>
    <t>Condens. Matter Phys.</t>
  </si>
  <si>
    <t>10.5488/CMP.26.33901</t>
  </si>
  <si>
    <t>Physics, Condensed Matter</t>
  </si>
  <si>
    <t>P5PG2</t>
  </si>
  <si>
    <t>WOS:001051188600008</t>
  </si>
  <si>
    <t>Du, J; Zhang, Y; Xin, D; Xin, YH; Zhang, JL</t>
  </si>
  <si>
    <t>Du, Jie; Zhang, Ying; Xin, Di; Xin, Yuhua; Zhang, Jianli</t>
  </si>
  <si>
    <t>Antarcticirhabdus aurantiaca gen. nov., sp. nov., isolated from Antarctic gravel soil</t>
  </si>
  <si>
    <t>16S rRNA gene; Antarcticirhabdus aurantiaca gen; nov; sp; nov; polyphasic taxonomy</t>
  </si>
  <si>
    <t>FATTY-ACIDS; GENOME; DATABASE; SEQUENCES; BACTERIA</t>
  </si>
  <si>
    <t>Strain R10(T) was isolated from a gravel soil sample obtained from Deception Island, Antarctica. The isolate was a Gram-stain- negative, strictly aerobic, motile, short-rod- shaped bacterium, and its colonies were orange yellow in colour. Phylogenetic analysis based on 16S rRNA gene sequences indicated that strain R10T belonged to the family Aurantimonadaceae and shared highest sequence similarity with Jiella aquimaris LZB041(T) (96.3 % sequence similarity), Aurantimonas aggregata R14M6(T) (96.0%) and Aureimonas frigidaquae JCM 14755(T) (96.0 %). Phylogenetic analysis showed that strain R10(T) affiliated with members of the family Aurantimonadaceae and represented an independent lineage. Growth occurred at 10-37 degrees C (optimum, 28-32 degrees C), up to 1.0 % (w/v) NaCl (optimum, 0 %) and pH 5.5-9.0 (optimum, pH 7.0). The major respiratory quinone of strain R10(T) was Q-10. Its major fatty acids were C-18:1 omega 7c and C-16 : 0. The polar lipid profile of strain R10(T) comprised diphosphatidylglycerol, phosphatidylmonomethylethanolamine, phosphatidylethanolamine, phosphatidylglycerol, two unknown phospholipids and two unknown aminophospholipids. The genome of strain R10(T) was 5.92 Mbp with a G+C content of 69.1 % based on total genome calculations. Average nucleotide identity (ANI) values between R10(T) and other related species of the family Aurantimonadaceae were found to below (ANIm &lt;87.0 %, ANIb &lt;75.0 % and OrthoANIu &lt;77.0%). Furthermore, digital DNA-DNA hybridization (dDDH) and average amino acid identity (AAI) values between strain R10(T) and the closely related species ranged from 19.5-20.6% and from 60.6-64.0%, respectively. Based on the results of our phylogenetic, phenotypic, genotypic and chemotaxonomic analyses, it is concluded that strain R10(T) represents a novel genus and species of the family Aurantimonadaceae, for which the name Antarcticirhabdus aurantiaca gen. nov., sp. nov. is proposed. The type strain is R10(T) (=KCTC 72466(T)=CGMCC 1.17155(T)).</t>
  </si>
  <si>
    <t>[Du, Jie; Zhang, Ying; Xin, Di; Zhang, Jianli] Beijing Inst Technol, Sch Life Sci, Key Lab Mol Med &amp; Biotherapy, Beijing 100081, Peoples R China; [Xin, Yuhua] Chinese Acad Sci, Inst Microbiol, China Gen Microbiol Culture Collect Ctr, Beijing 100101, Peoples R China</t>
  </si>
  <si>
    <t>Beijing Institute of Technology; Chinese Academy of Sciences; Institute of Microbiology, CAS</t>
  </si>
  <si>
    <t>Zhang, JL (corresponding author), Beijing Inst Technol, Sch Life Sci, Key Lab Mol Med &amp; Biotherapy, Beijing 100081, Peoples R China.</t>
  </si>
  <si>
    <t>zhangjianli@bit.edu.cn</t>
  </si>
  <si>
    <t>zhang, jianli/0000-0002-3194-0375</t>
  </si>
  <si>
    <t>National Natural Science Foundation of China (NSFC) [32172126, 31070002]; Beijing Natural Science Foundation [5152017]</t>
  </si>
  <si>
    <t>National Natural Science Foundation of China (NSFC)(National Natural Science Foundation of China (NSFC)); Beijing Natural Science Foundation(Beijing Natural Science Foundation)</t>
  </si>
  <si>
    <t>This research was supported by the National Natural Science Foundation of China (NSFC, grant numbers 32172126, 31070002) and by the Beijing Natural Science Foundation (grant number 5152017) .</t>
  </si>
  <si>
    <t>10.1099/ijsem.0.005814</t>
  </si>
  <si>
    <t>P2WU3</t>
  </si>
  <si>
    <t>WOS:001049301400011</t>
  </si>
  <si>
    <t>dos Santos, VB</t>
  </si>
  <si>
    <t>dos Santos, Vivian Braga</t>
  </si>
  <si>
    <t>Antarctic France: interdisciplinary essays</t>
  </si>
  <si>
    <t>BRESIL-S</t>
  </si>
  <si>
    <t>French</t>
  </si>
  <si>
    <t>[dos Santos, Vivian Braga] Inst Natl Hist Art INHA, Paris, France</t>
  </si>
  <si>
    <t>dos Santos, VB (corresponding author), Inst Natl Hist Art INHA, Paris, France.</t>
  </si>
  <si>
    <t>ECOLE HAUTES ETUDES &amp; SCI SOC, CENTRE RECHERCHES BRESIL CONTEMP</t>
  </si>
  <si>
    <t>PARIS</t>
  </si>
  <si>
    <t>190-198 AV FRANCE, SALLES 419 &amp; 422, PARIS, 75013, FRANCE</t>
  </si>
  <si>
    <t>2257-0543</t>
  </si>
  <si>
    <t>2425-231X</t>
  </si>
  <si>
    <t>Bresil-s</t>
  </si>
  <si>
    <t>10.4000/bresils.14231</t>
  </si>
  <si>
    <t>Area Studies</t>
  </si>
  <si>
    <t>M1BS9</t>
  </si>
  <si>
    <t>WOS:001027576800008</t>
  </si>
  <si>
    <t>Chen, GQ; Guo, HD; Dong, JL; Wu, WJ; Wu, K; Liu, HY; Lv, MY; Han, CM; Ding, YX</t>
  </si>
  <si>
    <t>Chen, Guoqiang; Guo, Huadong; Dong, Jinglong; Wu, Wenjin; Wu, Kai; Liu, Huiying; Lv, Mingyang; Han, Chunming; Ding, Yixing</t>
  </si>
  <si>
    <t>Theoretical Analysis of the Spatial Baseline for Moon-Based SAR Cross-Track Interferometry</t>
  </si>
  <si>
    <t>Coherence pairs; effective vertical baseline (EVB); moon-based Earth observation; synthetic aperture radar (SAR) interferometry</t>
  </si>
  <si>
    <t>COVERAGE</t>
  </si>
  <si>
    <t>The vast Moon surface, lower thermal environment, predictable orbit, and long distance of Earth-Moon centroid have provided long-term, large-scale, unique, stable, and many other advantages for Moon-based Earth observation, including the synthetic aperture radar interferometry. Compared with the space-borne method, the Moon-based cross-track interferometry (MB-CTI) that works in one transmitter dual-receiver mode undoubtedly not only has larger coverage at single gaze but also has stable baseline. Relatively speaking, the changeable baseline of representative Moon-based repeat-track interferometry has deteriorated its coherent pairs without full use of revisit even in month span. However, the constant baseline of MB-CTI concretizes the relatively regular, stable, and latitude difference sensitive effective vertical baseline (EVB) throughout long Earth-Moon periodic motion. The closely distributed MB-CTI make it more similar to monostatic ways, and two poles where permanent shadow area exists can provide EVB close to diameter, thus increasing coherence possibility and related height measurement accuracy. Common part between two received spectrums contains necessary interference information. The flat region of interested (e.g., Amazon Plain) at low latitude is not preferred for MB-CTI, yet exactly the opposite while in mid- and high-latitude area (e.g., Arctic land, Tibet Plateau, and Antarctic land). A larger incident angle range or ratio of band to frequency uplift valid coherence pairs where lay-over or shadow happen because of complicate topography; meanwhile, regions tilted away Moon with slope larger than incident is more likely to be in decoherence. The defined spatial geometry has provided guidance for the application of MB-CTI in the future.</t>
  </si>
  <si>
    <t>[Chen, Guoqiang; Guo, Huadong; Wu, Wenjin; Wu, Kai; Liu, Huiying; Lv, Mingyang; Han, Chunming; Ding, Yixing] Int Res Ctr Big Data Sustainable Dev Goals, Beijing 100094, Peoples R China; [Chen, Guoqiang; Guo, Huadong; Wu, Wenjin; Wu, Kai; Liu, Huiying; Lv, Mingyang; Han, Chunming; Ding, Yixing] Chinese Acad Sci, Aerosp Informat Res Inst, Key Lab Digital Earth Sci, Beijing 100094, Peoples R China; [Chen, Guoqiang] Univ Chinese Acad Sci, Beijing 100049, Peoples R China; [Dong, Jinglong] Shandong Jianzhu Univ, Sch Surveying &amp; Geoinformat, Jinan 250101, Peoples R China</t>
  </si>
  <si>
    <t>Chinese Academy of Sciences; Aerospace Information Research Institute, CAS; Chinese Academy of Sciences; University of Chinese Academy of Sciences, CAS; Shandong Jianzhu University</t>
  </si>
  <si>
    <t>Guo, HD (corresponding author), Int Res Ctr Big Data Sustainable Dev Goals, Beijing 100094, Peoples R China.</t>
  </si>
  <si>
    <t>chengq@radi.ac.cn; hdguo@radi.ac.cn; dongjinglong20@sdjzu.edu.cn; wuwj@radi.ac.cn; wukai2016@radi.ac.cn; liu@radi.ac.cn; lvmy@aircas.ac.cn; hancm@radi.ac.cn; dingyx@radi.ac.cn</t>
  </si>
  <si>
    <t>Lv, Mingyang/AAZ-7579-2021; Wu, Wenjin/AAZ-6351-2020; Guo, Huadong/G-9388-2017</t>
  </si>
  <si>
    <t>Guo, Huadong/0000-0003-0337-1862</t>
  </si>
  <si>
    <t>National Key Research and Development Program of China [2022YFB3902100]; Key Project of Frontier Science Research of Chinese Academy of Sciences [QYZDY-SSW-DQC026]; National Natural Science Foundation of China [41590853, 41501403]</t>
  </si>
  <si>
    <t>National Key Research and Development Program of China; Key Project of Frontier Science Research of Chinese Academy of Sciences; National Natural Science Foundation of China(National Natural Science Foundation of China (NSFC))</t>
  </si>
  <si>
    <t>This work was supported in part by the National Key Research and Development Program of China under Grant 2022YFB3902100, in part by the Key Project of Frontier Science Research of Chinese Academy of Sciences under Grant QYZDY-SSW-DQC026, and in part by the National Natural Science Foundation of China under Grant 41590853and Grant 41501403.</t>
  </si>
  <si>
    <t>10.1109/JSTARS.2023.3292620</t>
  </si>
  <si>
    <t>P0AR3</t>
  </si>
  <si>
    <t>WOS:001047357400007</t>
  </si>
  <si>
    <t>Li, MH; Liu, Y; Liu, YX; Chen, GX; Tang, QH; Feng, YK; Zhang, LH; Wen, YL</t>
  </si>
  <si>
    <t>Li, Menghao; Liu, Yang; Liu, Yanxiong; Chen, Guanxu; Tang, Qiuhua; Feng, Yikai; Zhang, Linhu; Wen, Yuanlan</t>
  </si>
  <si>
    <t>Impact of Sound Travel Time Modeling on Sequential GNSS-Acoustic Seafloor Positioning Under Various Survey Configurations</t>
  </si>
  <si>
    <t>&amp; nbsp;Extended Kalman filter (EKF); global navigation satellite system-acoustic (GNSS-A); seafloor positioning; sound travel time; survey configuration</t>
  </si>
  <si>
    <t>PRECISE; DISPLACEMENT; TRENCH; OCEAN; GPS</t>
  </si>
  <si>
    <t>Global navigation satellite system-acoustic (GNSS-A) technology has been widely used in ocean engineering and ocean environmental science. Accurate sound travel time modeling is essential for GNSS-A seafloor positioning. Currently, half of the two-way travel time (TWTT) has been used as an approximation for the one-way travel time (OWTT). In this work, the time error of the approximate OWTT is investigated under different survey configurations, and a sequential GNSS-A seafloor positioning method using the extended Kalman filter (EKF) is developed to investigate the impact of sound travel time modeling. Simulations show that the time error induced under the static survey configuration is less than 0.6 ms; the time error induced under the circle survey configuration with a stable inclination angle is stable, but the time error of the line survey configuration can reach 28 ms. As confirmed through field experiments, sequential GNSS-A seafloor positioning using TWTT modeling is more stable than OWTT modeling. The positioning residuals of TWTT modeling are similar to those of OWTT modeling under the circle configuration but at least two times less than those of OWTT modeling under the line survey configuration. Furthermore, the average positioning residuals of OWTT and TWTT modeling can be greatly reduced for a survey configuration combining circular and linear tracks. These findings provide a feasible method for improving the precision and efficiency of GNSS-A seafloor positioning.</t>
  </si>
  <si>
    <t>[Li, Menghao; Liu, Yang; Liu, Yanxiong; Chen, Guanxu; Tang, Qiuhua; Feng, Yikai] Minist Nat Resources MNR, Inst Oceanog FIO 1, Qingdao 266061, Peoples R China; [Li, Menghao] Hohai Univ, Sch Earth Sci &amp; Engn, Nanjing 211100, Peoples R China; [Liu, Yang; Liu, Yanxiong; Chen, Guanxu; Tang, Qiuhua; Feng, Yikai] Minist Nat Resources MNR, Key Lab Ocean Surveying &amp; Mapping, Qingdao 266061, Peoples R China; [Zhang, Linhu] Wuhan Univ, Chinese Antarctic Ctr Surveying &amp; Mapping, Wuhan 430079, Peoples R China; [Wen, Yuanlan] Hohai Univ, Sch Earth Sci &amp; Engn, Nanjing 211100, Peoples R China</t>
  </si>
  <si>
    <t>Ministry of Natural Resources of the People's Republic of China; Hohai University; Ministry of Natural Resources of the People's Republic of China; Wuhan University; Hohai University</t>
  </si>
  <si>
    <t>Liu, Y (corresponding author), Minist Nat Resources MNR, Inst Oceanog FIO 1, Qingdao 266061, Peoples R China.;Liu, Y (corresponding author), Minist Nat Resources MNR, Key Lab Ocean Surveying &amp; Mapping, Qingdao 266061, Peoples R China.</t>
  </si>
  <si>
    <t>mhli@hhu.edu.cn; yangliu@fio.org.cn; yxliu@fio.org.cn; gxchen@fio.org.cn; tangqiuhua@fio.org.cn; ykfeng@fio.org.cn; linhuzhang@sgg.whu.edu.cn; 20180812@hhu.edu.cn</t>
  </si>
  <si>
    <t>wang, xueting/JPY-2782-2023; Liu, Jingyi/JWP-6326-2024; zhao, sheng/JWO-6127-2024; liu, sha/JXL-6600-2024</t>
  </si>
  <si>
    <t>Liu, Yanxiong/0000-0002-4746-6479; Tang, Qiuhua/0000-0001-8839-1859; Li, Menghao/0000-0001-7458-238X</t>
  </si>
  <si>
    <t>National Key Research and Development Program of China [2020YFB0505805]; Basic Scientific Fund for National Public Research Institutes of China [2022S03]; National Natural Science Foundation of China [42004030, 41974001]; Science and Technology Innovation Project - Laoshan Laboratory [LSKJ202205102]; Technology Innovation Pilot Program of Shandong Province [2020YFB0505800]; China Scholarship Council (CSC) [202106710060]</t>
  </si>
  <si>
    <t>National Key Research and Development Program of China; Basic Scientific Fund for National Public Research Institutes of China; National Natural Science Foundation of China(National Natural Science Foundation of China (NSFC)); Science and Technology Innovation Project - Laoshan Laboratory; Technology Innovation Pilot Program of Shandong Province; China Scholarship Council (CSC)(China Scholarship Council)</t>
  </si>
  <si>
    <t>This work was supported in part by the National Key Research and Development Program of China under Grant 2020YFB0505805, in part by the Basic Scientific Fund for National Public Research Institutes of China under Grant 2022S03, in part by the National Natural Science Foundation of China under Grant 42004030 and Grant 41974001, in part by the Science and Technology Innovation Project Funded by the Laoshan Laboratory under Grant LSKJ202205102, and in part by the Technology Innovation Pilot Program of Shandong Province under Grant 2020YFB0505800. The work of Menghao Li was supported by the China Scholarship Council (CSC) under Grant 202106710060. (Menghao Li and Yang Liu are co-first authors.)</t>
  </si>
  <si>
    <t>10.1109/TGRS.2023.3297519</t>
  </si>
  <si>
    <t>O4AL5</t>
  </si>
  <si>
    <t>WOS:001043257600019</t>
  </si>
  <si>
    <t>Coronado, M; Kadoch, B; Contreras, J; Kristjanpoller, F</t>
  </si>
  <si>
    <t>Coronado, Miguel; Kadoch, Benjamin; Contreras, Jorge; Kristjanpoller, Fredy</t>
  </si>
  <si>
    <t>Reliability and availability modelling of a retrofitted Diesel-based cogeneration system for heat and hot water demand of an isolated Antarctic base</t>
  </si>
  <si>
    <t>EKSPLOATACJA I NIEZAWODNOSC-MAINTENANCE AND RELIABILITY</t>
  </si>
  <si>
    <t>reliability; availability; waste heat recovery; combined heat and power</t>
  </si>
  <si>
    <t>PLANT</t>
  </si>
  <si>
    <t>The reduction of greenhouse gas emissions is a relevant challenge for a sustainable development. Waste heat could be used to produce hot water by using a recovery system. This article studies the availability of a combined heat and power systems (CHP) in extreme area (Antarctic) through the integration of a waste heat recovery system with a diesel generator to produce hot water. The reliability and availability principles are incorporated to explore how the profile of hot water consumption and the hot water storage tank size affect system availability. Different combined heat and power systems are thus classified, and their availability indexes modelled by adopting the continuous Markov approach and the state space model. The results indicate that the CHP systems availability is strongly influenced by the daily hot water demand profile. As a useful recommendation, one of the considerations for increasing availability, reducing costs and greenhouse gas emissions with the CHP system is to include a hot water tank in the analysis.</t>
  </si>
  <si>
    <t>[Coronado, Miguel; Kristjanpoller, Fredy] Univ Tecn Federico Santa Maria, Ind Engn Dept, Valparaiso, Chile; [Kadoch, Benjamin] Aix Marseille Univ, CNRS, IUSTI, Marseille, France; [Contreras, Jorge] EPRO Ingn &amp; Construcc Ltda, Villa Del Mar, Chile</t>
  </si>
  <si>
    <t>Universidad Tecnica Federico Santa Maria; Centre National de la Recherche Scientifique (CNRS); Aix-Marseille Universite</t>
  </si>
  <si>
    <t>Kristjanpoller, F (corresponding author), Univ Tecn Federico Santa Maria, Ind Engn Dept, Valparaiso, Chile.</t>
  </si>
  <si>
    <t>miguel.coronado.13@sansano.usm.cl; benjamin.kadoch@univ-amu.fr; jorge.contrerasr@gmail.com; fredy.kristjanpoller@usm.cl</t>
  </si>
  <si>
    <t>Kristjanpoller, Fredy/E-7340-2013</t>
  </si>
  <si>
    <t>Kristjanpoller, Fredy/0000-0001-8970-9371; KADOCH, Benjamin/0000-0001-9346-1399</t>
  </si>
  <si>
    <t>POLISH MAINTENANCE SOC</t>
  </si>
  <si>
    <t>Warsaw</t>
  </si>
  <si>
    <t>Ul Jagiellonska 80, Warsaw, 03-301, POLAND</t>
  </si>
  <si>
    <t>1507-2711</t>
  </si>
  <si>
    <t>EKSPLOAT NIEZAWODN</t>
  </si>
  <si>
    <t>Eksploat. Niezawodn.</t>
  </si>
  <si>
    <t>10.17531/ein/169779</t>
  </si>
  <si>
    <t>Engineering, Multidisciplinary</t>
  </si>
  <si>
    <t>O4LH8</t>
  </si>
  <si>
    <t>WOS:001043541400002</t>
  </si>
  <si>
    <t>Shattuck, EC</t>
  </si>
  <si>
    <t>Shattuck, Eric C.</t>
  </si>
  <si>
    <t>The Inflamed Feeling: The Brain's Role in Immune Defense</t>
  </si>
  <si>
    <t>EVOLUTION MEDICINE AND PUBLIC HEALTH</t>
  </si>
  <si>
    <t>[Shattuck, Eric C.] Florida State Univ, Dept Anthropol, Carraway Bldg,909 Antarctic Way, Tallahassee, FL 32304 USA; [Shattuck, Eric C.] Univ Texas San Antonio, Inst Hlth Dispar Res, One UTSA Circle, San Antonio, TX 78249 USA; [Shattuck, Eric C.] Florida State Univ, Dept Anthropol, Carraway Bldg,909 Antarctic Way, Tallahassee, FL 32304 USA; [Shattuck, Eric C.] Univ Texas San Antonio, Inst Hlth Dispar Res, One UTSA Circle, San Antonio, TX 78249 USA</t>
  </si>
  <si>
    <t>State University System of Florida; Florida State University; University of Texas System; University of Texas at San Antonio (UTSA); State University System of Florida; Florida State University; University of Texas System; University of Texas at San Antonio (UTSA)</t>
  </si>
  <si>
    <t>Shattuck, EC (corresponding author), Florida State Univ, Dept Anthropol, Carraway Bldg,909 Antarctic Way, Tallahassee, FL 32304 USA.;Shattuck, EC (corresponding author), Univ Texas San Antonio, Inst Hlth Dispar Res, One UTSA Circle, San Antonio, TX 78249 USA.;Shattuck, EC (corresponding author), Florida State Univ, Dept Anthropol, Carraway Bldg,909 Antarctic Way, Tallahassee, FL 32304 USA.;Shattuck, EC (corresponding author), Univ Texas San Antonio, Inst Hlth Dispar Res, One UTSA Circle, San Antonio, TX 78249 USA.</t>
  </si>
  <si>
    <t>eshattuck@fsu.edu</t>
  </si>
  <si>
    <t>Shattuck, Eric/0000-0002-3615-5931</t>
  </si>
  <si>
    <t>2050-6201</t>
  </si>
  <si>
    <t>EVOL MED PUBLIC HLTH</t>
  </si>
  <si>
    <t>Evol. Med. Public Health</t>
  </si>
  <si>
    <t>10.1093/emph/eoad022</t>
  </si>
  <si>
    <t>Evolutionary Biology; Public, Environmental &amp; Occupational Health</t>
  </si>
  <si>
    <t>O1OT8</t>
  </si>
  <si>
    <t>WOS:001041590200001</t>
  </si>
  <si>
    <t>Uguz, S</t>
  </si>
  <si>
    <t>Uguz, Sinan</t>
  </si>
  <si>
    <t>Deep learning-based software for detecting population density of Antarctic birds</t>
  </si>
  <si>
    <t>COMPUTER SCIENCE JOURNAL OF MOLDOVA</t>
  </si>
  <si>
    <t>Deep Learning; Antarctic birds; Remote sensing; Population estimation; Convolutional neural network</t>
  </si>
  <si>
    <t>IMAGERY</t>
  </si>
  <si>
    <t>Monitoring populations of bird species living in Antarctica with current technologies is critical to the future of habitats on the continent. Studies of bird species living in Antarctica are limited due to climate, challenging geographic conditions, and transportation and logistical constraints. The goal of this study is to develop Deep Learning-based software to determine the population densities of Antarctic penguins and endangered albatrosses. Images of penguins and albatrosses obtained from internet sources were labeled using the segmentation technique. For this purpose, 4144 labeled data were trained with five differ-ent convolutional neural network architectures TOOD, YOLOv3, YOLOF, Mask R-CNN, and Sparse R-CNN. The performance of the obtained models was measured using the average precision (AP) metric. The experimental results show that the TOOD-ResNet50 model with 0.73 AP50 detects the Antarctic birds ad-equately compared to the other models. At the end of the study, a software was developed to detect penguins and albatrosses in real time.</t>
  </si>
  <si>
    <t>[Uguz, Sinan] Isparta Univ Appl Sci, Fac Technol, Dept Comp Engn, E14 Block,3 Floor,West Campus, TR-32260 Isparta, Turkiye</t>
  </si>
  <si>
    <t>Isparta University of Applied Sciences</t>
  </si>
  <si>
    <t>Uguz, S (corresponding author), Isparta Univ Appl Sci, Fac Technol, Dept Comp Engn, E14 Block,3 Floor,West Campus, TR-32260 Isparta, Turkiye.</t>
  </si>
  <si>
    <t>sinanuguz@isparta.edu.tr</t>
  </si>
  <si>
    <t>INST MATHEMATICS &amp; COMPUTER SCIENCE ACAD</t>
  </si>
  <si>
    <t>ACADEMIEI 5, CHISINAU, KISHINEV, 2028, MOLDOVA</t>
  </si>
  <si>
    <t>1561-4042</t>
  </si>
  <si>
    <t>COMPUT SCI J MOLD</t>
  </si>
  <si>
    <t>Comput. Sci. J. Mold.</t>
  </si>
  <si>
    <t>10.56415/csjm.v31.11</t>
  </si>
  <si>
    <t>Computer Science, Theory &amp; Methods</t>
  </si>
  <si>
    <t>O2BL2</t>
  </si>
  <si>
    <t>WOS:001041923100003</t>
  </si>
  <si>
    <t>Qi, ZY; Jin, R; Yang, LL; Zhao, CY; Lin, BC; Zheng, MH; Liu, GR</t>
  </si>
  <si>
    <t>Qi, Ziyuan; Jin, Rong; Yang, Lili; Zhao, Chenyan; Lin, Bingcheng; Zheng, Minghui; Liu, Guorui</t>
  </si>
  <si>
    <t>Occurrence and congener profiles of polychlorinated naphthalenes in food</t>
  </si>
  <si>
    <t>CHINESE SCIENCE BULLETIN-CHINESE</t>
  </si>
  <si>
    <t>Cambodian</t>
  </si>
  <si>
    <t>polychlorinated naphthalenes; dioxin-like compounds; persistent organic pollutants; pollution level; dietary exposure</t>
  </si>
  <si>
    <t>DIETARY EXPOSURE; PCNS; RISK; BIPHENYLS; CATALONIA; PLATEAU; PCBS; SOIL</t>
  </si>
  <si>
    <t>Polychlorinated naphthalenes (PCNs) are structurally and toxicologically similar to dioxins. PCNs have been listed into the Annex A and C cover under the Stockholm Convention on Persistent Organic Pollutants. Sources that PCNs release into environment included historical production and use as industrial chemicals such as Halowax, impurities in PCBs products and unintentional releases during industrial production and human activities. In Europe, the historic manufacture and use of PCNs as chemicals were the most important sources of PCNs in environment, while unintentional releases from various industrial activities might be ongoing sources of PCNs in environment. PCNs are widespread in various environmental matrices including air, soil, sediment, and biota samples. PCNs have also been detected in Arctic and Antarctic regions. Moreover, the occurrence of PCNs in air, surface soil, lichen and moss samples collected from the Tibetan Plateau have been reported. Intake through food consumption is considered an important route of human exposure to PCNs. PCNs have been detected in some food samples. PCNs might pose potential risk to human health due to dietary intake and thus bioenrichment and bio-amplification. There are few reviews reported PCNs occurrences and profiles in food. In animal-origin foods, foods with higher lipid content tend to have higher PCNs concentration. In Europe, fish is usually the highest food for PCNs concentrations, followed by meat, dairy products or eggs. While in China, the concentration of PCNs in meat is the highest, which were different from that in Europe. The levels of PCNs in plant-origin foods are generally one to two orders of magnitudes lower than that in animal-origin foods. This suggests that animal-origin foods are dominant pathways of humans expose to PCNs. Animal-origin foods and plant-origin foods display similar homolog profiles, which were mainly dominated by low chlorinated homologs. Octachlorinated naphthalene was normally the lowest homolog in food. Hexachloronaphthalenes tends to have higher contributions to the toxic equivalents and potential health risk. Among the normally monitored congeners including CN-52, 53, 66/67, 68, 69, 71/72, 73, 74, and 75, two congeners comprised of CN66/67 and CN-73 are usually the congeners with the highest detection frequencies. In fish samples, high chlorinated congeners were obviously dominant, which might be caused by the high bio-enrichment of PCNs in aquatic organisms. Children had the highest intake of PCNs, followed by adult females and adolescents, which are possibly due to the differences in dietary habits, gender, and metabolic rate. The dietary intake of PCNs displays decreasing trends, indicating the PCNs levels in the environment are gradually declining. At present, the estimated daily intake of PCNs in toxic equivalents through consuming food is mostly within a safe range, which is lower than the recommended value of the World Health Organization. However, a study investigating PCNs levels in wheat and rice from Pakistan suggested the higher daily intakes than the World Health Organization (WHO) recommended value. The environmental and health risks of PCNs in contaminated sites, such as obsolete chlor-alkali plants, secondary copper smelting plants, and other chemical plants with chlorine involved should be paid attention to. Generally, this paper reviews PCNs occurrences in food, congener profiles and potential health risks, which is of significance for understanding human exposure to PCNs by dietary intake.</t>
  </si>
  <si>
    <t>[Qi, Ziyuan; Jin, Rong; Zhao, Chenyan; Lin, Bingcheng; Zheng, Minghui; Liu, Guorui] UCAS, Sch Environm, Hangzhou Inst Adv Study, Hangzhou 310024, Peoples R China; [Qi, Ziyuan; Jin, Rong; Yang, Lili; Zhao, Chenyan; Lin, Bingcheng; Zheng, Minghui; Liu, Guorui] Chinese Acad Sci, State Key Lab Environm Chem &amp; Ecotoxicol, Res Ctr Eco Environm Sci, Beijing 100085, Peoples R China; [Qi, Ziyuan; Yang, Lili; Zhao, Chenyan; Zheng, Minghui; Liu, Guorui] Univ Chinese Acad Sci, Coll Resource &amp; Environm, Beijing 100049, Peoples R China</t>
  </si>
  <si>
    <t>Chinese Academy of Sciences; Research Center for Eco-Environmental Sciences (RCEES); Chinese Academy of Sciences; University of Chinese Academy of Sciences, CAS</t>
  </si>
  <si>
    <t>Liu, GR (corresponding author), UCAS, Sch Environm, Hangzhou Inst Adv Study, Hangzhou 310024, Peoples R China.;Liu, GR (corresponding author), Chinese Acad Sci, State Key Lab Environm Chem &amp; Ecotoxicol, Res Ctr Eco Environm Sci, Beijing 100085, Peoples R China.;Liu, GR (corresponding author), Univ Chinese Acad Sci, Coll Resource &amp; Environm, Beijing 100049, Peoples R China.</t>
  </si>
  <si>
    <t>grliu@rcees.ac.cn</t>
  </si>
  <si>
    <t>刘, 国瑞/GYD-5312-2022</t>
  </si>
  <si>
    <t>刘, 国瑞/0000-0002-8462-6734</t>
  </si>
  <si>
    <t>SCIENCE PRESS</t>
  </si>
  <si>
    <t>EPHRATA</t>
  </si>
  <si>
    <t>300 WEST CHESNUT ST, EPHRATA, PA 17522 USA</t>
  </si>
  <si>
    <t>0023-074X</t>
  </si>
  <si>
    <t>2095-9419</t>
  </si>
  <si>
    <t>CHIN SCI B-CHIN</t>
  </si>
  <si>
    <t>Chin. Sci. Bull.-Chin.</t>
  </si>
  <si>
    <t>10.1360/TB-2022-1172</t>
  </si>
  <si>
    <t>L8KF8</t>
  </si>
  <si>
    <t>WOS:001025691400008</t>
  </si>
  <si>
    <t>Yi, L; Tan, LC; Yao, HQ; Deng, CL</t>
  </si>
  <si>
    <t>Yi, Liang; Tan, Liangcheng; Yao, Huiqiang; Deng, Chenglong</t>
  </si>
  <si>
    <t>Antarctic bottom water evolution since the Pliocene and its potential linkage to global climate changes</t>
  </si>
  <si>
    <t>Chinese</t>
  </si>
  <si>
    <t>NODULE; SCALE</t>
  </si>
  <si>
    <t>[Yi, Liang] Tongji Univ, State Key Lab Marine Geol, Shanghai 200092, Peoples R China; [Tan, Liangcheng] Chinese Acad Sci, State Key Lab Loess &amp; Quaternary Geol, Inst Earth Environm, Xian 710061, Peoples R China; [Tan, Liangcheng] Xi An Jiao Tong Univ, Inst Global Environm Change, Xian 710049, Peoples R China; [Yao, Huiqiang] China Geol Survey, Guangzhou Marine Geol Survey, Key Lab Marine Mineral Resources, Minist Nat Resources, Guangzhou 510075, Peoples R China; [Yao, Huiqiang] Southern Marine Sci &amp; Engn Guangdong Lab Guangzho, Guangzhou 511458, Peoples R China; [Deng, Chenglong] Chinese Acad Sci, Inst Geol &amp; Geophys, State Key Lab Lithospher Evolut, Beijing 100029, Peoples R China; [Deng, Chenglong] Univ Chinese Acad Sci, Coll Earth &amp; Planetary Sci, Beijing 101408, Peoples R China</t>
  </si>
  <si>
    <t>Tongji University; Chinese Academy of Sciences; Institute of Earth Environment, CAS; Xi'an Jiaotong University; China Geological Survey; Guangzhou Marine Geological Survey; Ministry of Natural Resources of the People's Republic of China; Hong Kong Branch of the Southern Marine Science &amp; Engineering Guangdong Laboratory (Guangzhou); Chinese Academy of Sciences; Institute of Geology &amp; Geophysics, CAS; Chinese Academy of Sciences; University of Chinese Academy of Sciences, CAS</t>
  </si>
  <si>
    <t>Yi, L (corresponding author), Tongji Univ, State Key Lab Marine Geol, Shanghai 200092, Peoples R China.</t>
  </si>
  <si>
    <t>yiliang@tongji.edu.cn</t>
  </si>
  <si>
    <t>Tan, Liangcheng/ABH-6099-2020; Deng, Chenglong/B-8871-2009</t>
  </si>
  <si>
    <t>Tan, Liangcheng/0000-0003-1932-7102;</t>
  </si>
  <si>
    <t>10.1360/TB-2023-0425</t>
  </si>
  <si>
    <t>N5GX5</t>
  </si>
  <si>
    <t>WOS:001037305600006</t>
  </si>
  <si>
    <t>Jia, F; Cai, WJ; Wang, GJ</t>
  </si>
  <si>
    <t>Jia, Fan; Cai, Wenju; Wang, Guojian</t>
  </si>
  <si>
    <t>Future Southern Ocean and Antarctic shelf ocean warming affected by projected ENSO variability</t>
  </si>
  <si>
    <t>[Jia, Fan] Chinese Acad Sci, Key Lab Ocean Circulat &amp; Waves, Inst Oceanol, Qingdao 266071, Peoples R China; [Cai, Wenju; Wang, Guojian] Ocean Univ China, Frontier Sci Ctr Deep Ocean Multispheres &amp; Earth, Qingdao 266100, Peoples R China; [Cai, Wenju; Wang, Guojian] Ocean Univ China, Phys Oceanog Lab, Minist Educ, Qingdao 266100, Peoples R China; [Jia, Fan; Cai, Wenju; Wang, Guojian] Laoshan Lab, Qingdao 266237, Peoples R China; [Cai, Wenju; Wang, Guojian] CSIRO Environm, Aspendale, Vic 3195, Australia</t>
  </si>
  <si>
    <t>Chinese Academy of Sciences; Institute of Oceanology, CAS; Ocean University of China; Ocean University of China; Laoshan Laboratory</t>
  </si>
  <si>
    <t>Jia, F (corresponding author), Chinese Acad Sci, Key Lab Ocean Circulat &amp; Waves, Inst Oceanol, Qingdao 266071, Peoples R China.;Jia, F (corresponding author), Laoshan Lab, Qingdao 266237, Peoples R China.</t>
  </si>
  <si>
    <t>jiafan@qdio.ac.cn</t>
  </si>
  <si>
    <t>Cai, Wei-Jun/C-1361-2013</t>
  </si>
  <si>
    <t>10.1360/TB-2023-0251</t>
  </si>
  <si>
    <t>L8KO2</t>
  </si>
  <si>
    <t>WOS:001025699900004</t>
  </si>
  <si>
    <t>Yan, R; Zhang, KJ; Yao, X; Fang, SX; Wang, T; Wei, HK</t>
  </si>
  <si>
    <t>Yan, Rui; Zhang, Kanjian; Yao, Xu; Fang, Shixiong; Wang, Tao; Wei, Haikun</t>
  </si>
  <si>
    <t>Monitoring System for Cabin Temperature via Thermal Imaging</t>
  </si>
  <si>
    <t>2023 5TH ASIA ENERGY AND ELECTRICAL ENGINEERING SYMPOSIUM, AEEES</t>
  </si>
  <si>
    <t>5th Asia Energy and Electrical Engineering Symposium (AEEES)</t>
  </si>
  <si>
    <t>MAR 23-26, 2023</t>
  </si>
  <si>
    <t>Chengdu, PEOPLES R CHINA</t>
  </si>
  <si>
    <t>infrared thermal imaging; temperature distribution; condition monitoring</t>
  </si>
  <si>
    <t>The Antarctic Scientific Research Support Platform provides stable energy supply for scientific exploration equipment via diesel generators. To ensure stable energy supply, the power generation cabin needs to keep a suitable temperature. This paper presents a method and device for measuring temperature of power generation cabin based on infrared thermal imaging technology. The composition of the device and the flow of temperature measurement are described. The temperature measuring device of the power generation cabin automatically detect target region and then analyzes it. The system determines the temperature distribution in the target area and uploads the temperature data to the control system of the power generation cabin in time. It helps to determine whether to open or close air circulation fans and maintains the stability and uniformity of the temperature distribution in the power generation cabin, improving the reliability of energy supply.</t>
  </si>
  <si>
    <t>[Yan, Rui; Zhang, Kanjian; Fang, Shixiong; Wei, Haikun] Southeast Univ, Sch Automat, Nanjing, Peoples R China; [Yao, Xu; Wang, Tao] Polar Res Inst China, Shanghai, Peoples R China</t>
  </si>
  <si>
    <t>Southeast University - China; Polar Research Institute of China</t>
  </si>
  <si>
    <t>Wei, HK (corresponding author), Southeast Univ, Sch Automat, Nanjing, Peoples R China.</t>
  </si>
  <si>
    <t>yanrui@seu.edu.cn; kjzhang@seu.edu.cn; yaoxu@pric.org.cn; sxfang@seu.edu.cn; wangtao@pric.org.cn; hkwei@seu.edu.cn</t>
  </si>
  <si>
    <t>li, fangyu/KCY-0521-2024</t>
  </si>
  <si>
    <t>li, fangyu/0009-0009-8303-9157</t>
  </si>
  <si>
    <t>National Natural Science Foundation of China [61973083]; Social Development Project of Science and Technology Innovation Action Plan of Shanghai [20dz1207102]; Science and Technology Project of State Grid Corporation of China [SGTJDK00DYJS2000148]</t>
  </si>
  <si>
    <t>National Natural Science Foundation of China(National Natural Science Foundation of China (NSFC)); Social Development Project of Science and Technology Innovation Action Plan of Shanghai; Science and Technology Project of State Grid Corporation of China</t>
  </si>
  <si>
    <t>This work was supported in part by the National Natural Science Foundation of China under Grant 61973083, in part by Social Development Project of Science and Technology Innovation Action Plan of Shanghai under Grant 20dz1207102, in part by the Science and Technology Project of State Grid Corporation of China (Intelligent operation and maintenance technology of distributed photovoltaic system under Grant SGTJDK00DYJS2000148).</t>
  </si>
  <si>
    <t>978-1-6654-9054-2</t>
  </si>
  <si>
    <t>10.1109/AEEES56888.2023.10114117</t>
  </si>
  <si>
    <t>Engineering, Electrical &amp; Electronic</t>
  </si>
  <si>
    <t>BV2ZM</t>
  </si>
  <si>
    <t>WOS:001012827700048</t>
  </si>
  <si>
    <t>Cummings, A; Krizmanic, J; Wissel, S</t>
  </si>
  <si>
    <t>DeMitri, I; Barbato, FCT; Boncioli, D; Evoli, C; Pagliaroli, G; Salamida, F</t>
  </si>
  <si>
    <t>Cummings, Austin; Krizmanic, John; Wissel, Stephanie</t>
  </si>
  <si>
    <t>Modeling Neutrino and Background Signals for the Payload for Ultrahigh Energy Observations (PUEO) Experiment</t>
  </si>
  <si>
    <t>ULTRA HIGH ENERGY COSMIC RAYS, UHECR 2022</t>
  </si>
  <si>
    <t>EPJ Web of Conferences</t>
  </si>
  <si>
    <t>6th international symposium on Ultra High Energy Cosmic Rays (UHECR)</t>
  </si>
  <si>
    <t>OCT 03-07, 2022</t>
  </si>
  <si>
    <t>Gran Sasso Sci Inst, LAquila, ITALY</t>
  </si>
  <si>
    <t>Gran Sasso Sci Inst</t>
  </si>
  <si>
    <t>In the current age of multi-messenger astrophysics, Very High Energy (VHE) cosmic neutrinos (E&gt;1 PeV) represent a unique observation window into the most extreme astrophysical events in the universe. Measurements of the neutrino flux in this high energy regime provide information regarding the distribution and composition of Ultra-High Energy Cosmic Rays (UHECR), details of source acceleration mechanics, and definitive tests of physics beyond the standard model. Observations in multiple different detection channels (e.g. optical, radio, direct particle counting) are being explored to extend the sensitivity to neutrinos above PeV energies. The Payload for Ultrahigh Energy Observations (PUEO) is a long duration balloon experiment that builds on the successes of the Antarctic Impulsive Transient Antenna (ANITA) experiment to probe the cosmic neutrino flux above EeV energies. PUEO, like ANITA, seeks to measure coherent radio emission in the form of Askaryan emission from in-ice neutrino interactions and both geomagnetic and Askaryan emission from Extensive Air Showers (EAS) produced by the decays of Earth-emergent t-leptons sourced from t neutrinos. To evaluate the sensitivity of PUEO (and other detectors) to a given flux of neutrinos, it is necessary to accurately model i) the propagation of neutrinos through the Earth ii) the emission generated from the neutrino-sourced particle shower iii) the detector performance to a generated signal and iv) relevant backgrounds. Numerous software frameworks exist to model these different mechanisms independently, but often require significant work to use together. nu SpaceSim is an open source, end-to-end neutrino simulation package that models these described mechanisms for an arbitrary detector geometry in both the optical and radio emission channels. For a given experimental design, nu SpaceSim is designed to model the sensitivity to both the cosmogenic neutrino flux and to astrophysical neutrino transient events. The highly modular design of nu SpaceSim allows for comparison and exploration of different physics models within the same code base. In this contribution, we detail the state of the nu SpaceSim code as it pertains to modeling the sensitivity of the PUEO experiment, and highlight the mechanisms necessary to perform this calculation. We also describe the near-term improvements to the radio emission calculation in nu SpaceSim and the modeling of the most relevant backgrounds for PUEO: the direct (above-the-limb) cosmic rays, and the indirect (ice-reflected) cosmic ray signals.</t>
  </si>
  <si>
    <t>[Cummings, Austin; Wissel, Stephanie] Penn State Univ, Dept Phys, Inst Gravitat &amp; Cosmos, 104 Davey Lab, University Pk, PA 16802 USA; [Cummings, Austin; Wissel, Stephanie] Penn State Univ, Dept Astron &amp; Astrophys, Inst Gravitat &amp; Cosmos, 525 Davey Lab, University Pk, PA 16802 USA; [Krizmanic, John] NASA, Goddard Space Flight Ctr, Greenbelt, MD 20771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</si>
  <si>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National Aeronautics &amp; Space Administration (NASA); NASA Goddard Space Flight Center</t>
  </si>
  <si>
    <t>Cummings, A (corresponding author), Penn State Univ, Dept Phys, Inst Gravitat &amp; Cosmos, 104 Davey Lab, University Pk, PA 16802 USA.;Cummings, A (corresponding author), Penn State Univ, Dept Astron &amp; Astrophys, Inst Gravitat &amp; Cosmos, 525 Davey Lab, University Pk, PA 16802 USA.</t>
  </si>
  <si>
    <t>alc6658@psu.edu</t>
  </si>
  <si>
    <t>E D P SCIENCES</t>
  </si>
  <si>
    <t>CEDEX A</t>
  </si>
  <si>
    <t>17 AVE DU HOGGAR PARC D ACTIVITES COUTABOEUF BP 112, F-91944 CEDEX A, FRANCE</t>
  </si>
  <si>
    <t>2100-014X</t>
  </si>
  <si>
    <t>EPJ WEB CONF</t>
  </si>
  <si>
    <t>10.1051/epjconf/202328306018</t>
  </si>
  <si>
    <t>Astronomy &amp; Astrophysics; Physics, Applied; Physics, Particles &amp; Fields</t>
  </si>
  <si>
    <t>Astronomy &amp; Astrophysics; Physics</t>
  </si>
  <si>
    <t>BV2EA</t>
  </si>
  <si>
    <t>WOS:001003713300073</t>
  </si>
  <si>
    <t>Cui, R; Kong, J; Yao, YB; Zhou, C; Shen, QS; Zhang, Q; An, JC</t>
  </si>
  <si>
    <t>Cui, Ran; Kong, Jian; Yao, Yibin; Zhou, Chen; Shen, Qingshan; Zhang, Qi; An, Jiachun</t>
  </si>
  <si>
    <t>Analysis of Polar Ionosphere Anomaly of Interplanetary Shock Events Based on GNSS TEC</t>
  </si>
  <si>
    <t>Global navigation satellite system (GNSS) total electronic content (TEC); interplanetary fast-forward shock; polar ionosphere anomaly; spatiotemporal characteristics; time-series analysis</t>
  </si>
  <si>
    <t>Using large-scope and high-accuracy global navigation satellite system (GNSS) ionospheric monitoring, this study considered the polar ionosphere anomaly morphology caused by an interplanetary shock event that occurred on September 12, 2014. First, we used the continuous observation data of GNSS stations in the Antarctic region to estimate the carrier TEC epochs variation (dTEC) that reflects ionospheric electron density changes, and the abnormal signals were extracted. Through sequence data analyses of longitudinal chain stations, we found that the influence range of this anomaly lies in the geomagnetic region between 65 degrees and 80 degrees S. Furthermore, latitude chain analyses revealed that with the continuous fluctuation of the solar wind flow pressure, the polar ionospheric geomagnetic 75 degrees S annular observation sequence gives a corresponding continuous fluctuation response with a range of 0.05-0.4 TECU and a westward anomaly trigger position. The average speed was close to the satellite speed during the study period, and it was determined that the anomaly occurred within an altitude region of 150-300 km. The physical mechanism of this anomaly is discussed in this article. Our results show that the GNSS dTEC and multisource data can accurately reflect the regional intensity, influence region, trigger source location, and velocity of the ionosphere anomaly.</t>
  </si>
  <si>
    <t>[Cui, Ran; Kong, Jian; Shen, Qingshan; An, Jiachun] Wuhan Univ, Chinese Antarctic Ctr Surveying &amp; Mapping, Wuhan 430079, Peoples R China; [Kong, Jian; Yao, Yibin] Luojia Lab, Wuhan 430079, Peoples R China; [Yao, Yibin] Wuhan Univ, Sch Geodesy &amp; Geomatics, Wuhan 430079, Peoples R China; [Zhou, Chen] Wuhan Univ, Sch Elect Informat, Wuhan 430079, Peoples R China; [Zhang, Qi] Wuhan Univ, Sch Geodesy &amp; Geomat, Wuhan 430079, Peoples R China</t>
  </si>
  <si>
    <t>Wuhan University; Wuhan University; Wuhan University; Wuhan University</t>
  </si>
  <si>
    <t>Kong, J (corresponding author), Wuhan Univ, Chinese Antarctic Ctr Surveying &amp; Mapping, Wuhan 430079, Peoples R China.</t>
  </si>
  <si>
    <t>2022206440007@whu.edu.cn; jkong@whu.edu.cn; ybyao@whu.edu.cn; chenzhou@whu.edu.cn; sqswasoccupied@whu.edu.cn; qizhangsgg@whu.edu.cn; jcan@whu.edu.cn</t>
  </si>
  <si>
    <t>Cui, Ran/L-8936-2019; Liu, Yining/KHC-6217-2024; Shen, Yan/KEJ-4617-2024; Yao, Yibin/AAM-9653-2020; Qi, Zhang/IVX-0110-2023; zhou, chen/KBC-4023-2024; Qi, Ling/KHE-3068-2024</t>
  </si>
  <si>
    <t>Liu, Yining/0000-0002-2218-2349; Yao, Yibin/0000-0002-7723-4601; Qi, Zhang/0000-0003-2449-9566; An, Jiachun/0000-0002-3106-0714</t>
  </si>
  <si>
    <t>National Natural Science Foundation of China [42274031, 41941010, 41874033]; Open Fund of Hubei Luojia Laboratory [2201000046]; General Fund Project of Hubei Province [2020CFB603]</t>
  </si>
  <si>
    <t>National Natural Science Foundation of China(National Natural Science Foundation of China (NSFC)); Open Fund of Hubei Luojia Laboratory; General Fund Project of Hubei Province</t>
  </si>
  <si>
    <t>This work was supported in part by the National Natural Science Foundation of China under Grant 42274031, Grant 41941010,and Grant 41874033, in part by the Open Fund of Hubei Luojia Laboratory under Grant 2201000046, and in part by the General Fund Project of Hubei Province under Grant 2020CFB603.(Corresponding author: Jian Kong.).</t>
  </si>
  <si>
    <t>10.1109/JSTARS.2023.3281591</t>
  </si>
  <si>
    <t>L3CM9</t>
  </si>
  <si>
    <t>WOS:001022072400004</t>
  </si>
  <si>
    <t>Borisova, TD; Blagoveshchenskaya, NF; Kalishin, AS</t>
  </si>
  <si>
    <t>Borisova, T. D.; Blagoveshchenskaya, N. F.; Kalishin, A. S.</t>
  </si>
  <si>
    <t>SPECTRAL FEATURES OF IONOSPHERIC PLASMA WAVES EXCITED BY POWERFUL HF RADIO WAVES RADIATED AT FREQUENCIES NEAR ELECTRON GYROHARMONICS AND F2-LAYER CRITICAL FREQUENCY</t>
  </si>
  <si>
    <t>SOLAR-TERRESTRIAL PHYSICS</t>
  </si>
  <si>
    <t>high-latitude ionosphere; F-region; pow-erful HF radio wave; Langmuir wave; ion-acoustic wave; incoherent scatter; EISCAT</t>
  </si>
  <si>
    <t>TURBULENCE; EISCAT</t>
  </si>
  <si>
    <t>We present the result of the studies into characteristics of high-latitude ionospheric F-region longitudinal plasma waves (Langmuir and ion-acoustic), caused by the impact of powerful HF radio waves of ordinary (O-mode) or extraordinary (X-mode) polarization of the EISCAT/Heating facility, Tromso, Norway. The powerful HF radio waves on October 20, 2012 and February 26, 2013 were emitted in the direction of the magnetic zenith with a step change in the effective radiation power (ERP). The radiation frequency f(H) of the EISCAT/Heating facility on February 26, 2013 was close to the F2-layer critical frequency f(o)F2 (f(H)/f(o)F2 similar to 1) and exceeded the electron gyroresonance frequency f(H)&gt;5f(ce). On October 20, 2012, the conditions f(H)/f(o)F2 similar to 0.85-0.95 and f(H)&lt;6f(ce) were fulfilled. Analysis of EISCAT measurements of an incoherent scatter radar (ISR) at a frequency of 930 MHz, spatially aligned with the heating facility for radiation conditions ERP&lt;200 MW, has shown that parametric decay instabilities are excited at the ionospheric heights where the pump frequency is close to the plasma Langmuir frequency, f(H) approximate to f(PL). We have studied peculiarities of excitation of the decay parametric instabilities as a function of height in the ionosphere and pump wave polarization, the ratios between f(H) and f(o)F2, and also f(H) and nfce.</t>
  </si>
  <si>
    <t>[Borisova, T. D.; Blagoveshchenskaya, N. F.; Kalishin, A. S.] Arctic &amp; Antarctic Res Inst, St Petersburg, Russia</t>
  </si>
  <si>
    <t>Borisova, TD (corresponding author), Arctic &amp; Antarctic Res Inst, St Petersburg, Russia.</t>
  </si>
  <si>
    <t>borisova@aari.ru; nataly@aari.nw.ru; askalishin@aari.ru</t>
  </si>
  <si>
    <t>Blagoveshchenskaya, Nataly/S-4342-2017</t>
  </si>
  <si>
    <t>Blagoveshchenskaya, Nataly/0000-0003-1752-3273</t>
  </si>
  <si>
    <t>Russian Science Foundation [22-17-00020]</t>
  </si>
  <si>
    <t>The work was financially supported by the Russian Science Foundation (Grant No. 22-17-00020) [https://rscf.ru/project/22-17-00020/] .</t>
  </si>
  <si>
    <t>NAUCNO-IZDATELSKIJ CENTR INFRAM</t>
  </si>
  <si>
    <t>MOSKVA</t>
  </si>
  <si>
    <t>NAUCNO-IZDATELSKIJ CENTR INFRAM, MOSKVA, 00000, RUSSIA</t>
  </si>
  <si>
    <t>2500-0535</t>
  </si>
  <si>
    <t>SOL-TERR PHYS</t>
  </si>
  <si>
    <t>Sol.-Terr. Phys.</t>
  </si>
  <si>
    <t>10.12737/stp-92202312</t>
  </si>
  <si>
    <t>L8BR8</t>
  </si>
  <si>
    <t>WOS:001025463900012</t>
  </si>
  <si>
    <t>McLaughlin, EL; Wilson, NG; Rouse, GW</t>
  </si>
  <si>
    <t>McLaughlin, Emily L.; Wilson, Nerida G.; Rouse, Greg W.</t>
  </si>
  <si>
    <t>Resolving the taxonomy of the Antarctic feather star species complex Promachocrinus 'kerguelensis' (Echinodermata: Crinoidea)</t>
  </si>
  <si>
    <t>Antarctica; Crinoidea; cryptic species; Echinodermata; feather star; phylogeny; species delineation; taxonomy</t>
  </si>
  <si>
    <t>SOUTHERN-OCEAN; MITOCHONDRIAL LINEAGES; GENETIC-STRUCTURE; ICE-SHEET; BIODIVERSITY; SOFTWARE; MYZOSTOMIDA; SPECIATION; HISTORY; ORIGIN</t>
  </si>
  <si>
    <t>An increasing number of Antarctic invertebrate taxa have been revealed as cryptic species complexes following DNA-based assessments. This ultimately necessitates a morphological reassessment to find traits that will help identify these cryptic or pseudocryptic species without the need for sequencing every individual. This work concerns comatulid crinoid echinoderms long considered to represent a single, circum-Antarctic species, Promachocrinus kerguelensis. The first molecular studies sought to distinguish the diversity in the complex and understand the constituent species distributions but stopped short of formal taxonomic assessment. Here, we continued to increase sample representation around the Southern Ocean and sequenced the mitochondrial COI gene for all new specimens, and additional genes for a few representatives. We also elucidated previously unappreciated features, particularly body pigmentation and morphology of the centrodorsal ossicle in an attempt to diagnose some species morphologically and based on DNA data. The species complex within Promachocrinus is here resolved into P. kerguelensis Carpenter, 1879, P. vanhoeffenianus Minckert, 1905, P. joubini Vaney, 1910, P. mawsoni (Clark, 1937) comb. nov. (transferred from Florometra) and four previously unnamed species, P. fragarius sp. nov., P. unruhi sp. nov., P. uskglassi sp. nov. and P. wattsorum sp. nov. Although most species can be distinguished morphologically, several cannot be reliably separated without DNA data. All sequenced species are essentially circum-Antarctic, with the notable exception of P. wattsorum sp. nov. that is restricted to the Prince Edward Islands in the sub-Antarctic Indian Ocean and P. vanhoeffenianus that is only known from the type locality in the Davis Sea. The vast nature of the Antarctic and Southern Ocean ecosystem dictates large scale sampling to understand the full extent of the biodiversity.</t>
  </si>
  <si>
    <t>[McLaughlin, Emily L.; Wilson, Nerida G.; Rouse, Greg W.] Univ Calif San Diego, Scripps Inst Oceanog, 9500 Gilman Dr, La Jolla, CA 92093 USA; [McLaughlin, Emily L.] Univ Alabama, Campus Box 870344, Tuscaloosa, AL 35487 USA; [Wilson, Nerida G.] Western Australian Museum, Res &amp; Collect, 49 Kew St, Welshpool, WA 6106, Australia; [Wilson, Nerida G.] Univ Western Australia, Sch Biol Sci, 35 Stirling Highway, Crawley, WA 6009, Australia</t>
  </si>
  <si>
    <t>University of California System; University of California San Diego; Scripps Institution of Oceanography; University of Alabama System; University of Alabama Tuscaloosa; Western Australian Museum; University of Western Australia</t>
  </si>
  <si>
    <t>Rouse, GW (corresponding author), Univ Calif San Diego, Scripps Inst Oceanog, 9500 Gilman Dr, La Jolla, CA 92093 USA.</t>
  </si>
  <si>
    <t>grouse@ucsd.edu</t>
  </si>
  <si>
    <t>Rouse, Gregory/AAW-1494-2021; Wilson, Nerida/G-8433-2011</t>
  </si>
  <si>
    <t>Rouse, Gregory/0000-0001-9036-9263; Wilson, Nerida/0000-0002-0784-0200; McLaughlin, Emily/0009-0006-0297-2067</t>
  </si>
  <si>
    <t>10.1071/IS22057</t>
  </si>
  <si>
    <t>M5BV9</t>
  </si>
  <si>
    <t>WOS:001030375300002</t>
  </si>
  <si>
    <t>Manna, S; Das, D; Saha, A; Mukherjee, S</t>
  </si>
  <si>
    <t>Manna, Shaheen; Das, Dipanwita; Saha, Amrita; Mukherjee, Sayantika</t>
  </si>
  <si>
    <t>Consequence of Climate Change on Biodiversity and Biome of Antarctica - A Short Review</t>
  </si>
  <si>
    <t>JOURNAL OF CLIMATE CHANGE</t>
  </si>
  <si>
    <t>Antarctic; Biodiversity; Climate change.</t>
  </si>
  <si>
    <t>In specific areas of the Arctic and Antarctic regions, air temperatures are expanding at rates more than two times the international average; additionally, there are other direct human impacts on polar regions. A quick change in climate impacting the polar regions will similarly have huge physical and biological consequences for the last existing parts of the planet since the ice-engulfed Arctic Ocean, the Antarctic landform, and the worldwide eminent Antarctic Circumpolar Current (ACC) serve a basic job in managing the Earth's current circumstance and ocean systems. Polar biodiversity is presently responding to this rapid climate change and more massive impacts will happen in this era. Intensifying the danger to polar biodiversity is the certainty that numerous polar environments have restricted functional redundancy; in case of the disappearance of a solitary keystone species, they may possibly be exposed to descending impacts and complete biological system rebuilding. This study focussed on the contributing factors of ecological change, the effects of natural change on the Antarctic environment, next to the effects of environmental change on the types of Antarctic biodiversity. The most rapidly changing biological agenda on our planet are arranged in the polar regions. This issue is picked to research the effects of natural change on a particular region's biodiversity.</t>
  </si>
  <si>
    <t>[Manna, Shaheen; Das, Dipanwita; Saha, Amrita; Mukherjee, Sayantika] Amity Univ, Amity Inst Environm Sci, Kolkata, India</t>
  </si>
  <si>
    <t>Das, D (corresponding author), Amity Univ, Amity Inst Environm Sci, Kolkata, India.</t>
  </si>
  <si>
    <t>ddas@kol.amity.edu</t>
  </si>
  <si>
    <t>Mukherjee, Sayantika/HZL-5357-2023</t>
  </si>
  <si>
    <t>Mukherjee, Sayantika/0000-0003-1526-9910</t>
  </si>
  <si>
    <t>2395-7611</t>
  </si>
  <si>
    <t>2395-7697</t>
  </si>
  <si>
    <t>J CLIM CHANG</t>
  </si>
  <si>
    <t>J. Clim. Chang.</t>
  </si>
  <si>
    <t>10.3233/JCC230011</t>
  </si>
  <si>
    <t>J7GA6</t>
  </si>
  <si>
    <t>WOS:001011253600003</t>
  </si>
  <si>
    <t>Trofimov, DA; Petrov, SD; Kalishin, AS; Lukin, VV; Serov, YA; Chekunov, IV</t>
  </si>
  <si>
    <t>Trofimov, D. A.; Petrov, S. D.; Kalishin, A. S.; Lukin, V. V.; Serov, Yu. A.; Chekunov, I. V.</t>
  </si>
  <si>
    <t>Structure and variations of the south-polar ionosphere by GNSS-tomography</t>
  </si>
  <si>
    <t>ST PETERSBURG POLYTECHNIC UNIVERSITY JOURNAL-PHYSICS AND MATHEMATICS</t>
  </si>
  <si>
    <t>GNSS; ionosphere; total electron content)</t>
  </si>
  <si>
    <t>The paper is devoted to determination of the total electron content in the vicinity of the South geomagnetic pole using observations by global navigation satellite systems. Observations were carried out at the Russian Antarctic station Vostok in the periods February 2016 - January 2017, February 2018 - February 2019 and February 2020 - January 2021. Observations were made with satellites of GPS and GLONASS systems. Processing of observations was carried out by use of the TEC-suite software. Total electron content series were obtained for the specified time periods. Our results were compared with those of Center for Orbit Determination in Europe, there is a good agreement, based on which we conclude that our data are reliable. For all periods of observation, average daily profiles of changes in the total electron content in winter and summer were plotted. An excess of the winter total electron content measured from global navigation satellite systems observations over the model data provided by Center for Orbit Determination in Europe by about 5 total electron content unit was noted.</t>
  </si>
  <si>
    <t>[Trofimov, D. A.] St Petersburg State Univ, St Petersburg, Russia; [Petrov, S. D.; Kalishin, A. S.; Lukin, V. V.; Serov, Yu. A.] Arctic &amp; Antarctic Res Inst, St Petersburg, Russia; [Chekunov, I. V.] Bauman Moscow State Tech Univ, Moscow, Russia</t>
  </si>
  <si>
    <t>Saint Petersburg State University; Arctic &amp; Antarctic Research Institute; Bauman Moscow State Technical University</t>
  </si>
  <si>
    <t>Trofimov, DA (corresponding author), St Petersburg State Univ, St Petersburg, Russia.</t>
  </si>
  <si>
    <t>d.trofimov@spbu.ru; s.d.petrov@spbu.ru; askalishin@aari.ru; lukin@aari.ru; yuras1981@yandex.ru; onip4@mail.ru</t>
  </si>
  <si>
    <t>POLYTECHNICAL UNIV PUBLISHING HOUSE</t>
  </si>
  <si>
    <t>POLYTECHNICHESKAYA UL 29, ST PETERSBURG, 195251, RUSSIA</t>
  </si>
  <si>
    <t>2405-7223</t>
  </si>
  <si>
    <t>ST PETER POLY U J-PH</t>
  </si>
  <si>
    <t>St. Petersb. Polytech. Univ. J.-Phys. Math.</t>
  </si>
  <si>
    <t>10.18721/JPM.161.277</t>
  </si>
  <si>
    <t>K9RT6</t>
  </si>
  <si>
    <t>WOS:001019741300003</t>
  </si>
  <si>
    <t>FEATURES OF ARTIFICIAL IONOSPHERE TURBULENCE INDUCED BY THE O- AND X-MODE HF HEATING NEAR THE F2-LAYER CRITICAL FREQUENCY</t>
  </si>
  <si>
    <t>high-latitude ionosphere; F-region; powerful HF radio wave; electric field; electron density enhancement; Langmuir wave; ion-acoustic wave; incoherent scatter radar; EISCAT</t>
  </si>
  <si>
    <t>HIGH-POWER; RADIO-WAVES; EISCAT; PLASMA</t>
  </si>
  <si>
    <t>We present experimental results from the studies of large-scale inhomogeneities along the external magnetic field with increased electron density, electron temperature, and excitation of elongated plasma waves (Langmuir and ion-acoustic), induced by the ordinary (O-mode) and extraordinary (X-mode) HF heating near the F2-layer critical frequency, in the high-latitude ionospheric F-region. The experiments have been carried out at the EISCAT/Heating facility (Tromso, Norway). Powerful HF radio waves radiated toward the magnetic zenith through a step change in the effective radiated power at frequencies f(H) near and below the F2-layer critical frequency f(o)F2. The EISCAT incoherent scatter radar (930 MHz), co-located with the EISCAT/Heating facility, was utilized for diagnostics of ionospheric modification effects. We calculated the electric field of a powerful HF radio wave near the reflection altitude, taking into account the non-deflective absorption along the propagation path. We determined the conditions for electric field generation and its threshold (minimum) values required for electron density enhancements in a wide altitude range, excitation of Langmuir and ion-acoustic plasma waves under f(H)similar to f(o)F2 and f(H)</t>
  </si>
  <si>
    <t>borisova@aari.ru; nataly@aari.ru; askalishin@aari.ru</t>
  </si>
  <si>
    <t>We do not have any conflict of interest. The work was financially supported by the Russian Science Foundation (Grant No. 22-17-00020) , https://rscf.ru/project/22-17-00020.</t>
  </si>
  <si>
    <t>10.12737/stp-91202303</t>
  </si>
  <si>
    <t>J7OF9</t>
  </si>
  <si>
    <t>WOS:001011472100001</t>
  </si>
  <si>
    <t>Liu, YM; Guo, HD; Zhang, L; Liang, D; Zhu, Q; Liu, XT; Lv, ZR; Dou, XY; Gou, YT</t>
  </si>
  <si>
    <t>Liu, Yiming; Guo, Huadong; Zhang, Lu; Liang, Dong; Zhu, Qi; Liu, Xuting; Lv, Zhuoran; Dou, Xinyu; Gou, Yiting</t>
  </si>
  <si>
    <t>Research on Correlation Analysis Method of Time Series Features Based on Dynamic Time Warping Algorithm</t>
  </si>
  <si>
    <t>Antarctic; correlation coefficient; dynamic time warping (DTW) algorithm; time series data processing</t>
  </si>
  <si>
    <t>Rich datasets related to the Earth have been obtained because of the rapid development of Earth observation technologies. A broad range of prior research has investigated how to obtain the correlation relationships of relevant features from a large number of data containing spatio-temporal information, which is also the technical basis for big data analysis. Based on the dynamic time warping (DTW) algorithm, this research proposes a correlation analysis method of time series data and applies it to the correlation analysis between the time series features of the surface temperature and melting area of the Antarctic ice sheet. The results show that our method based on the DTW algorithm can effectively distinguish the change details of the nonlinear time series. The correlation coefficients between these two highly correlated factors computed by our method are higher than Pearson's correlation coefficients by more than 0.2 almost in all study areas where data are available. In summary, the method proposed in this study provides a new feasible way for the correlation study of time series data. It outperforms than traditional correlation coefficients such as Pearson's correlation coefficient in some fields, specifically when complex nonlinear time series data with certain periodicity are used.</t>
  </si>
  <si>
    <t>[Liu, Yiming; Dou, Xinyu] Peking Univ, Sch Earth &amp; Space Sci, Beijing 100871, Peoples R China; [Liu, Yiming; Guo, Huadong; Zhang, Lu; Liang, Dong; Zhu, Qi; Liu, Xuting; Lv, Zhuoran; Dou, Xinyu; Gou, Yiting] Int Res Ctr Big Data Sustainable Dev Goals, Beijing 100094, Peoples R China; [Guo, Huadong; Zhang, Lu; Liang, Dong; Zhu, Qi; Liu, Xuting; Lv, Zhuoran; Gou, Yiting] Chinese Acad Sci, Aerosp Informat Res Inst, Key Lab Digital Earth Sci, Beijing 100094, Peoples R China; [Guo, Huadong; Zhang, Lu; Liang, Dong; Zhu, Qi; Liu, Xuting; Lv, Zhuoran; Gou, Yiting] Univ Chinese Acad Sci, Coll Resources &amp; Environm, Beijing 100049, Peoples R China; [Guo, Huadong] Peking Univ, Sch Earth &amp; Space Sci, Beijing 100871, Peoples R China</t>
  </si>
  <si>
    <t>Peking University; Chinese Academy of Sciences; Aerospace Information Research Institute, CAS; Chinese Academy of Sciences; University of Chinese Academy of Sciences, CAS; Peking University</t>
  </si>
  <si>
    <t>Zhang, L (corresponding author), Int Res Ctr Big Data Sustainable Dev Goals, Beijing 100094, Peoples R China.</t>
  </si>
  <si>
    <t>yimingliu@pku.edu.cn; zhanglu@radi.ac.cn</t>
  </si>
  <si>
    <t>Dong, Liang/JZD-4605-2024; Liang, Dong/F-8081-2014; Guo, Huadong/G-9388-2017</t>
  </si>
  <si>
    <t>Liang, Dong/0000-0001-9147-7792; Guo, Huadong/0000-0003-0337-1862; Liu, Yiming/0000-0001-8093-3633; Zhu, Qi/0000-0002-5791-4431</t>
  </si>
  <si>
    <t>National Natural Science Foundation of China [U2268217, 41876226]</t>
  </si>
  <si>
    <t>This work was supported in part by the Joint Funds of the National Natural Science Foundation of China under Grant U2268217 and in part by the National Natural Science Foundation of China under Grant 41876226.&amp; nbsp;</t>
  </si>
  <si>
    <t>10.1109/LGRS.2023.3285788</t>
  </si>
  <si>
    <t>L1YQ0</t>
  </si>
  <si>
    <t>WOS:001021284400012</t>
  </si>
  <si>
    <t>Franke, S; Gerber, T; Warren, C; Jansen, D; Eisen, O; Dahl-Jensen, D</t>
  </si>
  <si>
    <t>Franke, Steven; Gerber, Tamara; Warren, Craig; Jansen, Daniela; Eisen, Olaf; Dahl-Jensen, Dorthe</t>
  </si>
  <si>
    <t>Investigating the Radar Response of Englacial Debris Entrained Basal Ice Units in East Antarctica Using Electromagnetic Forward Modeling</t>
  </si>
  <si>
    <t>Ice; Radar; Backscatter; Antarctica; Dielectrics; Sediments; Atmospheric modeling; Antarctic ice sheet; basal freeze-on; basal ice; electromagnetic (EM) forward modeling; gprMax; ice accretion; Jutulstraumen ice stream; radio-echo sounding (RES); sediment entrainment</t>
  </si>
  <si>
    <t>GROUND-PENETRATING RADAR; GREENLAND ICE; GLACIER; BENEATH; STREAM; PERMITTIVITY; SCATTERING; PROFILES; SURFACE; REVEAL</t>
  </si>
  <si>
    <t>Radio-echo sounding (RES) reveals patches of high backscatter in basal ice units, which represent distinct englacial features in the bottom parts of glaciers and ice sheets. Their material composition and physical properties are largely unknown due to their direct inaccessibility but could provide significant information on the physical state as well as on present and past processes at the ice-sheet base. Here, we investigate the material properties of basal ice units by comparing measured airborne radar data with synthetic radar responses generated using electromagnetic (EM) forward modeling. The observations were acquired at the onset of the Jutulstraumen Ice Stream in western Dronning Maud Land (DML) (East Antarctica) and show strong continuous near-basal reflections of up to 200-m thickness in the normally echo-free zone (EFZ). Based on our modeling, we suggest that these high-backscatter units are most likely composed of point reflectors with low dielectric properties, suggesting thick packages of englacial entrained debris. We further investigate the effects of entrained particle size, and concentration in combination with different dielectric properties, which provide useful information to constrain the material composition of radar-detected units of high backscatter. The capability and application of radar wave modeling in complex englacial environments is therefore a valuable tool to further constrain the composition of basal ice and the physical conditions at the ice base.</t>
  </si>
  <si>
    <t>[Franke, Steven; Gerber, Tamara; Dahl-Jensen, Dorthe] Univ Copenhagen, Niels Bohr Inst, Phys Ice Climate &amp; Earth, DK-2200 Copenhagen, Denmark; [Franke, Steven; Jansen, Daniela; Eisen, Olaf] Alfred Wegener Inst Helmholtz Zent Polar &amp; Meeres, Glaciol Sect, D-27570 Bremerhaven, Germany; [Warren, Craig] Northumbria Univ, Dept Mech &amp; Construct Engn, Newcastle Upon Tyne, England; [Eisen, Olaf] Univ Bremen, Dept Geosci, D-28359 Bremen, Germany; [Dahl-Jensen, Dorthe] Univ Manitoba, Ctr Earth Observat Sci, Winnipeg, MB, Canada</t>
  </si>
  <si>
    <t>University of Copenhagen; Niels Bohr Institute; Northumbria University; University of Bremen; University of Manitoba</t>
  </si>
  <si>
    <t>Franke, S (corresponding author), Univ Copenhagen, Niels Bohr Inst, Phys Ice Climate &amp; Earth, DK-2200 Copenhagen, Denmark.</t>
  </si>
  <si>
    <t>steven.franke@awi.de; tamara.gerber@nbi.ku.dk; craig.warren@northumbria.ac.uk; daniela.jansen@awi.de; olaf.eisen@awi.de; ddj@nbi.ku.dk</t>
  </si>
  <si>
    <t>Dahl-Jensen, Dorthe/AAO-6951-2020; Warren, Craig/H-3674-2013</t>
  </si>
  <si>
    <t>Dahl-Jensen, Dorthe/0000-0002-1474-1948; Eisen, Olaf/0000-0002-6380-962X; Franke, Steven/0000-0001-8462-4379; Warren, Craig/0000-0002-0777-7002; Gerber, Tamara Annina/0000-0002-0368-7229; Jansen, Daniela/0000-0002-4412-5820</t>
  </si>
  <si>
    <t>NASA Operation IceBridge Grant through The University of Kansas [NNX16AH54G]; NSF [ACI-1443054, OPP-1739003, IIS-1838230]; Villum Investigator Project IceFlow [16572]; German Academic Exchange Service (DAAD) Programme (Forschungsstipendien fur promovierte Nachwuchswissenschaftlerinnen und-wissenschaftler; Kurzstipendien); Walter Benjamin Programme of the Deutsche Forschungsgemeinschaft (DFG, German Research Foundation) [506043073]</t>
  </si>
  <si>
    <t>NASA Operation IceBridge Grant through The University of Kansas; NSF(National Science Foundation (NSF)); Villum Investigator Project IceFlow; German Academic Exchange Service (DAAD) Programme (Forschungsstipendien fur promovierte Nachwuchswissenschaftlerinnen und-wissenschaftler; Kurzstipendien)(Deutscher Akademischer Austausch Dienst (DAAD)); Walter Benjamin Programme of the Deutsche Forschungsgemeinschaft (DFG, German Research Foundation)(German Research Foundation (DFG))</t>
  </si>
  <si>
    <t>This work was supported in part by the NASA Operation IceBridge Grant through The University of Kansas under Grant NNX16AH54G; in part by the NSF under Grant ACI-1443054, Grant OPP-1739003, and Grant IIS-1838230; and in part by the Villum Investigator Project IceFlow under Grant 16572. The work of Steven Franke was supported in part by the German Academic Exchange Service (DAAD) Programme (Forschungsstipendien fur promovierte Nachwuchswissenschaftlerinnen und-wissenschaftler; Kurzstipendien) and in part by the Walter Benjamin Programme of the Deutsche Forschungsgemeinschaft (DFG, German Research Foundation) under Project 506043073.</t>
  </si>
  <si>
    <t>10.1109/TGRS.2023.3277874</t>
  </si>
  <si>
    <t>I9EK3</t>
  </si>
  <si>
    <t>WOS:001005737500027</t>
  </si>
  <si>
    <t>Fleischer, J; Ayton, J; Riley, M; Binsted, K; Cowan, DR; Fellows, AM; Weiss, JA; Buckey, JC</t>
  </si>
  <si>
    <t>Fleischer, Jennifer; Ayton, Jeff; Riley, Maree; Binsted, Kim; Cowan, Devin R.; Fellows, Abigail M.; Weiss, Jeff A.; Buckey, Jay C.</t>
  </si>
  <si>
    <t>Web-Based, Interactive, Interest-Based Negotiation Training for Managing Conflict in Isolated Environments: Opportunistic Study With an e-Survey</t>
  </si>
  <si>
    <t>JMIR FORMATIVE RESEARCH</t>
  </si>
  <si>
    <t>conflict management; bargaining; confined environments; COVID-19; pandemic; development; environment; skill; training; users; essential; Australia; management</t>
  </si>
  <si>
    <t>SPACE; PSYCHOLOGY; HEALTH</t>
  </si>
  <si>
    <t>Background: Effective negotiation in relationships is critical for successful long-duration space missions; inadequate conflict resolution has shown serious consequences. Less desirable forms of negotiation, including positional bargaining (eg, negotiating prices), can exacerbate conflicts. Traditional positional bargaining may work for simple, low-stakes transactions but does not prioritize ongoing relationships. High-stakes situations warrant interest-based negotiation, where parties with competing interests or goals collaborate in a mutually beneficial agreement. This is learnable but must be practiced. Refresher training during conflicts is important to prevent out-of-practice crew members from using less effective negotiation techniques. Training should be self-directed and not involve others because, on a space mission, the only other people available may be part of the conflict. Objective: We aimed to develop and test an interactive module teaching principles and skills of interest-based negotiation in a way that users find acceptable, valuable for learning, and enjoyable. Methods: Using a web-based, interactive-media approach, we scripted, filmed, and programmed an interest-based negotiation interactive training module. In the module, the program mentor introduces users to The Circle of Value approach to negotiation and highlights its key concepts through interactive scenarios requiring users to make selections at specific decision points. Each selection prompts feedback designed to reinforce a teaching point or highlight a particular negotiation technique. To evaluate the module, we sought populations experiencing isolation and confinement (an opportunistic design). This included 9 participants in isolated, confined environments in the Australian Antarctic Program and the Hawai'i Space Exploration Analog and Simulation Mars simulation, as well as a subset of people who self-identified as being isolated and confined during the COVID-19 pandemic. Feedback was collected from participants (n=54) through free-response answers and questionnaires with numerical scaling (0=strongly disagree to 4=strongly agree) at the end of the module. Results: In total, 51 of 54 (94%) participants found the activity valuable for learning about conflict management (identified by those who selected either somewhat agree or strongly agree), including 100% of participants in the isolated and confined environment subset (mode=3). In total, 79% (128/162) of participant responses indicated that the module was realistic (mode=3), including 85% (23/27) of responses from participants in isolated and confined environments (mode=3). Most participants felt that this would be particularly valuable for new team members in an isolated, confined environment (46/54, 85% of all participants, mode 4; 7/9, 78% of the isolated and confined environment subset, mode 3) as well as veterans.Conclusions: This module offers a self-directed, consistent approach to interest-based negotiation training, which is well received by users. Although the data are limited due to the opportunistic study design, the module could be useful for individuals in isolated and confined environments and for anyone involved in high-stakes negotiations where sustaining relationships is essential.</t>
  </si>
  <si>
    <t>[Fleischer, Jennifer; Cowan, Devin R.; Fellows, Abigail M.; Buckey, Jay C.] Geisel Sch Med Dartmouth, Space Med Innovat Lab, Lebanon, NH USA; [Ayton, Jeff; Riley, Maree] Australian Antarctic Div, Kingston, Australia; [Binsted, Kim] Univ Hawaii, Honolulu, HI USA; [Weiss, Jeff A.] Mass Gen Brigham, Boston, MA USA; [Fleischer, Jennifer] Geisel Sch Med Dartmouth, Space Med Innovat Lab, 1 Med Ctr Dr, Lebanon, NH 03755 USA</t>
  </si>
  <si>
    <t>Dartmouth College; Australian Antarctic Division; University of Hawaii System; Dartmouth College</t>
  </si>
  <si>
    <t>Fleischer, J (corresponding author), Geisel Sch Med Dartmouth, Space Med Innovat Lab, 1 Med Ctr Dr, Lebanon, NH 03755 USA.</t>
  </si>
  <si>
    <t>jennfleischer@gmail.com</t>
  </si>
  <si>
    <t>Cowan, Devin/KCZ-2766-2024</t>
  </si>
  <si>
    <t>Cowan, Devin/0000-0003-4621-0559; Ayton, Jeffrey/0000-0003-4012-6719; Buckey, Jay/0000-0003-4591-4431</t>
  </si>
  <si>
    <t>NASA [NNX13AM78G, NNX15AN05G]; National Space Biomedical Research Institute through NASA [NBF0380, NCC 9-58]</t>
  </si>
  <si>
    <t>NASA(National Aeronautics &amp; Space Administration (NASA)); National Space Biomedical Research Institute through NASA</t>
  </si>
  <si>
    <t>We greatly appreciate the work of William Phillips who directed the filming. We thank Joseph Beaudoin and all the staff at the Dartmouth Jones Media for their work on the video and audio. We appreciate the help from Allison Anderson during the development, as well as Matthew Longmire's efforts to ensure that the program technically worked smoothly in Antarctica. We thank all the actors who worked to make the scenes compelling and memorable: Erin Palmer, Paul West, Dawn Kearon, Tara O'Reilly, Christian Kohn, Andrew Peberdy, Richard Waterhouse, and Caroline Collison. This research is supported in part by NASA Grants NNX13AM78G and NNX15AN05G as well as by the National Space Biomedical Research Institute Project NBF0380 through NASA cooperative agreement NCC 9-58.</t>
  </si>
  <si>
    <t>JMIR PUBLICATIONS, INC</t>
  </si>
  <si>
    <t>TORONTO</t>
  </si>
  <si>
    <t>130 QUEENS QUAY East, Unit 1100, TORONTO, ON M5A 0P6, CANADA</t>
  </si>
  <si>
    <t>2561-326X</t>
  </si>
  <si>
    <t>JMIR FORM RES</t>
  </si>
  <si>
    <t>JMIR Form. Res.</t>
  </si>
  <si>
    <t>e42214</t>
  </si>
  <si>
    <t>10.2196/42214</t>
  </si>
  <si>
    <t>Health Care Sciences &amp; Services; Medical Informatics</t>
  </si>
  <si>
    <t>L2MX5</t>
  </si>
  <si>
    <t>WOS:001021662500001</t>
  </si>
  <si>
    <t>Adamczak, SK; McHuron, EA; Christiansen, F; Dunkin, R; McMahon, CR; Noren, S; Pirotta, E; Rosen, D; Sumich, J; Costa, DP</t>
  </si>
  <si>
    <t>Adamczak, Stephanie K.; McHuron, Elizabeth A.; Christiansen, Fredrik; Dunkin, Robin; McMahon, Clive R.; Noren, Shawn; Pirotta, Enrico; Rosen, David; Sumich, James; Costa, Daniel P.</t>
  </si>
  <si>
    <t>Growth in marine mammals: a review of growth patterns, composition and energy investment</t>
  </si>
  <si>
    <t>marine mammal; growth; body size</t>
  </si>
  <si>
    <t>SOUTHERN ELEPHANT SEALS; AGE-LENGTH RELATIONSHIPS; ANTARCTIC FUR SEALS; ATLANTIC FIN WHALES; BODY CONDITION; NORTH-ATLANTIC; METABOLIC-RATE; GEOGRAPHIC-VARIATION; PROTEIN DEPOSITION; BERGMANNS RULE</t>
  </si>
  <si>
    <t>Growth of structural mass and energy reserves influences individual survival, reproductive success, population and species life history. Metrics of structural growth and energy storage of individuals are often used to assess population health and reproductive potential, which can inform conservation. However, the energetic costs of tissue deposition for structural growth and energy stores and their prioritization within bioenergetic budgets are poorly documented. This is particularly true across marine mammal species as resources are accumulated at sea, limiting the ability to measure energy allocation and prioritization. We reviewed the literature on marine mammal growth to summarize growth patterns, explore their tissue compositions, assess the energetic costs of depositing these tissues and explore the tradeoffs associated with growth. Generally, marine mammals exhibit logarithmic growth. This means that the energetic costs related to growth and tissue deposition are high for early postnatal animals, but small compared to the total energy budget as animals get older. Growth patterns can also change in response to resource availability, habitat and other energy demands, such that they can serve as an indicator of individual and population health. Composition of tissues remained consistent with respect to protein and water content across species; however, there was a high degree of variability in the lipid content of both muscle (0.1-74.3%) and blubber (0.4-97.9%) due to the use of lipids as energy storage. We found that relatively few well-studied species dominate the literature, leaving data gaps for entire taxa, such as beaked whales. The purpose of this review was to identify such gaps, to inform future research priorities and to improve our understanding of how marine mammals grow and the associated energetic costs.</t>
  </si>
  <si>
    <t>[Adamczak, Stephanie K.; Dunkin, Robin; Costa, Daniel P.] Univ Calif Santa Cruz, Ecol &amp; Evolutionary Biol Dept, 130 McAlister Way, Santa Cruz, CA 95064 USA; [McHuron, Elizabeth A.] Univ Washington, Cooperat Inst Climate Ocean &amp; Ecosyst Studies, 3737 Brooklyn Ave NE, Seattle, WA 98105 USA; [Christiansen, Fredrik] Aarhus Univ, Dept Ecosci, Marine Mammal Res, Frederiksborgvej 399, DK-4000 Roskilde, Denmark; [McMahon, Clive R.] Sydney Inst Marine Sci, 9 Chowder Bay Rd, Mosman, NSW 2088, Australia; [Noren, Shawn; Costa, Daniel P.] Univ Calif Santa Cruz, Inst Marine Sci, Santa Cruz, CA USA; [Pirotta, Enrico] Univ St Andrews, Ctr Res Ecol &amp; Environm Modelling, St Andrews KY16 9LZ, Scotland; [Rosen, David] Univ British Columbia, Inst Oceans &amp; Fisheries, Marine Mammal Res Unit, 2022 Main Mall, Vancouver, BC V6T 1Z4, Canada; [Sumich, James] Oregon State Univ, Hatfield Marine Sci Ctr, Fisheries Wildlife &amp; Conservat Sci Dept, 2030 SE Marine Sci Dr, Newport, OR 97365 USA; [Adamczak, Stephanie K.] Univ Calif Santa Cruz, Ecol &amp; Evolutionary Biol Dept, Santa Cruz, CA 95064 USA</t>
  </si>
  <si>
    <t>University of California System; University of California Santa Cruz; University of Washington; University of Washington Seattle; Aarhus University; Sydney Institute of Marine Science; University of California System; University of California Santa Cruz; University of St Andrews; University of British Columbia; Oregon State University; University of California System; University of California Santa Cruz</t>
  </si>
  <si>
    <t>Adamczak, SK (corresponding author), Univ Calif Santa Cruz, Ecol &amp; Evolutionary Biol Dept, Santa Cruz, CA 95064 USA.</t>
  </si>
  <si>
    <t>steph.adamczak@gmail.com</t>
  </si>
  <si>
    <t>McMahon, Clive R/D-5713-2013</t>
  </si>
  <si>
    <t>McMahon, Clive R/0000-0001-5241-8917; Adamczak, Stephanie/0000-0002-6496-2300</t>
  </si>
  <si>
    <t>Office of Naval Research [N000142012392]; Eamp;P Sound and Marine Life Joint Industry Programme of the International Association of Oil and Gas Producers (IOGP) [00-07-23]; Australian Integrated Marine Observing System (IMOS); U.S. Department of Defense (DOD) [N000142012392] Funding Source: U.S. Department of Defense (DOD)</t>
  </si>
  <si>
    <t>Office of Naval Research(Office of Naval Research); Eamp;P Sound and Marine Life Joint Industry Programme of the International Association of Oil and Gas Producers (IOGP); Australian Integrated Marine Observing System (IMOS); U.S. Department of Defense (DOD)(United States Department of Defense)</t>
  </si>
  <si>
    <t>Funded under award from Office of Naval Research: N000142012392. DPC and SA were funded under the E &amp; amp;P Sound and Marine Life Joint Industry Programme of the International Association of Oil and Gas Producers (IOGP; grant 00-07-23). CRM is supported by the Australian Integrated Marine Observing System (IMOS), IMOS s enabled by the National Collaborative Research Infrastructure Strategy.</t>
  </si>
  <si>
    <t>coad035</t>
  </si>
  <si>
    <t>10.1093/conphys/coad035</t>
  </si>
  <si>
    <t>J9BA6</t>
  </si>
  <si>
    <t>WOS:001012494200001</t>
  </si>
  <si>
    <t>Uhm, T; Noh, K; Hwan, H; Kim, JC; Lee, HJ; Choi, YH</t>
  </si>
  <si>
    <t>Uhm, Taeyoung; Noh, Kyoungseok; Hwan, Hwangjeong; Kim, Jong-Chan; Lee, Hyo-Jun; Choi, Young-Ho</t>
  </si>
  <si>
    <t>Multi-modal Sensor Module for Antarctica Exploration Robots</t>
  </si>
  <si>
    <t>2023 IEEE INTERNATIONAL CONFERENCE ON CONSUMER ELECTRONICS, ICCE</t>
  </si>
  <si>
    <t>International Conference on Consumer Electronics</t>
  </si>
  <si>
    <t>IEEE International Conference on Consumer Electronics (ICCE)</t>
  </si>
  <si>
    <t>JAN 06-08, 2023</t>
  </si>
  <si>
    <t>Las Vegas, NV</t>
  </si>
  <si>
    <t>In cryogenic regions, robots need various sensors to autonomously drive and perform their missions. These sensors should not only provide data for recognizing the environment, avoiding obstacles, and detecting their location, but should also be able to operate in a cryogenic environment. In this paper, we propose a multimodal sensor module that can acquire RGB, depth, and thermal images for use in a cryogenic environment (e.g. the Antarctic). The proposed module can explore crevasses while autonomously driving in Antarctica together with 3D Lidar and GPS sensors.</t>
  </si>
  <si>
    <t>[Uhm, Taeyoung; Noh, Kyoungseok; Hwan, Hwangjeong; Kim, Jong-Chan; Lee, Hyo-Jun; Choi, Young-Ho] Korea Inst Robot &amp; Convergence, Pohang, South Korea</t>
  </si>
  <si>
    <t>Uhm, T (corresponding author), Korea Inst Robot &amp; Convergence, Pohang, South Korea.</t>
  </si>
  <si>
    <t>uty@kiro.re.kr; ksno@kiro.re.kr; hwangjh@kiro.re.kr; jc.kim@kiro.re.kr; ehyojun@kiro.re.kr; rockboy@kiro.re.kr</t>
  </si>
  <si>
    <t>Research on Co-Operative Mobile Robot System Technology for Polar Region Development - Ministry of Trade, Industry and Energy (MOTIE) [1525011624]</t>
  </si>
  <si>
    <t>Research on Co-Operative Mobile Robot System Technology for Polar Region Development - Ministry of Trade, Industry and Energy (MOTIE)</t>
  </si>
  <si>
    <t>This work was supported in part by Research on Co-Operative Mobile Robot System Technology for Polar Region Development and Exploration funded by the Ministry of Trade, Industry and Energy (MOTIE) (No. 1525011624).</t>
  </si>
  <si>
    <t>978-1-6654-9130-3</t>
  </si>
  <si>
    <t>IEEE ICCE</t>
  </si>
  <si>
    <t>10.1109/ICCE56470.2023.10043458</t>
  </si>
  <si>
    <t>Computer Science, Interdisciplinary Applications; Engineering, Electrical &amp; Electronic</t>
  </si>
  <si>
    <t>Computer Science; Engineering</t>
  </si>
  <si>
    <t>BV0TD</t>
  </si>
  <si>
    <t>WOS:000978390700089</t>
  </si>
  <si>
    <t>Huo, ZJ; Zhang, L; Zeng, ZF; Li, J; Li, L; Liu, C</t>
  </si>
  <si>
    <t>Huo, Zhijun; Zhang, Ling; Zeng, Zhaofa; Li, Jing; Li, Lin; Liu, Cai</t>
  </si>
  <si>
    <t>Simulation of Lunar Comprehensive Substructure With Fracture and Imaging of Later LPR Data From Chang'e-4 Mission</t>
  </si>
  <si>
    <t>Moon; Fractals; Lattices; Solid modeling; Radar; Radar imaging; Imaging; Chang'e-4 (CE-4); imaging; lunar penetrating radar (LPR); modeling; plane-wave destruction (PWD)</t>
  </si>
  <si>
    <t>PENETRATING RADAR ONBOARD; VELOCITY ANALYSIS; FAULT SYSTEMS; SEPARATION; GEOMETRY; MEDIA; ROCKS</t>
  </si>
  <si>
    <t>As one of the most important geophysical methods for detecting the lunar underground structure of the Moon, the lunar penetrating radar (LPR) is applied to the Chang'e-4 (CE-4) mission to explore the Von Karman crater on the far side of the Moon. With the Yutu-2 rover continuing to move toward the Zhinyu crater at the west, radar will likely detect the fractures created by the impact that formed the Zhinyu crater. Therefore, the establishment of a comprehensive lunar subsurface structure model with fracture, random media, and fractal terrain is crucial for the LPR data processing and the understanding of the lunar geological impact process. In addition, the method that can image the radar data with fractures well has great significance to the interpretation of the LPR data. In this article, we establish a comprehensive lunar subsurface structure model first, and the considering factors, including fractures, random media, fractal terrain, and the radar response, are calculated through forward modeling. Second, according to the high resolution and the sensitive to inhomogeneities of LPR data, we design a set of processing flow, including plane-wave destruction (PWD), velocity analysis based on the focusing analysis method, and migration imaging based on the velocity continuation. Finally, the results, including simulation data and Antarctic fracture data, are used to verify the effectiveness of imaging method.</t>
  </si>
  <si>
    <t>[Huo, Zhijun; Zeng, Zhaofa; Li, Jing; Liu, Cai] Jilin Univ, Coll Geoexplorat Sci &amp; Technol, Changchun 130026, Peoples R China; [Zhang, Ling] Sun Yat sen Univ, Sch Earth Sci &amp; Engn, Guangzhou 510275, Peoples R China; [Zhang, Ling] Macau Univ Sci &amp; Technol, State Key Lab Lunar &amp; Planetary Sci, Macau, Peoples R China; [Li, Lin] Polar Res Inst China PRIC, Shanghai 200000, Peoples R China</t>
  </si>
  <si>
    <t>Jilin University; Sun Yat Sen University; Macau University of Science &amp; Technology; Polar Research Institute of China</t>
  </si>
  <si>
    <t>Zhang, L (corresponding author), Sun Yat sen Univ, Sch Earth Sci &amp; Engn, Guangzhou 510275, Peoples R China.;Zhang, L (corresponding author), Macau Univ Sci &amp; Technol, State Key Lab Lunar &amp; Planetary Sci, Macau, Peoples R China.</t>
  </si>
  <si>
    <t>huozj18@mails.jlu.edu.cn; zhangling23@mail.sysu.edu.cn; zengzf@jlu.edu.cn; ljwy1209@163.com; lilin@pric.org.cn; liucai@jlu.edu.cn</t>
  </si>
  <si>
    <t>li, jing/M-5793-2016</t>
  </si>
  <si>
    <t>li, jing/0000-0002-7960-176X</t>
  </si>
  <si>
    <t>National Key R&amp;D Program of China [2022YFC3003402]; National Natural Science Foundation of China [42104141, 42174065, 42222407]; Technology Innovation Center for Land Engineering and Human Settlements, Shanxi Land Engineering Construction Group Company, Ltd.; Xi'an Jiaotong University [2021WHZ0080]</t>
  </si>
  <si>
    <t>National Key R&amp;D Program of China; National Natural Science Foundation of China(National Natural Science Foundation of China (NSFC)); Technology Innovation Center for Land Engineering and Human Settlements, Shanxi Land Engineering Construction Group Company, Ltd.; Xi'an Jiaotong University(Xi'an Jiaotong University)</t>
  </si>
  <si>
    <t>This work was supported in part by the National Key R&amp;D Program of China under Grant 2022YFC3003402; in part by the National Natural Science Foundation of China under Grant 42104141, Grant 42174065, and Grant 42222407; and in part by the Technology Innovation Center for Land Engineering and Human Settlements, Shanxi Land Engineering Construction Group Company, Ltd., and Xi'an Jiaotong University under Grant 2021WHZ0080.</t>
  </si>
  <si>
    <t>10.1109/TGRS.2023.3274566</t>
  </si>
  <si>
    <t>H3EO7</t>
  </si>
  <si>
    <t>WOS:000994834000008</t>
  </si>
  <si>
    <t>Shin, SJ; Yeh, SW; An, SI; Keenlyside, N; Xie, SP; Park, JH</t>
  </si>
  <si>
    <t>Shin, So-Jung; Yeh, Sang-Wook; An, Soon-Il; Keenlyside, Noel; Xie, Shang-Ping; Park, Jae-Heung</t>
  </si>
  <si>
    <t>Southern Ocean Control of 2°C Global Warming in Climate Models</t>
  </si>
  <si>
    <t>EARTHS FUTURE</t>
  </si>
  <si>
    <t>southern ocean condition; low level cloud amount feedback; Paris agreement; Antarctic sea ice</t>
  </si>
  <si>
    <t>TOP-OF-ATMOSPHERE; HEAT UPTAKE; SEA-ICE; SENSITIVITY; CMIP5; 1.5-DEGREES-C; TEMPERATURES; CIRCULATION; CONVECTION; CLOUDS</t>
  </si>
  <si>
    <t>Global warming will soon reach the Paris Agreement targets of 1.5 degrees C/2 degrees C temperature increase above pre-industrial levels. Under a business-as-usual scenario, the time to reach these targets varies widely among climate models. Using Coupled Model Intercomparison Project Phase 5 and 6, we show that a 2 degrees C global warming is determined by Southern Ocean (SO) state closely tied with a low-level cloud (LLC) amount feedback strength during reference (1861-1900) period; climate models with cold SO tend to accompany more low-level cloudiness and Antarctic sea ice concentration due to a strong LLC amount feedback. Consequently, initially cold SO models tend to simulate a fast global warming by absorbing more downward shortwave radiation compared to initially warm SO models because more LLC disappears due to a strong LLC amount feedback during the 2 degrees C rise. Our results demonstrate that climate models that correctly simulate initial SO state can improve 2 degrees C warming projections with reduced uncertainties. Plain Language Summary In December 2015 at Paris, United Nations agreed to hold the increase in the global average temperature to well below 2 degrees C above pre-industrial levels and pursuing efforts to limit 1.5 degrees C above pre-industrial levels. It naturally leads to a question as to when these targets will reach. However, under a business-as-usual scenario, the time to reach these targets varies widely among climate models. Using Coupled Model Intercomparison Project Phase 5 and 6, we show that a 2 degrees C global warming is closely related to the late 19th century condition of Southern Ocean (SO) state such that the initially cold SO climate models actually produced fast warming rate and vice versa. This is because these initially cold SO climate models that mostly accompany more low-level cloudiness and Antarctic sea ice concentration, could actually absorb more downward shortwave radiation by reducing cloudiness and sea-ice during a warming progress compared to initially warm SO models. Finally, our results demonstrate that climate models that correctly simulate initial SO state can improve 2 degrees C warming projections with reduced uncertainties.</t>
  </si>
  <si>
    <t>[Shin, So-Jung; An, Soon-Il] Yonsei Univ, Dept Atmospher Sci, Seoul, South Korea; [Shin, So-Jung; An, Soon-Il] Yonsei Univ, Irreversible Climate Change Res Ctr, Seoul, South Korea; [Yeh, Sang-Wook] Hanyang Univ, Dept Marine Sci &amp; Convergence Engn, Ansan, South Korea; [An, Soon-Il; Park, Jae-Heung] Pohang Univ Sci &amp; Technol, Div Environm Sci &amp; Engn, Pohang, South Korea; [Keenlyside, Noel] Univ Bergen, Geophys Inst, Bjerknes Ctr Climate Res, Bergen, Norway; [Xie, Shang-Ping] Univ Calif San Diego, Scripps Inst Oceanog, La Jolla, CA USA</t>
  </si>
  <si>
    <t>Yonsei University; Yonsei University; Hanyang University; Pohang University of Science &amp; Technology (POSTECH); Bjerknes Centre for Climate Research; University of Bergen; University of California System; University of California San Diego; Scripps Institution of Oceanography</t>
  </si>
  <si>
    <t>An, SI (corresponding author), Yonsei Univ, Dept Atmospher Sci, Seoul, South Korea.;An, SI (corresponding author), Yonsei Univ, Irreversible Climate Change Res Ctr, Seoul, South Korea.;Yeh, SW (corresponding author), Hanyang Univ, Dept Marine Sci &amp; Convergence Engn, Ansan, South Korea.;An, SI (corresponding author), Pohang Univ Sci &amp; Technol, Div Environm Sci &amp; Engn, Pohang, South Korea.</t>
  </si>
  <si>
    <t>swyeh@hanyang.ac.kr; sian@yonsei.ac.kr</t>
  </si>
  <si>
    <t>Yeh, Sang-Wook/G-3007-2014; Xie, Shang-Ping/C-1254-2009; Keenlyside, Noel S/E-8303-2013</t>
  </si>
  <si>
    <t>Xie, Shang-Ping/0000-0002-3676-1325; Keenlyside, Noel S/0000-0002-8708-6868</t>
  </si>
  <si>
    <t>National Research Foundation of Korea [NRF-2018R1A5A1024958]; Korea Environment Industry and Technology Institude (KEITI) through-Climate Change R&amp;D Project for New Climate Regime - Korea Ministry of Environment (MOE) [2022003560001]; Yonsei Signature Research Cluster Program [2021-22-0003]</t>
  </si>
  <si>
    <t>National Research Foundation of Korea(National Research Foundation of Korea); Korea Environment Industry and Technology Institude (KEITI) through-Climate Change R&amp;D Project for New Climate Regime - Korea Ministry of Environment (MOE); Yonsei Signature Research Cluster Program</t>
  </si>
  <si>
    <t>This work was supported directly by National Research Foundation of Korea (NRF-2018R1A5A1024958), Yonsei Signature Research Cluster Program of 2021 (2021-22-0003). SWY was also supported by Korea Environment Industry and Technology Institude (KEITI) through-Climate Change R &amp; D Project for New Climate Regime funded by Korea Ministry of Environment (MOE) (2022003560001).</t>
  </si>
  <si>
    <t>2328-4277</t>
  </si>
  <si>
    <t>Earth Future</t>
  </si>
  <si>
    <t>e2022EF003212</t>
  </si>
  <si>
    <t>10.1029/2022EF003212</t>
  </si>
  <si>
    <t>H9EB8</t>
  </si>
  <si>
    <t>WOS:000998896900001</t>
  </si>
  <si>
    <t>Rusinova-Videva, S; Hristova, D; Konstantinov, S</t>
  </si>
  <si>
    <t>Rusinova-Videva, Snezhana; Hristova, Dilyana; Konstantinov, Spiro</t>
  </si>
  <si>
    <t>ANTINEOPLASTIC ACTIVITY OF EXTRACTS OF THE ANTARCTIC YEAST SPOROBOLOMYCES ROSEUS AL103 ON URINARY BLADDER CANCER CELLS</t>
  </si>
  <si>
    <t>antarctic yeast extracts; bioreactor; in vitro antiproliferative effect; apoptosis</t>
  </si>
  <si>
    <t>Currently, malignant diseases are one of the leading causes of mortality worldwide. Antarctic yeasts represent a poorly explored source of novel bioac-tive compounds with antineoplastic activity and expected favourable toxicolog-ical profile. The aim of the work was the evaluation of the antiproliferative and proapoptotic potential of extracts obtained from the psychrophilic strain Sporobolomyces roseus AL103. Data from MTT dye reduction assay showed that urothelial cancer cell line T-24 was more sensitive (85-101 mu g/mL) than the non-tumour cell line (CCL-1-343 to 432 mu g/mL). Apoptosis analysis after treatment with different yeast extracts revealed strong potential to inhibit var-ious antiapoptotic factors as well as selective induction of apoptosis in tumour cells as confirmed by flow cytometry, too.</t>
  </si>
  <si>
    <t>[Rusinova-Videva, Snezhana] Bulgarian Acad Sci, Inst Microbiol, Dept Biotechnol, 139 Ruski Blvd, Plovdiv 4000, Bulgaria; [Hristova, Dilyana; Konstantinov, Spiro] Med Univ Sofia, Toxicol Fac Pharm, Dept Pharmacol Pharmacotherapy, 2 Dunav St, Sofia 1000, Bulgaria</t>
  </si>
  <si>
    <t>Medical University Plovdiv; Bulgarian Academy of Sciences; Medical University Sofia</t>
  </si>
  <si>
    <t>Hristova, D; Konstantinov, S (corresponding author), Med Univ Sofia, Toxicol Fac Pharm, Dept Pharmacol Pharmacotherapy, 2 Dunav St, Sofia 1000, Bulgaria.</t>
  </si>
  <si>
    <t>jrusinova@abv.bg; dil.hristova.m@gmail.com; konstantinov.spiromihaylov@gmail.com</t>
  </si>
  <si>
    <t>Bulgarian Ministry of Education and Science through the National Centre for Polar Studies; Sofia University St. Kliment Ohridski; [70-25-40/23.01.2023]</t>
  </si>
  <si>
    <t>Bulgarian Ministry of Education and Science through the National Centre for Polar Studies; Sofia University St. Kliment Ohridski;</t>
  </si>
  <si>
    <t>This research was funded by the Bulgarian Ministry of Education and Science through the National Centre for Polar Studies, and Sofia University St. Kliment Ohridski in the frame of the National Programme for Polar Studies 2022-2025, grant No. 70-25-40/23.01.2023.</t>
  </si>
  <si>
    <t>10.7546/CRABS.2023.05.14</t>
  </si>
  <si>
    <t>I3QZ0</t>
  </si>
  <si>
    <t>WOS:001001970700014</t>
  </si>
  <si>
    <t>Piva, E; Schumann, S; Pacchini, S; Brasola, E; Stoilova, V; Irato, P; Pellegrino, D; Santovito, G</t>
  </si>
  <si>
    <t>Piva, E.; Schumann, S.; Pacchini, S.; Brasola, E.; Stoilova, V.; Irato, P.; Pellegrino, D.; Santovito, G.</t>
  </si>
  <si>
    <t>How can climate change affect Antarctic fish physiology? A study on the effects of increasing seawater temperatures on fish heart rates</t>
  </si>
  <si>
    <t>ISJ-INVERTEBRATE SURVIVAL JOURNAL</t>
  </si>
  <si>
    <t>[Piva, E.; Schumann, S.; Pacchini, S.; Irato, P.; Santovito, G.] Univ Padua, Dept Biol, Padua, Italy; [Brasola, E.] Univ Padua, Dept Math, Padua, Italy; [Stoilova, V.] Univ Karlstad, Dept Environm &amp; Life Sci, Karlstad, Sweden; [Pellegrino, D.] Univ Calabria, Dept Biol Ecol &amp; Earth Sci, Arcavacata Di Rende, Cosenza, Italy</t>
  </si>
  <si>
    <t>University of Padua; University of Padua; Karlstad University; University of Calabria</t>
  </si>
  <si>
    <t>Santovito, Gianfranco/ABB-9484-2021</t>
  </si>
  <si>
    <t>Santovito, Gianfranco/0000-0001-8260-7006</t>
  </si>
  <si>
    <t>INVERTEBRATE SURVIVAL JOURNAL</t>
  </si>
  <si>
    <t>MODENA</t>
  </si>
  <si>
    <t>C/O DAVIDE MALAGOLI, DEPT OF LIFE SCIENCES, UNIV MODENA &amp; REGGIO EMILIA, VIA CAMPI, 213-D, MODENA, 41125, ITALY</t>
  </si>
  <si>
    <t>1824-307X</t>
  </si>
  <si>
    <t>ISJ-INVERT SURVIV J</t>
  </si>
  <si>
    <t>ISJ-Invertebr. Surviv. J.</t>
  </si>
  <si>
    <t>Immunology; Zoology</t>
  </si>
  <si>
    <t>I2YV8</t>
  </si>
  <si>
    <t>WOS:001001498800003</t>
  </si>
  <si>
    <t>Greco, S; Gaetano, AS; Voltarel, G; Giulianini, PG; Pallavicini, A; Gerdol, M</t>
  </si>
  <si>
    <t>Greco, S.; Gaetano, A. S.; Voltarel, G.; Giulianini, P. G.; Pallavicini, A.; Gerdol, M.</t>
  </si>
  <si>
    <t>Comparative gene expression analysis reveals adaptation mechanisms in the Antarctic scallop Adamussium colbecki</t>
  </si>
  <si>
    <t>[Greco, S.; Voltarel, G.; Giulianini, P. G.; Pallavicini, A.; Gerdol, M.] Univ Trieste, Dept Life Sci, Trieste, Italy; [Gaetano, A. S.] Univ Trieste, Dept Chem &amp; Pharmaceut Sci, Trieste, Italy</t>
  </si>
  <si>
    <t>University of Trieste; University of Trieste</t>
  </si>
  <si>
    <t>Pallavicini, Alberto/H-9281-2019</t>
  </si>
  <si>
    <t>Pallavicini, Alberto/0000-0001-7174-4603</t>
  </si>
  <si>
    <t>WOS:001001498800006</t>
  </si>
  <si>
    <t>Ametrano, A; Gerdol, M; Picchietti, S; Pianese, V; Oreste, U; Coscia, MR</t>
  </si>
  <si>
    <t>Ametrano, A.; Gerdol, M.; Picchietti, S.; Pianese, V.; Oreste, U.; Coscia, M. R.</t>
  </si>
  <si>
    <t>Lost IgT gene in icefish: another chapter of the evolutionary tale of Antarctic fish</t>
  </si>
  <si>
    <t>[Ametrano, A.; Oreste, U.; Coscia, M. R.] Natl Res Council Italy, Inst Biochem &amp; Cell Biol, Naples, Italy; [Gerdol, M.] Univ Trieste, Dept Life Sci, Trieste, Italy; [Picchietti, S.; Pianese, V.] Univ Tuscia, Dept Innovat Biol, Agro Food &amp; Forest Syst DIBAF, Viterbo, Italy</t>
  </si>
  <si>
    <t>Consiglio Nazionale delle Ricerche (CNR); University of Trieste; Tuscia University</t>
  </si>
  <si>
    <t>Coscia, Maria Rosaria/AAU-1808-2021</t>
  </si>
  <si>
    <t>National Programme for Antarctic Research (PNRA) [PNRA18_00077]</t>
  </si>
  <si>
    <t>National Programme for Antarctic Research (PNRA)</t>
  </si>
  <si>
    <t>This research was supported by the National Programme for Antarctic Research (PNRA), Project number PNRA18_00077</t>
  </si>
  <si>
    <t>WOS:001001498800010</t>
  </si>
  <si>
    <t>Ametrano, A; Miranda, B; De Stefano, L; Oreste, U; Coscia, MR</t>
  </si>
  <si>
    <t>Ametrano, A.; Miranda, B.; De Stefano, L.; Oreste, U.; Coscia, M. R.</t>
  </si>
  <si>
    <t>Investigation of the IgM heavy chain gene from Antarctic fish inspired a novel engineered monoclonal antibody</t>
  </si>
  <si>
    <t>[Ametrano, A.; Oreste, U.; Coscia, M. R.] Natl Res Council Italy, Inst Biochem &amp; Cell Biol, Naples, Italy; [Miranda, B.; De Stefano, L.] Natl Res Council Italy, Inst Appl Sci &amp; Intelligent Syst, Naples, Italy</t>
  </si>
  <si>
    <t>Consiglio Nazionale delle Ricerche (CNR); Consiglio Nazionale delle Ricerche (CNR); Istituto di Scienze Applicate e Sistemi Intelligenti Eduardo Caianiello (ISASI-CNR)</t>
  </si>
  <si>
    <t>WOS:001001498800012</t>
  </si>
  <si>
    <t>Picchietti, S; Guerra, L; Taddei, AR; Saraceni, PR; Gerdol, M; Porcelli, F; Bugli, F; Rosato, R; Miccoli, A; Fausto, AM; Scapigliati, G; Buonocore, F</t>
  </si>
  <si>
    <t>Picchietti, S.; Guerra, L.; Taddei, A. R.; Saraceni, P. R.; Gerdol, M.; Porcelli, F.; Bugli, F.; Rosato, R.; Miccoli, A.; Fausto, A. M.; Scapigliati, G.; Buonocore, F.</t>
  </si>
  <si>
    <t>NK-lysin homologue from the Antarctic teleost Trematomus bernacchii and its Ala mutant: focus on antibacterial and anticancer activities</t>
  </si>
  <si>
    <t>[Picchietti, S.; Guerra, L.; Saraceni, P. R.; Porcelli, F.; Miccoli, A.; Fausto, A. M.; Scapigliati, G.; Buonocore, F.] Univ Tuscia, Dept Innovat Biol, Agro Food &amp; Forest Syst DIBAF, Viterbo, Italy; [Taddei, A. R.] Univ Tuscia, Sect Electron Microscopy, Ctr Large Equipments, Viterbo, Italy; [Gerdol, M.] Univ Trieste, Dept Life Sci, Trieste, Italy; [Bugli, F.; Rosato, R.] Univ Cattolica Sacro Cuore, Dept Basic Biotechnol Sci, Intens &amp; Perioperat Clin, Rome, Italy</t>
  </si>
  <si>
    <t>Tuscia University; Tuscia University; University of Trieste; Catholic University of the Sacred Heart; IRCCS Policlinico Gemelli</t>
  </si>
  <si>
    <t>This research was supported by the National Programme for Antarctic Research (PNRA), Project number PNRA18_00077.</t>
  </si>
  <si>
    <t>WOS:001001498800019</t>
  </si>
  <si>
    <t>Savidge, E; Snow, T; Siegfried, MR; Zheng, YX; Bôas, ABV; Bortolotto, GA; Boehme, L; Alley, KE</t>
  </si>
  <si>
    <t>Savidge, Elena; Snow, Tasha; Siegfried, Matthew R.; Zheng, Yixi; Boas, Ana B. Villas; Bortolotto, Guilherme A.; Boehme, Lars; Alley, Karen E.</t>
  </si>
  <si>
    <t>Wintertime Polynya Structure and Variability From Thermal Remote Sensing and Seal-Borne Observations at Pine Island Glacier, West Antarctica</t>
  </si>
  <si>
    <t>Ocean temperature; Sea surface; Temperature measurement; Oceans; Remote sensing; MODIS; Ice; Ice-ocean interaction; Landsat 8 Thermal Infrared Sensor (TIRS); Moderate Resolution Imaging Spectroradiometer (MODIS); persistent polynyas; thermal remote sensing</t>
  </si>
  <si>
    <t>SHELF BASAL CHANNELS; ICE-SHELF; PASSIVE MICROWAVE; OCEAN CIRCULATION; CONTINENTAL-SHELF; DEEP-WATER; BENEATH; BAY; THWAITES; MODIS</t>
  </si>
  <si>
    <t>Antarctica's ice shelves play a critical role in modulating ice loss to the ocean by buttressing grounded ice upstream. With the potential to impact ice-shelf stability, persistent polynyas (open-water areas surrounded by sea ice that occur across multiple years at the same location) at the edge of many ice-shelf fronts are maintained by winds and/or ocean heat and are locations of strong ice-ocean-atmosphere interactions. However, in situ observations of polynyas are sparse due to the logistical constraints of collecting Antarctic field measurements. Here, we used wintertime (May-August) temperature and salinity observations derived from seal-borne instruments deployed in 2014, 2019, and 2020, in conjunction with thermal imagery from the Moderate Resolution Imaging Spectroradiometer (MODIS) and the Landsat 8 Thermal Infrared Sensor (TIRS) to investigate spatial, temporal, and thermal structural variability of polynyas near Pine Island Glacier (PIG). Across the three winters considered, there were 176 anomalously warm ( $3\sigma $ from background) seal dives near the PIG ice front, including 26 dives that coincided with MODIS images with minimal cloud cover that also showed a warm surface temperature anomaly. These warm surface temperatures correlated with ocean temperatures down to 150 m depth or deeper, depending on the year, suggesting that MODIS-derived surface thermal anomalies can be used for monitoring polynya presence and structure during polar night. The finer spatial resolution (100 m) of TIRS wintertime thermal imagery captures more detailed thermal structural variability within these polynyas, which may provide year-round insight into subice-shelf processes if this dataset is collected operationally.</t>
  </si>
  <si>
    <t>[Savidge, Elena; Snow, Tasha; Siegfried, Matthew R.; Boas, Ana B. Villas] Colorado Sch Mines, Dept Geophys, Golden, CO 80401 USA; [Zheng, Yixi] Univ East Anglia, Sch Environm Sci, Norwich NR4 7TJ, England; [Bortolotto, Guilherme A.] Univ St Andrews, Sch Biol, St Andrews KY16 9TH, Scotland; [Alley, Karen E.] Univ Manitoba, Dept Environm &amp; Geog, Winnipeg, MB R3T 2N2, Canada</t>
  </si>
  <si>
    <t>Colorado School of Mines; University of East Anglia; University of St Andrews; University of Manitoba</t>
  </si>
  <si>
    <t>Savidge, E (corresponding author), Colorado Sch Mines, Dept Geophys, Golden, CO 80401 USA.</t>
  </si>
  <si>
    <t>esavidge@mines.edu; tsnow@mines.edu; siegfried@mines.edu; yixi.zheng@uea.ac.uk; villasboas@mines.edu; abdo@st-andrews.ac.uk; lb284@st-andrews.ac.uk; karen.alley@umanitoba.ca</t>
  </si>
  <si>
    <t>Alley, Karen E/HGE-5249-2022</t>
  </si>
  <si>
    <t>Alley, Karen E/0000-0003-0358-3806; Snow, Tasha/0000-0001-5697-5470; Bortolotto, Guilherme Augusto/0000-0002-5343-6575; Zheng, Yixi/0000-0003-3136-1311</t>
  </si>
  <si>
    <t>National Science Foundation -Natural Environment Research Council (NSF-NERC) International Thwaites Glacier Collaboration: Thwaites-Amundsen Regional Survey and Network (ITGC: TARSAN) [NE/S006419/1, NE/S00659/1]; NSF [1738992]; NERC Ice Sheet Stability Programme (iSTAR) [NE/7005703/1]; NSERC [557347]; NASA Cryospheric Science Program [80NSSC22K0385]; NASA Earth and Space Science Fellowship [NNX16AO33H]; China Scholarship Council; University of East Anglia; European Research Council [741120: COMPASS]; NERC Research [NE/W007045/1]; NSF Directorate for Geosciences (NSFGEO)-NERC: Collaborative Research: ARTEMIS; NASA S-MODE Program [80NSSC19K1004]; NSERC [RGPIN-2021-02910]</t>
  </si>
  <si>
    <t>National Science Foundation -Natural Environment Research Council (NSF-NERC) International Thwaites Glacier Collaboration: Thwaites-Amundsen Regional Survey and Network (ITGC: TARSAN); NSF(National Science Foundation (NSF)); NERC Ice Sheet Stability Programme (iSTAR); NSERC(Natural Sciences and Engineering Research Council of Canada (NSERC)); NASA Cryospheric Science Program; NASA Earth and Space Science Fellowship; China Scholarship Council(China Scholarship Council); University of East Anglia; European Research Council(European Research Council (ERC)); NERC Research(UK Research &amp; Innovation (UKRI)Natural Environment Research Council (NERC)); NSF Directorate for Geosciences (NSFGEO)-NERC: Collaborative Research: ARTEMIS; NASA S-MODE Program; NSERC(Natural Sciences and Engineering Research Council of Canada (NSERC))</t>
  </si>
  <si>
    <t>This work was supported in part by the National Science Foundation -Natural Environment Research Council (NSF-NERC) International Thwaites Glacier Collaboration: Thwaites-Amundsen Regional Survey and Network (ITGC: TARSAN) under grant NE/S006419/1 (NERC), grant NE/S00659/1 (NERC), and grant 1738992 (NSF); and in part by the NERC Ice Sheet Stability Programme (iSTAR) under grant NE/7005703/1. The work of Elena Savidge was supported in part by the Doctoral NSERC Award under grant 557347 and in part by the NASA Cryospheric Science Program under grant 80NSSC22K0385. The work of Tasha Snow was supported in part by the NASA Cryospheric Science Program under grant 80NSSC22K0385 and in part by the NASA Earth and Space Science Fellowship Program under grant NNX16AO33H. The work of Matthew R. Siegfried was supported by the NASA Cryospheric Science Program under grant 80NSSC22K0385. The work of Yixi Zheng was supported in part by the China Scholarship Council, in part by the University of East Anglia, in part by the European Research Council (under H2020-EU.1.1.) under grant 741120: COMPASS, and in part by the NERC Research Grant under grant NE/W007045/1 NSF Directorate for Geosciences (NSFGEO)-NERC: Collaborative Research: ARTEMIS. The work of Ana B. Villas Bpas was supported in part by the NASA Cryospheric Science Program under grant 80NSSC22K0385 and in part by the NASA S-MODE Program under grant 80NSSC19K1004. The work of Karen E. Alley was supported by NSERC under grant RGPIN-2021-02910.</t>
  </si>
  <si>
    <t>10.1109/TGRS.2023.3271453</t>
  </si>
  <si>
    <t>H5PU3</t>
  </si>
  <si>
    <t>WOS:000996488200008</t>
  </si>
  <si>
    <t>Sushchevskaya, NM; Belyatsky, BV; Leitchenkov, GL; Krymsky, RS</t>
  </si>
  <si>
    <t>Sushchevskaya, N. M.; Belyatsky, B. V.; Leitchenkov, G. L.; Krymsky, R. Sh.</t>
  </si>
  <si>
    <t>Sr, Nd, Pb, and Os Isotope Systematics and Derivation of Mesozoic Plume-Related Basalts of Antarctica: Karoo-Maud and Kerguelen Plume Realm</t>
  </si>
  <si>
    <t>GEOCHEMISTRY INTERNATIONAL</t>
  </si>
  <si>
    <t>Os isotope systematics; Mesozoic magmas of East Antarctica; Karoo-Maud plume; Kerguelen plume</t>
  </si>
  <si>
    <t>LARGE IGNEOUS PROVINCE; HIGHLY SIDEROPHILE ELEMENTS; MANTLE-CRUST FRACTIONATION; CONTINENTAL FLOOD BASALTS; PLATINUM-GROUP ELEMENTS; EAST ANTARCTICA; PLATE-TECTONICS; DEPLETED MANTLE; PERIDOTITE XENOLITHS; LITHOSPHERIC MANTLE</t>
  </si>
  <si>
    <t>-The study of Re-Os isotopic systematics of the Mesozoic magmas in East Antarctica and its comparison with Sr-Nd-Pb-Os published data allowed us to reveal the main features of Antarctic magmatism associated with the activity of the Karoo-Maud (Dronning Maud Land (DML), Karoo and Ferrar provinces) and the Kerguelen (Lambert rift area) plumes. It is shown that a melt source of the 180-Ma Karoo-Maud plume could be enriched lithospheric mantle. Variations of the Os-187/Os-188 ratio in the range of 0.1242-0.1426 characterize almost all types of melts in the Karoo and DML provinces, including both high- and low-Ti magmas as well as high-Mg ferropicrites produced by melting of mantle pyroxenite. This observation is consistent with previous assumption that magmas derived from pyroxenite mantle at the initial stage of plume impact represented melts of deep lithospheric fragments of ancient Gondwana paleocontinent that were entrapped by plume. Thereby, mantle heterogeneity recorded in the Nd-Pb-Sr isotopic compositions of the basalts is not expressed in the systematic variations of Re-Os isotope system. The magmatic source of the basalts of the Ferrar province differs from the source of Mesozoic magmatism in the Karoo and DML provinces by great variations in the Os-187/Os-188 ratio: from 0.1 to 0.31, and by the lower osmium contents, with limited variations of other isotopic systems, indicating an admixture of enriched EM-II source. This is consistent with inferred subduction reworking of the mantle of the western Antarctic margin (Sushchevskaya et al., 2022). Ultramafic picritic magmas from the Lambert Glacier area are characterized by a radiogenic osmium isotopic composition: Os-187/Os-188 0.1582-0.2388. Source of these magmas could be ancient depleted mantle, which later experienced mantle metasomatism due to the multiple interactions with fluid-saturated melts. Picritic melts of the paleorift zone of the Lambert Glacier are close to a magma source of the Karoo and DML provinces in terms of Sr-Nd isotopic composition, but differ in more radiogenic lead.</t>
  </si>
  <si>
    <t>[Sushchevskaya, N. M.] Russian Acad Sci, Vernadsky Inst Geochem &amp; Analyt Chem GEOKHI, Moscow 119991, Russia; [Belyatsky, B. V.; Krymsky, R. Sh.] Karpinsky All Russia Res Geol Inst VSEGEI, St Petersburg 199106, Russia; [Leitchenkov, G. L.] Gramberg All Russia Res Inst Geol &amp; Mineral Resour, St Petersburg 190121, Russia; [Leitchenkov, G. L.] St Petersburg State Univ, St Petersburg 199034, Russia</t>
  </si>
  <si>
    <t>Russian Academy of Sciences; Vernadsky Institute of Geochemistry &amp; Analytical Chemistry; A.P. Karpinsky Russian Geological Research Institute (VSEGEI); Saint Petersburg State University</t>
  </si>
  <si>
    <t>Sushchevskaya, NM (corresponding author), Russian Acad Sci, Vernadsky Inst Geochem &amp; Analyt Chem GEOKHI, Moscow 119991, Russia.</t>
  </si>
  <si>
    <t>nadyas@geokhi.ru; bbelyatsky@mail.ru; german_l@mail.ru; robert_krymsky@vsegei.ru</t>
  </si>
  <si>
    <t>MAIK NAUKA/INTERPERIODICA/SPRINGER</t>
  </si>
  <si>
    <t>233 SPRING ST, NEW YORK, NY 10013-1578 USA</t>
  </si>
  <si>
    <t>0016-7029</t>
  </si>
  <si>
    <t>1556-1968</t>
  </si>
  <si>
    <t>GEOCHEM INT+</t>
  </si>
  <si>
    <t>Geochem. Int.</t>
  </si>
  <si>
    <t>10.1134/S001670292301007X</t>
  </si>
  <si>
    <t>E8OV3</t>
  </si>
  <si>
    <t>WOS:000978079800003</t>
  </si>
  <si>
    <t>Niu, LH; Tang, XY; Yang, SH; Zhang, Y; Zheng, L; Wang, LJ</t>
  </si>
  <si>
    <t>Niu, Lihang; Tang, Xueyuan; Yang, Shuhu; Zhang, Yun; Zheng, Lei; Wang, Lijuan</t>
  </si>
  <si>
    <t>Detection of Antarctic Surface Meltwater Using Sentinel-2 Remote Sensing Images via U-Net With Attention Blocks: A Case Study Over the Amery Ice Shelf</t>
  </si>
  <si>
    <t>Antarctica; Sea surface; Artificial intelligence; Ocean temperature; Deep learning; Ice shelf; Task analysis; Amery ice shelf (AIS); attention mechanism; deep learning; surface meltwater</t>
  </si>
  <si>
    <t>DIFFERENCE WATER INDEX; SUPRAGLACIAL LAKES; SEASONAL EVOLUTION; LIQUID WATER; FIRN; GREENLAND; CLIMATE; SHEET; LINKS; NDWI</t>
  </si>
  <si>
    <t>Surface meltwater critically impacts the Antarctic mass balance and global sea level rise. Quantifying the extent of surface meltwater in Antarctica on a large scale is a challenging task. Traditional methods, such as thresholding, have many limitations. We used a deep learning method, the U-Net with attention blocks, to automatically extract surface meltwater from Sentinel-2 images. We inserted attention mechanism blocks into U-Net to assign different weights to all pixels and channels to utilize the high resolution and multiple channels of Sentinel-2 images. The model was used to map surface water bodies in Sentinel-2 images, and the average accuracy reached 0.9969 on the test dataset. In East Antarctica, the Amery ice shelf (AIS) exhibits the largest surface meltwater area. Studying surface meltwater dynamics on the AIS is useful for understanding the East Antarctic mass balance and demonstrating the model performance. We analyzed the classification results for surface water bodies on the AIS from January 2017 to 2022. Spatially, 96% of surface water bodies are concentrated inland of the AIS from 70(?) S to 73(?) S and account for 93% of the region 20 km from the coastline of the AIS. Temporally, the water body area varies considerably in different years, with a maximum in 2017 (932.54 km(2)) and a minimum in 2021 (58.34 km(2)). The spatial distribution of surface water bodies on the AIS is controlled by the firn air content (FAC), katabatic winds, bare rocks, and blue ice. The interannual variability is associated with complex climate factors, including temperature, surface net solar radiation, snowfall, and snowmelt, among which temperature and snowfall show a strong correlation.</t>
  </si>
  <si>
    <t>[Niu, Lihang; Yang, Shuhu; Zhang, Yun] Shanghai Ocean Univ, Coll Informat Technol, Shanghai 201306, Peoples R China; [Niu, Lihang; Yang, Shuhu; Zhang, Yun] Minist Agr, Key Lab Fisheries Informat, Shanghai 201306, Peoples R China; [Tang, Xueyuan] Minist Nat Resources MNR, Polar Res Inst China, Key Lab Polar Sci, Shanghai 200136, Peoples R China; [Tang, Xueyuan] Shanghai Jiao Tong Univ, Sch Oceanog, Shanghai 200030, Peoples R China; [Zheng, Lei] Sun Yat Sen Univ, Sch Geospatial Engn &amp; Sci, Zhuhai 519000, Peoples R China; [Zheng, Lei] Southern Marine Sci &amp; Engn Guangdong Lab Zhuhai, Zhuhai 519082, Peoples R China; [Wang, Lijuan] Tongji Univ, Coll Surveying &amp; Geoinformat, Shanghai 200092, Peoples R China</t>
  </si>
  <si>
    <t>Shanghai Ocean University; Ministry of Agriculture &amp; Rural Affairs; Polar Research Institute of China; Ministry of Natural Resources of the People's Republic of China; Shanghai Jiao Tong University; Sun Yat Sen University; Southern Marine Science &amp; Engineering Guangdong Laboratory; Southern Marine Science &amp; Engineering Guangdong Laboratory (Zhuhai); Tongji University</t>
  </si>
  <si>
    <t>Tang, XY (corresponding author), Minist Nat Resources MNR, Polar Res Inst China, Key Lab Polar Sci, Shanghai 200136, Peoples R China.;Tang, XY (corresponding author), Shanghai Jiao Tong Univ, Sch Oceanog, Shanghai 200030, Peoples R China.</t>
  </si>
  <si>
    <t>m200711461@st.shou.edu.cn; tangxueyuan@pric.org.cn; shyang@shou.edu.cn; y-zhang@shou.edu.cn; zhenglei6@mail.sysu.edu.cn; lijuan_wang@tongji.edu.cn</t>
  </si>
  <si>
    <t>wang, lijuan/AAN-4034-2021</t>
  </si>
  <si>
    <t>wang, lijuan/0000-0002-0649-3921; Yang, Shuhu/0000-0001-9967-7756; Tang, Xueyuan/0000-0002-6226-4891</t>
  </si>
  <si>
    <t>National Natural Science Foundation of China [42276257, 41941006, 41876230]</t>
  </si>
  <si>
    <t>This work was supported in part by the National Natural Science Foundation of China under Grant 42276257, Grant 41941006, and Grant 41876230.~</t>
  </si>
  <si>
    <t>10.1109/TGRS.2023.3275076</t>
  </si>
  <si>
    <t>I1FX8</t>
  </si>
  <si>
    <t>WOS:001000313600019</t>
  </si>
  <si>
    <t>Orr, L; Grocott, A; Walach, MT; Chisham, G; Freeman, MP; Lam, MM; Shore, RM</t>
  </si>
  <si>
    <t>Orr, L.; Grocott, A.; Walach, M. -T.; Chisham, G.; Freeman, M. P.; Lam, M. M.; Shore, R. M.</t>
  </si>
  <si>
    <t>A Quantitative Comparison of High Latitude Electric Field Models During a Large Geomagnetic Storm</t>
  </si>
  <si>
    <t>SPACE WEATHER-THE INTERNATIONAL JOURNAL OF RESEARCH AND APPLICATIONS</t>
  </si>
  <si>
    <t>CAP POTENTIAL SATURATION; IONOSPHERIC CONVECTION; STATISTICAL PATTERNS; SOLAR-WIND; SUPERDARN; DEPENDENCE; SIZE</t>
  </si>
  <si>
    <t>Models of the high-latitude ionospheric electric field (EF) are commonly used to specify the magnetospheric forcing in thermosphere or whole atmosphere models. The use of decades-old models based on spacecraft data is still widespread. Currently the Heelis et al. (1982, https://doi.org/10.1029/ja087ia08p06339) and Weimer (2005b, https://doi.org/10.1029/2005ja011270) climatology models are most commonly used but it is possible a more recent EF model could improve forecasting functionality. Modern EF models, derived from radar data, have been developed to incorporate advances in data availability (Bristow et al., 2022, https:// doi.org/10.1029/2021sw002920; Thomas &amp; Shepherd, 2018, https://doi.org/10.1002/2018ja025280; Walach et al., 2022, https://doi.org/10.1029/2021ja029559). It is expected that climatologies based on this larger and up-to-date data set will better represent the high latitude ionosphere and improve forecasting abilities. An example of two such models, which have been developed using line-of-sight velocity measurements from the Super Dual Auroral Radar Network (SuperDARN) are the Thomas and Shepherd model (TS18) (Thomas &amp; Shepherd, 2018, https://doi.org/10.1002/2018ja025280), and Walach and Grocott geomagnetic Storm model (WGS21) (Walach et al., 2021, https://doi.org/10.1029/2020ja028512). Here we compare the outputs of these EF models during the September 2017 storm, covering a range of solar wind and interplanetary magnetic field (IMF) conditions. We explore the relationships between the IMF conditions and the model output parameters such as transpolar voltage, the polar cap size and the lower latitude boundary of convection. We find that the electric potential and field parameters from the spacecraft-based models have a significantly higher magnitude than the SuperDARN-based models. We discuss the similarities and differences in topology and magnitude for each model.Plain Language Summary To prevent collisions between satellites and space junk within the Earth's space environment we need to accurately predict their position. The Ionosphere is part of the upper atmosphere of the Earth a which is affected by space weather events such as geomagnetic storms. Accurate ionospheric electric field models are key to accurate orbit prediction. Currently the use of decades-old models based on spacecraft data from the 80s is still widespread. We aim to compare the output from these commonly used spacecraft-based models to more recent models which were developed using line-of-sight velocity measurements from the Super Dual Auroral Radar Network (SuperDARN). We find that the parameters output from the spacecraft-based models often are significantly different to the SuperDARN-based models. We discuss the similarities and differences in topology and magnitude for each model.</t>
  </si>
  <si>
    <t>[Orr, L.; Grocott, A.; Walach, M. -T.] Univ Lancaster, Space &amp; Planetary Phys, Lancaster, England; [Orr, L.] British Geol Survey, Edinburgh, Scotland; [Chisham, G.; Freeman, M. P.; Lam, M. M.; Shore, R. M.] British Antarctic Survey, Cambridge, England</t>
  </si>
  <si>
    <t>Lancaster University; UK Research &amp; Innovation (UKRI); Natural Environment Research Council (NERC); NERC British Geological Survey; UK Research &amp; Innovation (UKRI); Natural Environment Research Council (NERC); NERC British Antarctic Survey</t>
  </si>
  <si>
    <t>Orr, L (corresponding author), Univ Lancaster, Space &amp; Planetary Phys, Lancaster, England.;Orr, L (corresponding author), British Geol Survey, Edinburgh, Scotland.</t>
  </si>
  <si>
    <t>lauren@bgs.ac.uk</t>
  </si>
  <si>
    <t>Walach, Maria-Theresia/AAB-1833-2020</t>
  </si>
  <si>
    <t>Walach, Maria-Theresia/0000-0002-9352-0659; Chisham, Gareth/0000-0003-1151-5934; Grocott, Adrian/0000-0002-6489-095X; Orr, Lauren/0000-0002-8257-1362; Lam, Mai Mai/0000-0002-0274-6119; Shore, Robert/0000-0002-8386-1425</t>
  </si>
  <si>
    <t>Natural Environment Research Council [NE/V00283X/1, NE/V002686/1, NE/P001556/1, NE/T000937/1, NE/V002732/1]; NERC [NE/T000937/1, NE/P001556/1] Funding Source: UKRI; SPF [NE/V00283X/1, NE/V002732/1, NE/V002686/1] Funding Source: UKRI</t>
  </si>
  <si>
    <t>Natural Environment Research Council(UK Research &amp; Innovation (UKRI)Natural Environment Research Council (NERC)); NERC(UK Research &amp; Innovation (UKRI)Natural Environment Research Council (NERC)); SPF</t>
  </si>
  <si>
    <t>We would like to thank the SWIMMR consortium members for useful discussions and D. Weimer for provision of the W05 model. The authors acknowledge the use of SuperDARN data. SuperDARN is a collection of radars funded by the national scientific funding agencies of Australia, Canada, China, France, Italy, Japan, Norway, South Africa, UK, and United States. The work presented in this paper was supported by Natural Environment Research Council Grants NE/V00283X/1 and NE/V002686/1 (LO, AG), NE/P001556/1 and NE/T000937/1 (AG, M-TW), and NE/V002732/1 (MML, GC, MPF, RMS).</t>
  </si>
  <si>
    <t>1542-7390</t>
  </si>
  <si>
    <t>SPACE WEATHER</t>
  </si>
  <si>
    <t>Space Weather</t>
  </si>
  <si>
    <t>e2022SW003301</t>
  </si>
  <si>
    <t>10.1029/2022SW003301</t>
  </si>
  <si>
    <t>Astronomy &amp; Astrophysics; Geochemistry &amp; Geophysics; Meteorology &amp; Atmospheric Sciences</t>
  </si>
  <si>
    <t>G0GL7</t>
  </si>
  <si>
    <t>Green Accepted, hybrid</t>
  </si>
  <si>
    <t>WOS:000986039800001</t>
  </si>
  <si>
    <t>Richter, ME; Smith, IJ; Everts, JR; Russell, P; Langhorne, PJ; Leonard, GH</t>
  </si>
  <si>
    <t>Richter, Maren Elisabeth; Smith, Inga J.; Everts, Jonathan R.; Russell, Peter; Langhorne, Pat J.; Leonard, Greg H.</t>
  </si>
  <si>
    <t>The Effect of Pseudofrazil Particle Entrainment on Salinity Measurements</t>
  </si>
  <si>
    <t>EARTH AND SPACE SCIENCE</t>
  </si>
  <si>
    <t>supercooling; frazil ice; conductivity measurements; particles in conductivity cells; ice-ocean interaction; salinity measurements in high latitudes</t>
  </si>
  <si>
    <t>FRAZIL ICE PARTICLES; ANTARCTIC SEA-ICE; PLATELET ICE; SUPERCOOLED WATER; GROWTH; BACKSCATTERING; CONDUCTIVITY; SUSPENSION; EVOLUTION; ABSOLUTE</t>
  </si>
  <si>
    <t>Salinity effects of particles entrained into conductivity cells have previously mainly been studied in the context of suspended sediment. Particles influencing conductivity cells can also be small ice crystals (frazil) that may form in supercooled water. The detection of supercooled water depends on accurate, high precision temperature, salinity and pressure measurements. As it is currently not possible to measure salinity in situ, the standard procedure is to measure conductance over a known volume and calculate salinity. Frazil ice entrained into a conductivity cell changes the volume of conductive fluid in the conductivity cell, thus changing the conductivity, salinity and supercooling measurements. We present results on the effect of entraining microplastic into a Sea-Bird Electronics conductivity cell to simulate the effect of frazil. We show that particle volumes comparable to frazil volumes observed in the ocean change the measured conductivity and led to changes in calculated supercooling between 0.3 and 10 mK, possibly up to the same order of magnitude as naturally observed supercooling in the ocean. Further, we demonstrate that where supercooling is present, natural frazil ice concentrations can have an appreciable effect on parameters calculated with both the Equation of State of Seawater 1980 and Thermodynamic Equation of Seawater 2010 equations of state of seawater. Thus, to ensure accurate measurements in locations of very high frazil concentration, the entrainment of frazil needs to be prevented, which is not possible with methods currently available, or corrected for. An example for such a correction is given and could be modified to be applicable to other particles, for example, sediment.Supercooling in the ocean (water colder than its freezing point but still liquid) has wide-ranging impacts on heat and salt transport, both in the water and in neighboring ice shelves and sea ice. However, oceanographic instruments currently in use are not designed to measure supercooling. Small ice crystals called frazil ice, which may form in supercooled water, led to falsely low salinity measurements which leads to falsely high levels of supercooling being recorded. Here we present a study that quantifies the salinity effect of frazil ice in seawater by studying the effect of plastic particles with similar material properties as frazil ice. We present measurements and calculations which can be used to correct for this effect in certain novel instruments or where frazil/particle concentration and conductivity is known. This research is of interest not only for oceanographers working in high latitude oceans but also for those working in waters with suspended matter such as sediments in estuaries and requiring highly accurate salinity values. To facilitate this, we compare our results to previously published studies of the effect of sediment-water mixtures flushed into conductivity cells.</t>
  </si>
  <si>
    <t>[Richter, Maren Elisabeth; Smith, Inga J.; Everts, Jonathan R.; Russell, Peter] Univ Otago, Dept Phys, Dunedin, New Zealand; [Russell, Peter] Univ Otago, Dept Marine Sci, Dunedin, New Zealand; [Leonard, Greg H.] Univ Otago, Natl Sch Surveying, Dunedin, New Zealand</t>
  </si>
  <si>
    <t>University of Otago; University of Otago; University of Otago</t>
  </si>
  <si>
    <t>Richter, ME (corresponding author), Univ Otago, Dept Phys, Dunedin, New Zealand.</t>
  </si>
  <si>
    <t>maren.richter@postgrad.otago.ac.nz</t>
  </si>
  <si>
    <t>Leonard, Greg/F-7157-2010; Langhorne, Pat/C-3539-2018</t>
  </si>
  <si>
    <t>Leonard, Greg/0000-0001-7679-9486; Russell, Peter/0000-0002-0173-1812; Langhorne, Pat/0000-0003-0239-7657</t>
  </si>
  <si>
    <t>Marsden Fund Council from government funding [MFP-UOO1825]; University of Otago Doctoral Scholarship; 2019 Antarctica New Zealand Sir Robin Irvine Scholarship; University of Otago Department of Physics 2015 Summer Research Scholarship scheme</t>
  </si>
  <si>
    <t>Marsden Fund Council from government funding(Royal Society of New ZealandMarsden Fund (NZ)); University of Otago Doctoral Scholarship; 2019 Antarctica New Zealand Sir Robin Irvine Scholarship; University of Otago Department of Physics 2015 Summer Research Scholarship scheme</t>
  </si>
  <si>
    <t>This paper is an output from the project Supercooling measurements under ice shelves supported by the Marsden Fund Council from government funding, administered by the Royal Society of New Zealand (PI: Inga Smith, contract number: MFP-UOO1825). MER was supported by a University of Otago Doctoral Scholarship and the 2019 Antarctica New Zealand Sir Robin Irvine Scholarship. The University of Otago Department of Physics 2015 Summer Research Scholarship scheme provided financial support for J.R.E.'s involvement in this research. Thanks to Kim Currie from NIWA (Otago) and Doug Mackie from the Portobello Marine Laboratory, Department of Marine Science, Univer-sity of Otago, for the loan of equipment and for advice. Thanks to Evelyn Armstrong, Department of Chemistry, University of Otago, for use of her lab space. Thanks to John Marko and David Topham who kindly shared experiences from their own experiments with plastic particles in seawater and for valuable discussions on experiment design. Special thanks to Marc Le Menn and Philipp Held who very kindly made their results available for comparison. We are grateful to Nordeen Norge Larson for the information on historic experiments done at the APL, University of Washington and Sea-Bird Electronics on conductivity cell geometry and displacement of water volume by non-conducting particles. Lars Henrik Smedsrud provided useful advice on previous attempts to examine frazil impacts on conductivity. Advice from Kim Martini at Sea-Bird Electronics and Natalie Robinson at NIWA (Wellington) proved very useful when analyzing the results. Matthew Parry from the Depart-ment of Mathematics and Statistics at the University of Otago provided valuable advice on statistics.</t>
  </si>
  <si>
    <t>2333-5084</t>
  </si>
  <si>
    <t>EARTH SPACE SCI</t>
  </si>
  <si>
    <t>Earth Space Sci.</t>
  </si>
  <si>
    <t>e2022EA002564</t>
  </si>
  <si>
    <t>10.1029/2022EA002564</t>
  </si>
  <si>
    <t>Astronomy &amp; Astrophysics; Geosciences, Multidisciplinary</t>
  </si>
  <si>
    <t>Astronomy &amp; Astrophysics; Geology</t>
  </si>
  <si>
    <t>H9BG1</t>
  </si>
  <si>
    <t>WOS:000998822900001</t>
  </si>
  <si>
    <t>Alley, RB; Cuffey, KM; Bassis, JN; Alley, KE; Wang, S; Parizek, BR; Anandakrishnan, S; Christianson, K; DeConto, RM</t>
  </si>
  <si>
    <t>Alley, R. B.; Cuffey, K. M.; Bassis, J. N.; Alley, K. E.; Wang, S.; Parizek, B. R.; Anandakrishnan, S.; Christianson, K.; DeConto, R. M.</t>
  </si>
  <si>
    <t>Iceberg Calving: Regimes and Transitions</t>
  </si>
  <si>
    <t>ANNUAL REVIEW OF EARTH AND PLANETARY SCIENCES</t>
  </si>
  <si>
    <t>iceberg calving; ice-sheet stability; sea-level rise; ice shelf; Greenland ice sheet; Antarctic ice sheet</t>
  </si>
  <si>
    <t>SHELF RIFT PROPAGATION; LARSEN ICE SHELF; JAKOBSHAVN ISBRAE; CLIFF INSTABILITY; ROSS SEA; GLACIER; MELT; ANTARCTICA; SURFACE; DRIVEN</t>
  </si>
  <si>
    <t>Uncertainty about sea-level rise is dominated by uncertainty about iceberg calving, mass loss from glaciers or ice sheets by fracturing. Review of the rapidly growing calving literature leads to a few overarching hypotheses. Almost all calving occurs near or just downglacier of a location where ice flows into an environment more favorable for calving, so the calving rate is controlled primarily by flow to the ice margin rather than by fracturing. Calving can be classified into five regimes, which tend to be persistent, predictable, and insensitive to small perturbations in flow velocity, ice characteristics, or environmental forcing; these regimes can be studied instrumentally. Sufficiently large perturbations may cause sometimes-rapid transitions between regimes or between calving and noncalving behavior, during which fracturing may control the rate of calving. Regime transitions underlie the largest uncertainties in sea-level rise projections, but with few, important exceptions, have not been observed instrumentally. This is especially true of the most important regime transitions for sea-level rise. Process-based models informed by studies of ongoing calving, and assimilation of deep-time paleoclimatic data, may help reduce uncertainties about regime transitions. Failure to include calving accurately in predictive models could lead to large underestimates of warming-induced sea-level rise.</t>
  </si>
  <si>
    <t>[Alley, R. B.; Parizek, B. R.; Anandakrishnan, S.] Penn State Univ, Dept Geosci, University Pk, PA 16802 USA; [Alley, R. B.; Wang, S.; Parizek, B. R.; Anandakrishnan, S.] Penn State Univ, Earth &amp; Environm Syst Inst, University Pk, PA 16802 USA; [Cuffey, K. M.] Univ Calif Berkeley, Dept Geog, Berkeley, CA USA; [Bassis, J. N.] Univ Michigan, Dept Climate &amp; Space Sci &amp; Engn, Ann Arbor, MI USA; [Alley, K. E.] Univ Manitoba, Dept Geog &amp; Environm, Ctr Earth Observat Sci, Winnipeg, MB, Canada; [Wang, S.] Penn State Univ, Dept Geog, University Pk, PA USA; [Parizek, B. R.] Penn State Univ, Math &amp; Geosci, Du Bois, PA USA; [Christianson, K.] Univ Washington, Dept Earth &amp; Space Sci, Seattle, WA USA; [DeConto, R. M.] Univ Massachusetts, Dept Geosci, Amherst, MA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</si>
  <si>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California System; University of California Berkeley; University of Michigan System; University of Michigan; University of Manitoba; Pennsylvania Commonwealth System of Higher Education (PCSHE); Pennsylvania State University; Pennsylvania State University - University Park; Pennsylvania Commonwealth System of Higher Education (PCSHE); Pennsylvania State University; University of Washington; University of Washington Seattle; University of Massachusetts System; University of Massachusetts Amherst</t>
  </si>
  <si>
    <t>Alley, RB (corresponding author), Penn State Univ, Dept Geosci, University Pk, PA 16802 USA.;Alley, RB (corresponding author), Penn State Univ, Earth &amp; Environm Syst Inst, University Pk, PA 16802 USA.</t>
  </si>
  <si>
    <t>rba6@psu.edu</t>
  </si>
  <si>
    <t>Anandakrishnan, Sridhar/JCN-5026-2023; Alley, Karen E/HGE-5249-2022</t>
  </si>
  <si>
    <t>Alley, Karen E/0000-0003-0358-3806</t>
  </si>
  <si>
    <t>National Sciences and Engineering Research Council of Canada [RGPIN-2021-02910]; NASA [80NSSC22K0384]; Heising-Simons Foundation [2018-0769]; Martin Family Foundation; [NSF-NERC-OPP-1738934]</t>
  </si>
  <si>
    <t>National Sciences and Engineering Research Council of Canada(Natural Sciences and Engineering Research Council of Canada (NSERC)); NASA(National Aeronautics &amp; Space Administration (NASA)); Heising-Simons Foundation; Martin Family Foundation;</t>
  </si>
  <si>
    <t>Partial support was provided by the National Sciences and Engineering Research Council of Canada RGPIN-2021-02910 (K.E.A.), NASA 80NSSC22K0384 (S.W., R.B.A.), NSF-NERC-OPP-1738934 (R.B.A., S.A., B.R.P.), Heising-Simons Foundation 2018-0769 (R.B.A., S.A., B.R.P.), and Martin Family Foundation (K.M.C.).We thank Brenda Hall, George Denton, Tom Lowell, Amy Leventer, John Anderson, Ian Joughin, and many other colleagues for insights.</t>
  </si>
  <si>
    <t>0084-6597</t>
  </si>
  <si>
    <t>1545-4495</t>
  </si>
  <si>
    <t>ANNU REV EARTH PL SC</t>
  </si>
  <si>
    <t>Annu. Rev. Earth Planet. Sci.</t>
  </si>
  <si>
    <t>10.1146/annurev-earth-032320-110916</t>
  </si>
  <si>
    <t>H9FV7</t>
  </si>
  <si>
    <t>WOS:000998943200009</t>
  </si>
  <si>
    <t>Kalmukova, O; Raksha, N; Vovk, T; Halenova, T; Dzerzhynsky, M; Mitrecic, D; Savchuk, O; Ostapchenko, L</t>
  </si>
  <si>
    <t>Kalmukova, Olesia; Raksha, Nataliia; Vovk, Tetiana; Halenova, Tetiana; Dzerzhynsky, Mykola; Mitrecic, Dinko; Savchuk, Olexiy; Ostapchenko, Ludmila</t>
  </si>
  <si>
    <t>Low-Molecular-Mass Fragments of Collagen Improve Parameters Related to Mass and Inflammation of the Adipose Tissue in the Obese Rat</t>
  </si>
  <si>
    <t>FOOD TECHNOLOGY AND BIOTECHNOLOGY</t>
  </si>
  <si>
    <t>high-calorie diet; visceral and subcutaneous adipose tissue; fibrosis; crown-like structures; bioactive peptides; mast cells</t>
  </si>
  <si>
    <t>DIET-INDUCED OBESITY; LIPID-ACCUMULATION; FAT ACCUMULATION; EGG-WHITE; PEPTIDES; HYDROLYSATE; DIFFERENTIATION; ACTIVATION</t>
  </si>
  <si>
    <t>Research background. Despite clearly recognized links between increased body mass and increased risk for various pathological conditions, therapeutic options to treat obesi-ty are still very limited. The aim of the present study is to explore the effect of low -molec-ular-mass collagen fragments obtained from the scales of Antarctic wild marine fish on rats' visceral and subcutaneous white adipose tissue in a high-calorie diet-induced obe-sity model.Experimental approach. The study was conducted on outbred rats, which were divided into 3 experimental groups: (i) control, consuming standard food (3.81 kcal/g), (ii) obese group, consuming a high-calorie diet (5.35 kcal/g), and (iii) obese group, consuming a high-calorie diet (5.35 kcal/g) with intragastric administration of low-molecular-mass col-lagen fragments (at a dose 1 g/kg of body mass during 6 weeks). Low-molecular-mass collagen fragments were obtained by a procedure that included collagen extraction from fish scales and enzymatic hydrolysis with pepsin. Apart from hematoxylin and eosin stain-ing, fibrosis level was assessed by histochemical Van Gieson's trichrome picrofuchsin stain-ing, and mast cells were analysed by toluidine blue O staining.Results and conclusions. Group treated with low-molecular-mass fragments of collagen exhibited decreased rate of mass gain, relative mass, area occupied by collagen fibre of both visceral and subcutaneous adipose tissue, and cross-sectional area of both visceral and subcutaneous adipocytes. Treatment with low-molecular-mass fragments of collagen reduced the infiltration of immune cells, number of mast cells and their redistribution back to the septa. This was also accompanied by a decreased number of the crown-like struc-tures formed by the immune cells, which are markers of chronic inflammation that accom-panies obesity.Novelty and scientific contribution. This is the first study that reports the anti-obesity effect of low-molecular-mass fragments produced as a result of controlled hydrolysis of collagen from the scales of Antarctic wild marine fish in the in vivo model. Another novel-ty of this work is the observation that the tested collagen fragments not only reduce the body mass, but also improve the morphological and inflammatory parameters (decrease in the number of crown-like structures, immune cell infiltration, fibrosis and mast cells). Altogether, our work suggests that low-molecular-mass collagen fragments are a prom-ising candidate for amelioration of some comorbidities linked to obesity.</t>
  </si>
  <si>
    <t>[Kalmukova, Olesia; Raksha, Nataliia; Vovk, Tetiana; Savchuk, Olexiy; Ostapchenko, Ludmila] Taras Shevchenko Natl Univ Kyiv, Educ &amp; Sci Ctr, Dept Biochem, Inst Biol &amp; Med, 64-13 Volodymyrska St, Kiev, Ukraine; [Kalmukova, Olesia; Dzerzhynsky, Mykola] Taras Shevchenko Natl Univ Kyiv, Educ &amp; Sci Ctr Inst Biol &amp; Med, Dept Cytol Histol &amp; Reprod Med, 64-13, Volodymyrska St, Kiev, Ukraine; [Mitrecic, Dinko] Univ Zagreb Sch Med, Dept Histol &amp; Embryol, Salata 3, Zagreb, Croatia</t>
  </si>
  <si>
    <t>Ministry of Education &amp; Science of Ukraine; Taras Shevchenko National University of Kyiv; Ministry of Education &amp; Science of Ukraine; Taras Shevchenko National University of Kyiv; University of Zagreb</t>
  </si>
  <si>
    <t>Kalmukova, O (corresponding author), Taras Shevchenko Natl Univ Kyiv, Educ &amp; Sci Ctr, Dept Biochem, Inst Biol &amp; Med, 64-13 Volodymyrska St, Kiev, Ukraine.;Kalmukova, O (corresponding author), Taras Shevchenko Natl Univ Kyiv, Educ &amp; Sci Ctr Inst Biol &amp; Med, Dept Cytol Histol &amp; Reprod Med, 64-13, Volodymyrska St, Kiev, Ukraine.</t>
  </si>
  <si>
    <t>olesiakalmukova@knu.ua</t>
  </si>
  <si>
    <t>Halenova, Tetiana/H-9709-2018; Ostapchenko, Liudmyla/ISV-1878-2023; Mitrecic, Dinko/KFB-1778-2024; Savchuk, Olexiy/K-2863-2014; Kalmukova, Olesia/HNQ-7252-2023; Vovk, Tetiana/IST-7771-2023; Raksha, Nataliia/H-9806-2018</t>
  </si>
  <si>
    <t>Halenova, Tetiana/0000-0003-2973-2646; Ostapchenko, Liudmyla/0000-0001-7181-6048; Mitrecic, Dinko/0000-0003-4836-1721; Dzerzhynskyi, Mykola/0009-0006-5969-8564; Savchuk, Olexiy/0000-0003-3621-6981; Kalmukova, Olesia/0000-0001-5025-0938; Vovk, Tetiana/0000-0002-0440-8922; Raksha, Nataliia/0000-0001-6654-771X</t>
  </si>
  <si>
    <t>(Croatian Science Founda- tion) - European Union through the European Regional Development Fund [IP -2016-06-9451]; Croatian Science Foundation [IP -2016-06-9451]; European Union through the European Regional Development Fund [KK.01.1.1.07.0071]; European Union through the European Regional Development Fund, as Scientific Centre of Excellence for Basic, Clinical and Translational Neuroscience [KK.01.1.1.01.0007]</t>
  </si>
  <si>
    <t>(Croatian Science Founda- tion) - European Union through the European Regional Development Fund; Croatian Science Foundation; European Union through the European Regional Development Fund(European Union (EU)); European Union through the European Regional Development Fund, as Scientific Centre of Excellence for Basic, Clinical and Translational Neuroscience</t>
  </si>
  <si>
    <t>Work of Dinko Mitrecic was financed by the following projects: Orastem (IP -2016-06-9451, Croatian Science Foundation) , Sinergy of molecular markers and multimodal in vivo imaging during preclinical assessment of the consequences of the ischemic stroke (SineMozak), funded by the European Union through the European Regional Development Fund, under Grant Agreement No. KK.01.1.1.07.0071, and by project Experimental and clinical research of hypoxic-ischemic damage in perinatal and adult brain, financed by the European Union through the European Regional Development Fund, as the Scientific Centre of Excellence for Basic, Clinical and Translational Neuroscience under Grant Agreement No. KK.01.1.1.01.0007.</t>
  </si>
  <si>
    <t>FACULTY FOOD TECHNOLOGY BIOTECHNOLOGY</t>
  </si>
  <si>
    <t>ZAGREB</t>
  </si>
  <si>
    <t>UNIV ZAGREB, KACIECEVA 23, 41000 ZAGREB, CROATIA</t>
  </si>
  <si>
    <t>1330-9862</t>
  </si>
  <si>
    <t>1334-2606</t>
  </si>
  <si>
    <t>FOOD TECHNOL BIOTECH</t>
  </si>
  <si>
    <t>Food Technol. Biotechnol.</t>
  </si>
  <si>
    <t>10.17113/ftb.61.01.23.7926</t>
  </si>
  <si>
    <t>Biotechnology &amp; Applied Microbiology; Food Science &amp; Technology</t>
  </si>
  <si>
    <t>H0CQ6</t>
  </si>
  <si>
    <t>WOS:000992734300001</t>
  </si>
  <si>
    <t>Doughty, AM; Kelly, MA; Russell, JM; Jackson, MS; Anderson, BM; Chipman, J; Nakileza, BR</t>
  </si>
  <si>
    <t>Doughty, Alice M.; Kelly, Meredith A.; Russell, James M.; Jackson, Margaret S.; Anderson, Brian M.; Chipman, Jonathan; Nakileza, Bob R.</t>
  </si>
  <si>
    <t>Last Glacial Maximum Reconstructions of Rwenzori Mountain Glaciers</t>
  </si>
  <si>
    <t>PALEOCEANOGRAPHY AND PALEOCLIMATOLOGY</t>
  </si>
  <si>
    <t>Last Glacial Maximum; East Africa; tropical glaciers; glacier model; lapse rate</t>
  </si>
  <si>
    <t>SEA-SURFACE TEMPERATURE; CLIMATE SENSITIVITY; TROPICAL SNOWLINES; ICE; VARIABILITY; DEPRESSION; VEGETATION; MODEL; LAND; SNOW</t>
  </si>
  <si>
    <t>The magnitude of tropical cooling during the Last Glacial Maximum (LGM; similar to 19-26.5 ka) remains controversial, with sea-surface temperatures cooling by several degrees less than most temperatures reconstructed at high elevations. To explain this discrepancy, past studies proposed a steeper (increased) lapse rate-the temperature decrease with elevation-during the LGM relative to today. For instance, LGM temperatures in East Africa reconstructed from branched GDGTs from multiple elevations support an similar to 0.9 degrees C/ km increase in the lapse rate during the LGM relative to present day. Lapse rates are a critical part of the Earth's climate sensitivity and atmospheric energy transfer, and it is vital to know whether and by how much the tropical lapse rate steepened during the LGM. Here, we simulate LGM glacier extents in the Rwenzori Mountains of Uganda with and without a change in lapse rate using a range of temperature and precipitation estimates. We find that the lapse rate must have been steeper than present for glaciers to reach their LGM positions using available sea-level temperature and precipitation estimates for East Africa.</t>
  </si>
  <si>
    <t>[Doughty, Alice M.] Univ Maine, Bryand Global Sci Ctr, Sch Earth &amp; Climate Sci, Orono, ME 04469 USA; [Doughty, Alice M.; Kelly, Meredith A.; Jackson, Margaret S.; Chipman, Jonathan] Dartmouth Coll, Dept Earth Sci, Hanover, NH 03755 USA; [Russell, James M.] Brown Univ, Dept Earth Environm &amp; Planetary Sci, Providence, RI USA; [Jackson, Margaret S.] Trinity Coll Dublin, Geog Sch Nat Sci, Dublin, Ireland; [Anderson, Brian M.] Victoria Univ Wellington, Antarctic Res Ctr, Wellington, New Zealand; [Nakileza, Bob R.] Makerere Univ, Mt Resource Ctr, Kampala, Uganda</t>
  </si>
  <si>
    <t>University of Maine System; University of Maine Orono; Dartmouth College; Brown University; Trinity College Dublin; Victoria University Wellington; Makerere University</t>
  </si>
  <si>
    <t>Doughty, AM (corresponding author), Univ Maine, Bryand Global Sci Ctr, Sch Earth &amp; Climate Sci, Orono, ME 04469 USA.;Doughty, AM (corresponding author), Dartmouth Coll, Dept Earth Sci, Hanover, NH 03755 USA.</t>
  </si>
  <si>
    <t>alice.doughty@maine.edu</t>
  </si>
  <si>
    <t>Chipman, Jonathan/0000-0003-4629-5273</t>
  </si>
  <si>
    <t>National Science Foundation [EAR-1702319, 1702293]; Comer Science and Education Foundation [CP103, GSSF13]; National Geographic Society [8886-11]; Ugandan Wildlife Authority; Ugandan National Council on Science and Technology; Neukom Institute at Dartmouth College</t>
  </si>
  <si>
    <t>National Science Foundation(National Science Foundation (NSF)); Comer Science and Education Foundation; National Geographic Society(National Geographic Society); Ugandan Wildlife Authority; Ugandan National Council on Science and Technology; Neukom Institute at Dartmouth College</t>
  </si>
  <si>
    <t>We thank the Neukom Institute at Dartmouth College for providing postdoctoral funding. This work was funded by grants from the National Science Foundation (EAR-1702319 and 1702293), the Comer Science and Education Foundation (CP103 and GSSF13), and the National Geographic Society (8886-11). We are grateful for the field assistance from the Rwenzori Trekking Services and Rwenzori Mountaineering Services, and the support of the Ugandan Wildlife Authority and the Ugandan National Council on Science and Technology (research permit numbers UWA/TDO/33/02, NS395 and Material Transfer Agreement 151).</t>
  </si>
  <si>
    <t>2572-4517</t>
  </si>
  <si>
    <t>2572-4525</t>
  </si>
  <si>
    <t>PALEOCEANOGR PALEOCL</t>
  </si>
  <si>
    <t>Paleoceanogr. Paleoclimatology</t>
  </si>
  <si>
    <t>e2022PA004527</t>
  </si>
  <si>
    <t>10.1029/2022PA004527</t>
  </si>
  <si>
    <t>Geosciences, Multidisciplinary; Oceanography; Paleontology</t>
  </si>
  <si>
    <t>Geology; Oceanography; Paleontology</t>
  </si>
  <si>
    <t>G0FF1</t>
  </si>
  <si>
    <t>WOS:000986006500001</t>
  </si>
  <si>
    <t>Irgang, R; Poblete-Morales, M; Avendaño-Herrera, R</t>
  </si>
  <si>
    <t>Irgang, Rute; Poblete-Morales, Matias; Avendano-Herrera, Ruben</t>
  </si>
  <si>
    <t>Flavobacterium pygoscelis sp. nov., isolated from a chinstrap penguin chick (Pygoscelis antarcticus)</t>
  </si>
  <si>
    <t>Antarctica; Flavobacterium; penguin</t>
  </si>
  <si>
    <t>MICROBIAL MATS; EMENDED DESCRIPTION; LIPID-COMPOSITION; BACTERIUM; HERCYNIUM; SEQUENCES; FAMILY</t>
  </si>
  <si>
    <t>Strain I-SCBP12nT, a novel Gram- stain-negative, aerobic, non- spore-forming, motile - by-gliding and rod-shaped bacterium, was isolated from a chinstrap penguin chick (Pygoscelis antarcticus) during a 2015 expedition to the Chilean Antarctic territory. Phylogenetic analysis based on 16S rRNA gene sequencing confirmed that strain I-SCBP12nT belonged to the genus Flavobacte-rium, being closely related to strains Flavobacterium chryseum P3160T (98.52 %), Flavobacterium hercynium WB 4.2-33T (98.47 %) and Flavobacterium chilense LM-19-FpT (98.47 %). The genome size of strain I-SCBP12nT was 3.69 Mb with DNA G+C content 31.95 mol%. Genomic comparisons of strain I-SCBP12nT with type species in the genus Flavobacterium were performed, with obtained average values near 75.17 and 84.33 % for the BLAST and MUMer analyses of average nucleotide identity, respectively, and 0.86 for the tetranucleotides frequency analysis. These values are far from the accepted species cut -off values. Strain I-SCBP12nT contained MK -6 as the predominant menaquinone and the major polar lipids were aminophospholipid, an unidenti-fied aminolipid and unidentified lipids. The predominant fatty acids (&gt; 5 %) were iso-C14:0, iso-C15:0, anteiso-C15:0, iso-C16:0, iso-C16:1, iso-C16: 0 3 -OH, C15: 1 omega 6c and summed feature 3 (C16:1 omega 7c/C16: 1 omega 6c). Phenotypic, chemotaxonomic and genomic data supported the assignment of strain I-SCBP12nT (=CECT 30404T=RGM 3223T) to a novel species of Flavobacterium, for which the name Fla-vobacterium pygoscelis sp. nov. is proposed.</t>
  </si>
  <si>
    <t>[Irgang, Rute; Poblete-Morales, Matias; Avendano-Herrera, Ruben] Univ Andres Bello, Fac Ciencias Vida, Lab Patol Organismos Acuat &amp; Biotecnol Acuicola, Vina Del Mar, Chile; [Irgang, Rute; Avendano-Herrera, Ruben] Interdisciplinary Ctr Aquaculture Res INCAR, Vina Del Mar, Chile; [Avendano-Herrera, Ruben] Univ Andres Bello, Ctr Invest Marina Quintay CIMARQ, Quintay, Chile</t>
  </si>
  <si>
    <t>Universidad Andres Bello; Universidad Andres Bello</t>
  </si>
  <si>
    <t>Avendaño-Herrera, R (corresponding author), Univ Andres Bello, Fac Ciencias Vida, Lab Patol Organismos Acuat &amp; Biotecnol Acuicola, Vina Del Mar, Chile.;Avendaño-Herrera, R (corresponding author), Interdisciplinary Ctr Aquaculture Res INCAR, Vina Del Mar, Chile.;Avendaño-Herrera, R (corresponding author), Univ Andres Bello, Ctr Invest Marina Quintay CIMARQ, Quintay, Chile.</t>
  </si>
  <si>
    <t>reavendano@yahoo.com</t>
  </si>
  <si>
    <t>Poblete-Morales, Matias/0000-0001-9064-3285</t>
  </si>
  <si>
    <t>grant INCAR FONDAP from Agencia Nacional de Investigacion y Desarrollo (ANID, Chile) [1511027, 1522 A0004]</t>
  </si>
  <si>
    <t>grant INCAR FONDAP from Agencia Nacional de Investigacion y Desarrollo (ANID, Chile)</t>
  </si>
  <si>
    <t>This work was funded by grant INCAR FONDAP 1511027 and 1522 A0004 from Agencia Nacional de Investigacion y Desarrollo (ANID, Chile).</t>
  </si>
  <si>
    <t>10.1099/ijsem.0.005815</t>
  </si>
  <si>
    <t>E5OW7</t>
  </si>
  <si>
    <t>WOS:000976043900002</t>
  </si>
  <si>
    <t>Chizhova, JN; Mikhalenko, VN; Kutuzov, SS; Shukurov, KA; Kozachek, AV</t>
  </si>
  <si>
    <t>Chizhova, Ju. N.; Mikhalenko, V. N.; Kutuzov, S. S.; Shukurov, K. A.; Kozachek, A. V.</t>
  </si>
  <si>
    <t>Isotopic Signature of Precipitation in the Elbrus Region</t>
  </si>
  <si>
    <t>oxygen isotope composition; hydrogen isotope composition; precipitation; Caucasus; Elbrus; temperature reconstruction</t>
  </si>
  <si>
    <t>ALPINE ICE CORES; DEUTERIUM EXCESS; WATER-VAPOR; RECORDS; TEMPERATURE; REANALYSIS; CAUCASUS; O-18</t>
  </si>
  <si>
    <t>The aim of the work was to study the isotopic characteristics of precipitation to establish the dependence of delta 18O values on temperature at the time of precipitation and to get closer to understanding the processes that form the isotopic signature of the Elbrus snow cover and glacial ice. The sampling of precipitation was orga-nized at Azau station, located at the foot of Elbrus at an altitude of 2300 m for the period from May 01.2019 to September 27.2021. The sampling was carried out once a day at 9:00 Moscow time. The air temperature was recorded at the meteorological station in the Terskol village (Roshydromet station No. 4334250). To study the main features of long-range air transport and possible sources of moisture, 5-day back trajectories were reconstructed using the NOAA HYSPLIT_4 trajectory model. The results showed that precipitation in the Elbrus region in winter was associated with the prevailing transfer from the Atlantic, in summer - with the predominance of transfer from the regions of Central Europe, the Mediterranean and Black Seas. The Mediterranean Sea in all seasons was the area from which the air and moisture were transferred to Elbrus. The values of delta 18O and delta 2H of precipitation varied from 0.52 to -28.22%o and from 16.3 to -224.1%o, respective-ly, revealing regular seasonality with high values of delta 18O and delta 2H in summer and low in winter. The deuterium excess varied over a wide range from 24.8 to -14.6%o. All obtained values of delta 18O and delta 2H were approximated by the equation delta 2H = 8 delta 18O + 7.06 (R2 = 0.98), which was close to the global meteoric water line. In general, for 2 years of observations, the relationship between the delta 18O values of precipitation and the temperature of the surface air layer was expressed as 0.85%o/degrees C. Total mean absolute error in the reconstruction of air tem-peratures from the delta 18O value of precipitation was 3.2 degrees C due to objective reasons and also differences in me-teorological conditions of two years of observations.</t>
  </si>
  <si>
    <t>[Chizhova, Ju. N.] Russian Acad Sci, Inst Geol Ore Deposits Petrog Mineral &amp; Geochem, Moscow, Russia; [Chizhova, Ju. N.; Mikhalenko, V. N.; Kutuzov, S. S.] Russian Acad Sci, Inst Geog, Moscow, Russia; [Shukurov, K. A.] Russian Acad Sci, AM Obukhov Inst Atmospher Phys, Moscow, Russia; [Kozachek, A. V.] Arctic &amp; Antarctic Res Inst, St Petersburg, Russia</t>
  </si>
  <si>
    <t>Russian Academy of Sciences; Institute of Geology of Ore Deposits, Petrography, Mineralogy &amp; Geochemistry; Institute of Geography, Russian Academy of Sciences; Russian Academy of Sciences; Russian Academy of Sciences; Obukhov Institute of Atmospheric Physics of Russian Academy of Sciences; Arctic &amp; Antarctic Research Institute</t>
  </si>
  <si>
    <t>Megagrant project [075-15-202-599, 8.06.2021]; RAS Institute of Geography [FMGE-2019-0004]</t>
  </si>
  <si>
    <t>Megagrant project; RAS Institute of Geography</t>
  </si>
  <si>
    <t>Study supported by the Megagrant project (agreement No 075-15-202-599,8.06.2021) Paleoecological Reconstructions as a Key to Understanding Past, Current, and Future Climate and Environmental Changes in Russia. The review of the work on precipitation isotopic composition in mountain regions was supported within the frame work of State Assignment No FMGE-2019-0004 for the RAS Institute of Geography. The trajectory analysis was carried out within the framework of the State Assignments of the RAS Obukhov Institute of Atmospheric Physics.</t>
  </si>
  <si>
    <t>10.31857/S2076673423010052</t>
  </si>
  <si>
    <t>F5JP9</t>
  </si>
  <si>
    <t>WOS:000982711400001</t>
  </si>
  <si>
    <t>Klyachkin, SV</t>
  </si>
  <si>
    <t>Klyachkin, S. V.</t>
  </si>
  <si>
    <t>Estimates of the Statistical Correlation Between the Extreme Ice Pressure Patterns with Various Spatial Resolution</t>
  </si>
  <si>
    <t>the Kara and Barents Seas; numerical modeling; ice pressure; spatial resolution; scales ratio; ap-proximation; extreme values; probability</t>
  </si>
  <si>
    <t>STRESS</t>
  </si>
  <si>
    <t>Ice pressure is characterized with significant spatial variability. Study of this variability with the help of in situ observations is rather difficult, because (1) the instrumental measurements are expensive and technically complicated, and, hence, the amount of such measurements is little, and (2) the visual observations have pre- dominantly qualitative character and depend significantly on the observer's experience. The most widely used method of obtaining the ice pressure information is model simulations. The existing ice dynamics models al-low simulating the ice pressure averaged within the area of the model grid cell, which usually has the spatial size varying from 5 to 25 km, sometimes -up to 50 km. It is clear that such spatial resolution does not give the picture of local peaks of ice pressure with spatial scale much less that the size of the grid cell. The aim of the presented paper is, basing on the model results with spatial resolution from 5 to 50 km, to study the statistical correlations between the ice pressure fields with various spatial resolutions, and to evaluate the possibility of calculating the intensity and probability of ice pressure peaks with spatial scale less than the spatial resolution of the model. In order to solve this problem, the numerical dynamic-thermodynamic model of ice cover evo-lution developed both for the entire Arctic Ocean and for large regions (the Barents and Kara Seas), and, for more detailed spatial resolution, for some smaller basins (the Pechora Sea, the south-western Kara Sea, the Baidara Bay), was used. The ice pressure fields within the same region and the same period of time were sim-ulated with various spatial resolutions - from 5 to 50 km. The initial ice conditions were stated with the help the AARI ice charts which cover both the entire Arctic Ocean and the specific regions mentioned above. The comparison of model results with various spatial resolutions allowed revealing moderate statistical correlation between the average ice pressure obtained from the lower resolution model, and ice pressure dispersion ob-tained from the higher resolution one (correlation coefficients comprise from 0.3 to 0.7). This correlation is put into base of the main principles of calculating the extreme ice pressure in the spatial scale much less than the spatial resolution of the model. The statistical probability of the extreme ice pressure is strictly connected with the ratio between the spatial resolution of the model and the spatial scale of the extreme ice pressure to be estimated. For example, as the preliminary calculations show, if the spatial resolution of the numerical model equals 50 km, the extreme ice pressure in the scale of 1 km can exceed the mean value by 5-7 times. It gives on opportunity to obtain more comprehensive picture of ice pressure, and, as the method would be developed further, to increase significantly the informative value of the ice pressure forecasts. The limits of applicability of the proposed approach are discussed specifically.</t>
  </si>
  <si>
    <t>[Klyachkin, S. V.] Arctic &amp; Antarctic Res Inst, St Petersburg, Russia</t>
  </si>
  <si>
    <t>Klyachkin, SV (corresponding author), Arctic &amp; Antarctic Res Inst, St Petersburg, Russia.</t>
  </si>
  <si>
    <t>svkl@aari.ru</t>
  </si>
  <si>
    <t>Russian Foundation for Basic Researches [18-05-60109]</t>
  </si>
  <si>
    <t>Russian Foundation for Basic Researches(Russian Foundation for Basic Research (RFBR))</t>
  </si>
  <si>
    <t>The study was supported by the Russian Foundation for Basic Researches no. 18-05-60109 Formation and evolution of the dangerous ice phenomena and ice features at modern climate changes.</t>
  </si>
  <si>
    <t>10.31857/S2076673423010088</t>
  </si>
  <si>
    <t>F1NT0</t>
  </si>
  <si>
    <t>WOS:000980090300003</t>
  </si>
  <si>
    <t>Popov, SV</t>
  </si>
  <si>
    <t>Popov, S. V.</t>
  </si>
  <si>
    <t>Solution of the One-Dimensional Stefan Problem with Two Transitions for Modelling of the Water Freezing in a Glacial Crevasse</t>
  </si>
  <si>
    <t>mathematical modelling; numerical solution; Stefan problem; finite difference schemes; ice cre-vasses; Antarctica</t>
  </si>
  <si>
    <t>This article presents a numerical solution of the one-dimensional Stefan problem with two phase transitions, which is implemented on a non-uniform grid. The system of equations is written in a general form, i.e. it in-cludes not only conductive, but also convective and dissipative terms. The problem is solved numerically by the front-fixing method on a non-uniform grid using an implicit finite-difference scheme, which is imple-mented by the sweep method. This algorithm can also be used to create more complex mathematical models of heat and mass transfer, as well as to describe glacial and subglacial processes. The mathematical apparatus proposed in the article was used to solve a specific problem of water freezing in a glacial crevasse. The pres-ence and progression of crevasses, in turn, is a demonstrative factor indicating the dynamic activity of the gla-cier. Crevasses formed in one way or another can not only expand, but also decrease in size until they com-pletely disappear. One of the reasons for their closure is the freezing of near-surface meltwater in the crevasse. Such a process was observed on glaciers near Mirny and Novolazarevskaya stations (East Antarctica). This process is modeled as an example of solving the Stefan problem. It is believed that all media are homo-geneous and isotropic. The temperature of the water in the crevasse corresponds to the melting temperature of the ice. Modeling has shown that for the coastal part of the cold Antarctic glacier with an average tempera-ture of -10 degrees C and below, crevasses 5-10 cm of width freeze in less than a week. Wider ones freeze a little lon-ger. 30 cm wide crevasses close in about two to three weeks, depending on the temperature of the glacier.</t>
  </si>
  <si>
    <t>[Popov, S. V.] Polar Marine Geosurvey Expedit, St Petersburg, Russia; [Popov, S. V.] St Petersburg State Univ, St Petersburg, Russia; [Popov, S. V.] Melnikov Permafrost Inst, Yakutsk, Russia</t>
  </si>
  <si>
    <t>Saint Petersburg State University; Melnikov Permafrost Institute, Siberian Branch of the RAS</t>
  </si>
  <si>
    <t>Popov, SV (corresponding author), Polar Marine Geosurvey Expedit, St Petersburg, Russia.;Popov, SV (corresponding author), St Petersburg State Univ, St Petersburg, Russia.;Popov, SV (corresponding author), Melnikov Permafrost Inst, Yakutsk, Russia.</t>
  </si>
  <si>
    <t>spopov67@yandex.ru</t>
  </si>
  <si>
    <t>Russian Science Foundation [22-27-00266]</t>
  </si>
  <si>
    <t>Acknowledgments. The author is grateful to A.S. Boronina and two anonymous reviewers for fruit- ful criticism. The study was financially supported by the Russian Science Foundation No. 22-27-00266.</t>
  </si>
  <si>
    <t>10.31857/S2076673423010131</t>
  </si>
  <si>
    <t>WOS:000980090300004</t>
  </si>
  <si>
    <t>Ignatiev, SA; Vasilev, DA; Bolshunov, AV; Vasileva, MA; Ozhigin, AY</t>
  </si>
  <si>
    <t>Ignatiev, S. A.; Vasilev, D. A.; Bolshunov, A. V.; Vasileva, M. A.; Ozhigin, A. Yu.</t>
  </si>
  <si>
    <t>Experimental Research of Ice Cuttings Transport by Air While Drilling of the Snow-Firn Layer</t>
  </si>
  <si>
    <t>Central Antarctica; air drilling; ice cuttings; critical speed; suspension velocity; core; snow; firn</t>
  </si>
  <si>
    <t>CORE; PARAMETERS; BOTTOM</t>
  </si>
  <si>
    <t>The snow-firn layer of the glaciers of Antarctica and Greenland contains data on the composition of the at-mosphere in the past, volcanic eruptions, forest fires, anthropogenic pollution, and many other unique in-formation. Nowadays, core drilling methods are widely used for sampling the snow-firn layer. Due to numer-ous complications (loss of air circulation, drill bit sticking, ice balling up, etc.), air ice drilling is not wide spread, yielding in productivity and reliability to thermal and auger drilling methods. However, core barrel drilling with reverse bottom-hole air circulation is a promising technology for drilling the glaciers of Antarc-tica and Greenland. However, core drilling with reverse bottom-hole air circulation is a promising technology for drilling Antarctic and Greenland glaciers. The authors suggest that this technology, if successfully imple-mented, will significantly exceed the currently used methods of drilling the upper layers of the glacier. Taking into account the failures of previous projects of core drilling with air, it was decided to conduct research in the conditions of Central Antarctica in order to substantiate the design parameters of the new drill. During 67th Russian Antarctic Expedition (RAE) experimental studies of ice cuttings air transportation while drilling of the snow-firn layer were conducted at Vostok station. In the course of the experimental stud-ies, the VK-22 borehole was drilled to a depth of 30 m with full core and ice cuttings sampling. According to the selected probes, the dependences of the change in the density of the snow-firn layer, bulk density and fractional composition of ice cuttings on the depth of occurrence were established. By using the experimental facility, the suspension velocity (critical speed in drilling) of ice particles of various sizes and shapes was found for the first time. Directions for further research and ways to improve the experimental facility are proposed, which are planned to be implemented in the season of the 68th RAE</t>
  </si>
  <si>
    <t>[Ignatiev, S. A.; Vasilev, D. A.; Bolshunov, A. V.; Vasileva, M. A.; Ozhigin, A. Yu.] St Petersburg Min Univ, St Petersburg, Russia</t>
  </si>
  <si>
    <t>Saint Petersburg Mining University</t>
  </si>
  <si>
    <t>Vasilev, DA (corresponding author), St Petersburg Min Univ, St Petersburg, Russia.</t>
  </si>
  <si>
    <t>[2022 ?]; [FSRW-2021-0011]</t>
  </si>
  <si>
    <t>;</t>
  </si>
  <si>
    <t>Acknowledgments. The team of authors would like to express their gratitude to the staff of the Vostok sta-tion of the 67th RAE and to the scientists of LIKOS Alexey Ekaykin and Irina Alekhina, for their assis-tance in carrying out the experimental work. We also thank all the reviewers for their insightful comments on our work and helped us to improve the paper sub-stantially. The research was performed at the expense of the subsidy for the state assignment in the field of scientific activity for 2022 ? FSRW-2021-0011.</t>
  </si>
  <si>
    <t>10.31857/S2076673423010076</t>
  </si>
  <si>
    <t>WOS:000980090300005</t>
  </si>
  <si>
    <t>Ali, A</t>
  </si>
  <si>
    <t>Ali, Azad</t>
  </si>
  <si>
    <t>First distributional record of Greater false vampire bat (Lyroderma lyra Geoffroy, 1810) from the Dhubri district of Assam, Northeast India</t>
  </si>
  <si>
    <t>JOURNAL OF WILDLIFE AND BIODIVERSITY</t>
  </si>
  <si>
    <t>Greater false vampire bat; Megaderma lyra; Lyroderma lyra; New record; Dhubri</t>
  </si>
  <si>
    <t>Bats are found all over the world except Arctic and Antarctic regions and a few isolated oceanic islands. Northeast India has 28 genera and 62 species and subspecies of bats. The state of Assam has a total of 39 different bat species under 16 genera. On 12.04.2017, one male Greater false vampire bat Lyroderma lyra Geoffroy, 1810 (former 'Megaderma lyra') was collected from a classroom near the old Zoology Department (Latitude: N 260 1 ' 28.1136 ''; Longitude: E 890 58 ' 9.9912 '') of B. N. College campus of Dhubri district of western Assam which lies in the Brahmaputra valley of Assam, India (South Asia). It comes under the family 'Megadermatidae' which is an ancient family of carnivorous bats. An individual was a robust one with a forearm length of 66.2 mm and 93 gms of body mass. Some of the other important morphometric measurements recorded were as Length of the ear (E)-30mm, Length of head and body (HB)-82 mm, Length of the penis (p)-9mm, Height of noseleaf (nslf)-9.5mm, Wing span (wsp)-423mm and the length of the tragus (Tr)-16mm respectively. The structure of the ears was found to be large ovals joined medially to the forehead region. The tragus of each ear was slender and distinctly bifid. The noseleaf was found to be erected and elongated. Previously the species was reported from the Tinsukia district of Upper Assam followed by the Kamrup and Goalpara districts of the Lower Brahmaputra Valley of Assam. The current place of occurrence, i.e., the 'Dhubri district' has been established as a new distributional record for the species from the western part of Assam of Northeast India, a global biodiversity hotspot.</t>
  </si>
  <si>
    <t>[Ali, Azad] BN Coll, Biodivers &amp; Ecol Res Ctr BERC, Dept Zool, Anim Ecol &amp; Wildlife Biol, Dhubri 783324, Assam, India</t>
  </si>
  <si>
    <t>Ali, A (corresponding author), BN Coll, Biodivers &amp; Ecol Res Ctr BERC, Dept Zool, Anim Ecol &amp; Wildlife Biol, Dhubri 783324, Assam, India.</t>
  </si>
  <si>
    <t>azadali58@yahoo.in</t>
  </si>
  <si>
    <t>ARAK UNIV, ARAK</t>
  </si>
  <si>
    <t>ARAK</t>
  </si>
  <si>
    <t>DEPT ENVIRONMENTAL SCIENCES, FAC AGRICULTURE &amp; NATURAL RESOURCES, ARAK, 00000, IRAN</t>
  </si>
  <si>
    <t>2588-3526</t>
  </si>
  <si>
    <t>J WILDLIFE BIODIVERS</t>
  </si>
  <si>
    <t>J. Wildl. Biodivers.</t>
  </si>
  <si>
    <t>10.5281/10.5281/zenodo.7850159</t>
  </si>
  <si>
    <t>E7FA7</t>
  </si>
  <si>
    <t>WOS:000977147100001</t>
  </si>
  <si>
    <t>Andreev, OM</t>
  </si>
  <si>
    <t>Andreev, O. M.</t>
  </si>
  <si>
    <t>A Universal Formula for Evaluating the Compressive and Flexural Strength of Sea Ice at Thermodynamic Calculations</t>
  </si>
  <si>
    <t>RUSSIAN METEOROLOGY AND HYDROLOGY</t>
  </si>
  <si>
    <t>sea ice; flexural strength of ice; compressive strength of ice; thermodynamic model; ice strength limit</t>
  </si>
  <si>
    <t>Thermodynamic modeling of the ice cover of freezing seas is carried out according to their hydrometeorological conditions. It is an important tool in assessing the evolution of the main ice parameters. However, the calculation of the ice strength properties is currently complicated by a need to introduce additional full-scale parameters. A new universal formula that is devoid of this drawback was developed for assessing the main strength properties of ice. The results of a comparison of calculations performed according to the formula and methods from the main regulatory documents are presented. A comparison of the calculations based on the formula with field measurements was provided and showed a high accuracy of the average ice strength values estimated using the proposed formula.</t>
  </si>
  <si>
    <t>[Andreev, O. M.] Arctic &amp; Antarctic Res Inst, Ul Beringa 38, St Petersburg 199397, Russia</t>
  </si>
  <si>
    <t>Andreev, OM (corresponding author), Arctic &amp; Antarctic Res Inst, Ul Beringa 38, St Petersburg 199397, Russia.</t>
  </si>
  <si>
    <t>andoleg@aari.ru</t>
  </si>
  <si>
    <t>Andreev, Oleg M./ABE-6472-2022</t>
  </si>
  <si>
    <t>Andreev, Oleg M./0009-0007-8558-7945</t>
  </si>
  <si>
    <t>PLEIADES PUBLISHING INC</t>
  </si>
  <si>
    <t>PLEIADES HOUSE, 7 W 54 ST, NEW YORK, NY, UNITED STATES</t>
  </si>
  <si>
    <t>1068-3739</t>
  </si>
  <si>
    <t>1934-8096</t>
  </si>
  <si>
    <t>RUSS METEOROL HYDRO+</t>
  </si>
  <si>
    <t>Russ. Meteorol. Hydrol.</t>
  </si>
  <si>
    <t>10.3103/S1068373923010053</t>
  </si>
  <si>
    <t>E3UF5</t>
  </si>
  <si>
    <t>WOS:000974822900005</t>
  </si>
  <si>
    <t>Azin, AV; Bogdanov, EP; Rikkonen, SV</t>
  </si>
  <si>
    <t>Azin, Anton V.; Bogdanov, Eugene P.; Rikkonen, Sergey V.</t>
  </si>
  <si>
    <t>SIMULATION OF ACOUSTIC ENERGY TRANSFER THROUGH A MULTILAYER SYSTEM FOR CHANGING THE RHEOLOGICAL PROPERTIES OF HYDROCARBONS</t>
  </si>
  <si>
    <t>BULLETIN OF THE TOMSK POLYTECHNIC UNIVERSITY-GEO ASSETS ENGINEERING</t>
  </si>
  <si>
    <t>emitter; radiation energy; radiation intensity; standing waves; reflected waves; interference pattern; frequency characteristics; multilayer system</t>
  </si>
  <si>
    <t>LAMB WAVES; OIL</t>
  </si>
  <si>
    <t>Relevance of the research is caused by the need to determine the acoustic energy level of ultrasonic exposure propagation in a multilayer system. This is required to develop the engineering project of ultrasonic devices which would modify the hydrocarbon fuel rheological properties. This, in its turn, could further their application in energy complex facilities in the Arctic and Antarctic environments.Aim: to develop a mathematical model for ultrasonic radiation propagation in a multilayer system with the determination of the energy at each resonance. Such a model would take into account the design-type of the ultrasound resonant emitter.Object: design-type of the ultrasound resonant emitter, multilayer system and physical model system: &lt;&lt; ultrasonic emitter - multilayer system,,.Methods: mathematical modeling of ultrasonic radiation propagation within a multilayer system, considering the folowing impact factors: design-type of the ultrasound resonant emitter, operating mode, number of layers and material mechanical properties of the multilayer system. Experiments were based on the physical model system: &lt;&lt; ultrasonic emitter - multilayer system,,. Experimental data verification proved the effectiveness of the mathematical model.Results. This mathematical model enables to determine and calculate the energy and frequency characteristics of acoustic radiation in each layer within the multilayer system itself. Ultrasonic resonant emitter operating experiments under one plexiglass-layer, two plexiglasslayer and three-plexiglass layer loads have been carried out. Estimated data are in good agreement with experiments, whereas, discrepancy does not exceed 15 %.Conclusion. Proposed and developed mathematical model enables the ultrasound resonant emitter-type to be designed, according to required power source capacity and frequency range. In this case, it could be applied for hydrocarbon fuel laboratory research.</t>
  </si>
  <si>
    <t>[Azin, Anton V.; Rikkonen, Sergey V.] Natl Res Tomsk State Univ, 36 Lenin Ave, Tomsk 634050, Russia; [Bogdanov, Eugene P.] Natl Res Tomsk Polytech Univ, 30 Lenin Ave, Tomsk 634050, Russia</t>
  </si>
  <si>
    <t>Tomsk State University; Tomsk Polytechnic University</t>
  </si>
  <si>
    <t>Azin, AV (corresponding author), Natl Res Tomsk State Univ, 36 Lenin Ave, Tomsk 634050, Russia.</t>
  </si>
  <si>
    <t>antonazin@niipmm.tsu.ru; epbogdanov@mail.ru; rikk2@yandex.ru</t>
  </si>
  <si>
    <t>Ministry of Science and Higher Education of the Rus-sian Federation [0721-2020-0036]</t>
  </si>
  <si>
    <t>Ministry of Science and Higher Education of the Rus-sian Federation</t>
  </si>
  <si>
    <t>The work was carried out within the framework of the State mission of the Ministry of Science and Higher Education of the Rus-sian Federation (theme 0721-2020-0036) .</t>
  </si>
  <si>
    <t>TOMSK POLYTECHNIC UNIV, PUBLISHING HOUSE</t>
  </si>
  <si>
    <t>TOMSK</t>
  </si>
  <si>
    <t>30, LENIN AVE, TOMSK, 634050, RUSSIA</t>
  </si>
  <si>
    <t>2500-1019</t>
  </si>
  <si>
    <t>2413-1830</t>
  </si>
  <si>
    <t>BULL TOMSK POLYTECH</t>
  </si>
  <si>
    <t>Bull. Tomsk Polytech. Univ.-Geo Assets Eng.</t>
  </si>
  <si>
    <t>10.18799/24131830/2023/3/3953</t>
  </si>
  <si>
    <t>Engineering, Geological</t>
  </si>
  <si>
    <t>D9NO1</t>
  </si>
  <si>
    <t>WOS:000971924600016</t>
  </si>
  <si>
    <t>Mei, DK; Ren, XD; Le, X; Liu, H; Zhang, XH</t>
  </si>
  <si>
    <t>Mei, Dengkui; Ren, Xiaodong; Le, Xuan; Liu, Hang; Zhang, Xiaohong</t>
  </si>
  <si>
    <t>Ionospheric Tomography: A Compressed Sensing Technique Based on Dictionary Learning</t>
  </si>
  <si>
    <t>Compressed sensing; computerized ionospheric tomography (CIT); dictionary learning (DL); Global Navigation Satellite System (GNSS); multiplicative algebraic reconstruction technique (mart)</t>
  </si>
  <si>
    <t>ELECTRON-DENSITY; RECONSTRUCTION; ALGORITHM; GNSS; RESOLUTION; IMPACTS</t>
  </si>
  <si>
    <t>Global Navigation Satellite System (GNSS) observation insufficiency limits the development of the voxel-based computerized ionospheric tomography (CIT) technique. Electron densities of voxels without observation cannot be accurately estimated by the commonly used algebraic reconstruction techniques. In this study, we proposed a compressed sensing technique (CST) based on dictionary learning (DL) for ionospheric tomography. Specifically, the K-singular value decomposition (K-SVD) algorithm was used for DL based on training sets that are derived from the NeQuick model, hereafter referred to as the CST_NeQuick algorithm. K-SVD uses the orthogonal matching pursuit (OMP) for sparse coding and the SVD approach for dictionary updating. Both simulations and real experiments demonstrated the feasibility and superiority of the CST algorithm when compared to the widely used multiplicative algebraic reconstruction technique (MART). It was found that the CST_NeQuick algorithm's tomographic performances were mostly superior to those of the MART algorithm in comparison with the independent slant total electron content (STEC) references. Another CST-based tomographic experiment was performed by using the MART-based solutions for DL, hereafter referred to as the CST_MART algorithm. It showed that the CST_MART algorithm can reduce the average root mean square (rms) of the CIT-derived STEC by 37.3% and 20.2%, respectively, when compared to the MART and CST_NeQuick algorithms. Besides, the CST_MART algorithm's electron density profiles (EDPs) also showed more agreement with the EDPs that were derived from radio occultation data.</t>
  </si>
  <si>
    <t>[Mei, Dengkui; Ren, Xiaodong; Le, Xuan; Liu, Hang] Wuhan Univ, Sch Geodesy &amp; Geomat, Wuhan 430079, Hubei, Peoples R China; [Ren, Xiaodong] Wuhan Univ, Hubei Luojia Lab, Wuhan 430079, Hubei, Peoples R China; [Zhang, Xiaohong] Wuhan Univ, Hubei Luojia Lab, Sch Geodesy &amp; Geomat, Wuhan 430079, Peoples R China; [Zhang, Xiaohong] Wuhan Univ, Chinese Antarctic Ctr Surveying &amp; Mapping, Wuhan 430079, Peoples R China</t>
  </si>
  <si>
    <t>Ren, XD (corresponding author), Wuhan Univ, Sch Geodesy &amp; Geomat, Wuhan 430079, Hubei, Peoples R China.;Ren, XD (corresponding author), Wuhan Univ, Hubei Luojia Lab, Wuhan 430079, Hubei, Peoples R China.;Zhang, XH (corresponding author), Wuhan Univ, Hubei Luojia Lab, Sch Geodesy &amp; Geomat, Wuhan 430079, Peoples R China.;Zhang, XH (corresponding author), Wuhan Univ, Chinese Antarctic Ctr Surveying &amp; Mapping, Wuhan 430079, Peoples R China.</t>
  </si>
  <si>
    <t>dengkuimei@whu.edu.cn; renxiaodongfly@gmail.com; sggxle@whu.edu.cn; hangliu@whu.edu.cn; xhzhang@sgg.whu.edu.cn</t>
  </si>
  <si>
    <t>Zhang, Xiaohong/A-3060-2015; REN, XIAODONG/HJP-2991-2023</t>
  </si>
  <si>
    <t>REN, XIAODONG/0000-0002-3213-0067; Tao, Xianlu/0000-0002-1030-0678; Le, Xuan/0000-0002-4806-4201; liu, hang/0000-0002-3408-3807</t>
  </si>
  <si>
    <t>National Natural Science Foundation of China [42174031, 42230104]; Special Fund of Hubei Luojia Laboratory [2201000038]; Knowledge Innovation Program of Wuhan-Shuguang</t>
  </si>
  <si>
    <t>National Natural Science Foundation of China(National Natural Science Foundation of China (NSFC)); Special Fund of Hubei Luojia Laboratory; Knowledge Innovation Program of Wuhan-Shuguang</t>
  </si>
  <si>
    <t>This work was supported in part by the National Natural Science Foundation of China under Grant 42174031 and Grant 42230104, in part by the Special Fund of Hubei Luojia Laboratory under Grant 2201000038, and in part by the Knowledge Innovation Program of Wuhan-Shuguang.</t>
  </si>
  <si>
    <t>10.1109/TGRS.2023.3252041</t>
  </si>
  <si>
    <t>C3QX3</t>
  </si>
  <si>
    <t>WOS:000961112200012</t>
  </si>
  <si>
    <t>Yong, ST; Lavin, PL; Gonzalez, MA; Wong, CMVL</t>
  </si>
  <si>
    <t>Yong, Sheau Ting; Lavin, Paris Leonardo; Gonzalez, Marcelo Aravena; Wong, Clemente Michael Vui Ling</t>
  </si>
  <si>
    <t>A Talaromyces Fungal Species with Strong Antimicrobial Activity from Deception Island, Antarctica</t>
  </si>
  <si>
    <t>SAINS MALAYSIANA</t>
  </si>
  <si>
    <t>Antarctic; antimicrobial resistance; enzymes; fungus; South Shetland Islands</t>
  </si>
  <si>
    <t>PSYCHROTROPHIC BACTERIA; SOIL; IDENTIFICATION; COMMUNITIES; RESISTANCE</t>
  </si>
  <si>
    <t>Deception Island is well-known for harboring highly diverse microbial communities due to its unique volcanic environment in Antarctica. Most studies focused on bacteria, and relatively little was known about the fungal species on this island. The present study was aimed to determine the antimicrobial production and nutrient utilization profiles of a soil fungus from Deception Island, designated as Im33. Our findings showed that the strain had maximum mycelial growth and sporulation on malt-extract agar (MEA) medium, but it demonstrated the strongest antimicrobial activity in yeast extract-malt extract broth (YMB) medium. Phylogenetic analysis of the internal transcribed spacer 1 and 2 regions showed that it is a species belonging to the genus Talaromyces. It was resistant to cycloheximide concentrations up to 1,000 mg/L and exhibited broad-spectrum antimicrobial activity against Gram-positive and Gram-negative test pathogens, as well as being able to utilize a variety of carbon sources. This is the first report of a Talaromyces species from Deception Island. The capability of the strain to produce broad-spectrum antimicrobial compounds and various enzymes indicated that Antarctic fungi, like their bacterial counterparts, have adopted various adaptation strategies to compete and survive in the extreme environment.</t>
  </si>
  <si>
    <t>[Yong, Sheau Ting; Wong, Clemente Michael Vui Ling] Univ Malaysia Sabah, Biotechnol Res Inst, Jalan UMS, Kota Kinabalu 88400, Sabah, Malaysia; [Lavin, Paris Leonardo] Univ Antofagasta, Fac Ciencias Mary Recursos Biol, Dept Biotecnol, 601 Ave Angamos, Antofagasta 1270300, Chile; [Gonzalez, Marcelo Aravena] Inst Antart Chileno, Plaza Munoz Gamero 1055, Punta Arenas, Chile</t>
  </si>
  <si>
    <t>Universiti Malaysia Sabah; Universidad de Antofagasta</t>
  </si>
  <si>
    <t>Wong, CMVL (corresponding author), Univ Malaysia Sabah, Biotechnol Res Inst, Jalan UMS, Kota Kinabalu 88400, Sabah, Malaysia.</t>
  </si>
  <si>
    <t>michaelw@ums.edu.my</t>
  </si>
  <si>
    <t>Wong, Clemente Michael Vui Ling/M-8372-2013</t>
  </si>
  <si>
    <t>Wong, Clemente Michael Vui Ling/0000-0003-3431-8896; Lavin, Paris/0000-0002-8893-526X</t>
  </si>
  <si>
    <t>Sultan Mizan Antarctic Research Foundation (YPASM); Ministry of Science, Technology, and Innovation (MOSTI) , Malaysia; Instituto Antartico Chileno (INACH) , Chile</t>
  </si>
  <si>
    <t>Sultan Mizan Antarctic Research Foundation (YPASM); Ministry of Science, Technology, and Innovation (MOSTI) , Malaysia(Ministry of Energy, Science, Technology, Environment and Climate Change (MESTECC), Malaysia); Instituto Antartico Chileno (INACH) , Chile</t>
  </si>
  <si>
    <t>This work was funded by the Sultan Mizan Antarctic Research Foundation (YPASM) , Ministry of Science, Technology, and Innovation (MOSTI) , Malaysia, and Instituto Antartico Chileno (INACH) , Chile. The foodborne test pathogens were provided by Professor Son Radu, Universiti Putra Malaysia, Malaysia.</t>
  </si>
  <si>
    <t>UNIV KEBANGSAAN MALAYSIA, FAC SCIENCE &amp; TECHNOLOGY</t>
  </si>
  <si>
    <t>BANGI</t>
  </si>
  <si>
    <t>-, BANGI, SELANGOR 43600, MALAYSIA</t>
  </si>
  <si>
    <t>0126-6039</t>
  </si>
  <si>
    <t>SAINS MALAYS</t>
  </si>
  <si>
    <t>Sains Malays.</t>
  </si>
  <si>
    <t>10.17576/jsm-2023-5201-07</t>
  </si>
  <si>
    <t>D2AF2</t>
  </si>
  <si>
    <t>WOS:000966791300007</t>
  </si>
  <si>
    <t>Le, CF; Wu, M; Cai, SB; Liu, N; He, JF</t>
  </si>
  <si>
    <t>Le, Chengfeng; Wu, Ming; Cai, Sunbin; Liu, Na; He, Jianfeng</t>
  </si>
  <si>
    <t>Remote Sensing of Particulate Organic Carbon on the Western Antarctic Peninsula Shelf Using a Color Index-Based Algorithm</t>
  </si>
  <si>
    <t>Carbon; Sea measurements; Satellites; Image color analysis; MODIS; Biology; Sea surface; Biological carbon pump; ocean color remote sensing; particulate organic carbon (POC); Western Antarctic Peninsula (WAP)</t>
  </si>
  <si>
    <t>INHERENT OPTICAL-PROPERTIES; ATMOSPHERIC CORRECTION; CLIMATE-CHANGE; OCEANIC SINK; CO2 UPTAKE; SEA-ICE; SEAWIFS; CHLOROPHYLL; COASTAL; REFLECTANCE</t>
  </si>
  <si>
    <t>A color index (CI)-based algorithm (CIPOC) for estimating particulate organic carbon (POC) concentrations from satellite observations is evaluated for the Western Antarctic Peninsula (WAP) shelf. The CI utilizes three spectral bands centered approximately at 490, 550, and 670 nm of the ocean color satellite sensors. The CIPOC algorithm is calibrated and validated using field-measured POC concentration data and match-up satellite-derived remote-sensing reflectance (R-rs) data. For comparison, the performance of the blue-green (BG) band ratio algorithm is also evaluated using the same match-up dataset. Results show that the CIPOC algorithm outperforms the BG band ratio algorithm in determining the POC concentration for the WAP shelf with good statistical parameters of algorithm performance for the CIPOC algorithm. Given that the CIPOC algorithm is built upon a three-band-difference concept and is less sensitive to artificial errors in R-rs than the BG algorithm, CIPOC can correct POC concentration by retrieving uncertainties caused by sea ice and cloud contaminations. Further evaluation showed that the CIPOC algorithm can derive POC from the next-generation ocean color satellite sensors with robust performance and noise tolerance.</t>
  </si>
  <si>
    <t>[Le, Chengfeng; Wu, Ming; Cai, Sunbin] Zhejiang Univ, Ocean Coll, Zhoushan 316021, Peoples R China; [Liu, Na] Univ Bergen, Dept Phys &amp; Technol, N-5020 Bergen, Norway; [He, Jianfeng] Polar Res Inst China, Shanghai 200136, Peoples R China</t>
  </si>
  <si>
    <t>Zhejiang University; University of Bergen; Polar Research Institute of China</t>
  </si>
  <si>
    <t>Le, CF (corresponding author), Zhejiang Univ, Ocean Coll, Zhoushan 316021, Peoples R China.</t>
  </si>
  <si>
    <t>chengfengle@zju.edu.cn; wuming1016@zju.edu.cn; sunbincai@zju.edu.cn; liuna@hotmail.com; hejiangfeng@pric.org.cn</t>
  </si>
  <si>
    <t>National Natural Science Foundation of China [41976164, 41976230]; Natural Science Foundation of Zhejiang Province for Distinguished Young Scholars) [LR20D060002]; National Key Research and Development Program of China [2019YFD0901305]</t>
  </si>
  <si>
    <t>National Natural Science Foundation of China(National Natural Science Foundation of China (NSFC)); Natural Science Foundation of Zhejiang Province for Distinguished Young Scholars); National Key Research and Development Program of China</t>
  </si>
  <si>
    <t>This work was supported in part by the National Natural Science Foundation of China under Grant 41976164 and Grant 41976230, in partby the Natural Science Foundation of Zhejiang Province for DistinguishedYoung Scholars under Grant LR20D060002, and in part by the National KeyResearch and Development Program of China under Grant 2019YFD0901305.</t>
  </si>
  <si>
    <t>10.1109/TGRS.2023.3256367</t>
  </si>
  <si>
    <t>D1AG8</t>
  </si>
  <si>
    <t>WOS:000966113400001</t>
  </si>
  <si>
    <t>Zhang, CAT; Wang, XR; Miao, BK; Xia, ZP; Chen, GZ</t>
  </si>
  <si>
    <t>Zhang ChuanTong; Wang XiaoRui; Miao BingKui; Xia ZhiPeng; Chen GuoZhu</t>
  </si>
  <si>
    <t>Study on the first howardite (GRV 150277) from Grove Mountains, Antarctica and its exogenous clasts</t>
  </si>
  <si>
    <t>ACTA PETROLOGICA SINICA</t>
  </si>
  <si>
    <t>Grove Mountains (GRV) meteorite; Howardite; Iron meteorite clast; CM chondrite debris; Vesta regolith</t>
  </si>
  <si>
    <t>CARBONACEOUS CHONDRITE CLASTS; IMPACT MELT BRECCIA; 4 VESTA; HED METEORITES; DARK MATERIAL; CORE FORMATION; MAGMA OCEAN; MINERALOGY; EUCRITES; CRYSTALLIZATION</t>
  </si>
  <si>
    <t>The Howardite-Eucrite-Diogenite (HED) meteorite clan and its potential parent body 4 Vesta are the hot spots of international deep space exploration and asteroid research. Among them, howardites formed by complex impact mixing are the main object in the international frontier field of studying the composition and evolution of Vesta regolith. Since the 21st century, China has recovered a large number of meteorites from Grove Mountains (GRV), Antarctica, which has provided important research specimens for the development of Chinese planetary science. Three eucrites have been found among the classified Antarctic meteorites of China, which provide an important opportunity to study the magmatic activity of Vesta. In this work, a systematic petrological and mineralogical study was carried out on the newly collected GRV meteorite GRV 150277 from Antarctica in 2016. The results show that GRV 150277 has typical brecciated texture and is mainly composed of nearly equal proportions of diogenitic and eucritic clasts. Thus, it is the first howardite for China discovered in Antarctica. In addition, a small amount of iron meteorite and CM chondrite debris can be seen in GRV 150277, indicating that the Vesta regolith has experienced multiple asteroids impacts. The discovery of the GRV 150277 meteorite and the detailed study of its exogenous debris are of great instructive significance for determining the composition and evolution history of Vesta regolith.</t>
  </si>
  <si>
    <t>[Zhang ChuanTong; Wang XiaoRui; Miao BingKui; Xia ZhiPeng; Chen GuoZhu] Guilin Univ Technol, Inst Meteorites &amp; Planetary Mat Res, Key Lab Planetary Geol Evolut Univ Guangxi Prov, Guilin 541006, Peoples R China; [Zhang ChuanTong; Wang XiaoRui; Miao BingKui; Xia ZhiPeng; Chen GuoZhu] Guilin Univ Technol, Guangxi Key Lab Hidden Metall Ore Deposits Explor, Guilin 541006, Peoples R China</t>
  </si>
  <si>
    <t>Guilin University of Technology; Guilin University of Technology</t>
  </si>
  <si>
    <t>Miao, BK (corresponding author), Guilin Univ Technol, Inst Meteorites &amp; Planetary Mat Res, Key Lab Planetary Geol Evolut Univ Guangxi Prov, Guilin 541006, Peoples R China.;Miao, BK (corresponding author), Guilin Univ Technol, Guangxi Key Lab Hidden Metall Ore Deposits Explor, Guilin 541006, Peoples R China.</t>
  </si>
  <si>
    <t>zct@glut.edu.cn; miaobk@glut.edu.cn</t>
  </si>
  <si>
    <t>Wang, Xiaorui/HAK-8007-2022</t>
  </si>
  <si>
    <t>Wang, Xiaorui/0000-0002-1442-8863</t>
  </si>
  <si>
    <t>16 DONGHUANGCHENGGEN NORTH ST, BEIJING 100717, PEOPLES R CHINA</t>
  </si>
  <si>
    <t>1000-0569</t>
  </si>
  <si>
    <t>2095-8927</t>
  </si>
  <si>
    <t>ACTA PETROL SIN</t>
  </si>
  <si>
    <t>Acta Petrol. Sin.</t>
  </si>
  <si>
    <t>10.18654/1000-0569/2023.01.14</t>
  </si>
  <si>
    <t>A0HB7</t>
  </si>
  <si>
    <t>WOS:000952014200014</t>
  </si>
  <si>
    <t>Zou, SY; Liu, XY; Huang, X; Zhang, YJ; Wang, SY; Wu, S; Zheng, Z; Liu, BX</t>
  </si>
  <si>
    <t>Zou, Siyuan; Liu, Xinyi; Huang, Xu; Zhang, Yongjun; Wang, Senyuan; Wu, Shuang; Zheng, Zhi; Liu, Bingxin</t>
  </si>
  <si>
    <t>Edge-Preserving Stereo Matching Using LiDAR Points and Image Line Features</t>
  </si>
  <si>
    <t>Laser radar; Costs; Image edge detection; Point cloud compression; Three-dimensional displays; Tuning; Reliability; 3-D reconstruction; depth discontinuity lines; LiDAR; low-textured; semi-global matching (SGM); stereo matching</t>
  </si>
  <si>
    <t>RESOLUTION; MODEL</t>
  </si>
  <si>
    <t>This letter proposes a LiDAR and image line-guided stereo matching method (L2GSM), which combines sparse but high-accuracy LiDAR points and sharp object edges of images to generate accurate and fine-structure point clouds. After extracting depth discontinuity lines on the image by using LiDAR depth information, we propose a trilateral update of cost volume and depth discontinuity lines-aware semi-global matching (SGM) strategies to integrate LiDAR data and depth discontinuity lines into the dense matching algorithm. The experimental results for the indoor and aerial datasets show that our method significantly improves the results of the original SGM and outperforms two state-of-the-art LiDAR constraints' SGM methods, especially in recovering the 3-D structure of low-textured and depth discontinuity regions. In addition, the 3-D point clouds generated by our proposed method outperform the LiDAR data and dense matching point clouds generated by Metashape and SURE aerial in terms of completeness and edge accuracy.</t>
  </si>
  <si>
    <t>[Zou, Siyuan; Liu, Xinyi; Zhang, Yongjun; Wang, Senyuan; Zheng, Zhi; Liu, Bingxin] Wuhan Univ, Sch Remote Sensing &amp; Informat Engn, Wuhan 430079, Peoples R China; [Huang, Xu] Sun Yat Sen Univ, Sch Geospatial Engn &amp; Sci, Zhuhai 519082, Peoples R China; [Wu, Shuang] Wuhan Univ, Chinese Antarctic Ctr Surveying &amp; Mapping, Wuhan 430079, Peoples R China</t>
  </si>
  <si>
    <t>Wuhan University; Sun Yat Sen University; Wuhan University</t>
  </si>
  <si>
    <t>Liu, XY (corresponding author), Wuhan Univ, Sch Remote Sensing &amp; Informat Engn, Wuhan 430079, Peoples R China.;Huang, X (corresponding author), Sun Yat Sen Univ, Sch Geospatial Engn &amp; Sci, Zhuhai 519082, Peoples R China.</t>
  </si>
  <si>
    <t>zousiyuan3s@163.com; liuxy0319@whu.edu.cn; huangx358@mail.sysu.edu.cn</t>
  </si>
  <si>
    <t>liu, xinyi/GWZ-8739-2022; Liu, Xinyi/ABN-2511-2022; liu, xinyi/KFB-4466-2024; Zhang, Yongjun/HCH-7076-2022; Li, Jiawei/JOJ-9277-2023</t>
  </si>
  <si>
    <t>Liu, Xinyi/0000-0001-5333-8054; Zhang, Yongjun/0000-0001-9845-4251; Zheng, Zhi/0009-0004-8746-0591</t>
  </si>
  <si>
    <t>Basic Research Strengthening Program of China (173 Program) [2020-JCJQ-ZD-015-00-04]; National Natural Science Foundation of China [42201474]; Science and Technology Major Project of Hubei Province [2021AAA010]; Zhizhuo Research Fund on Spatial-Temporal Artificial Intelligence [ZZJJ202206]</t>
  </si>
  <si>
    <t>Basic Research Strengthening Program of China (173 Program); National Natural Science Foundation of China(National Natural Science Foundation of China (NSFC)); Science and Technology Major Project of Hubei Province; Zhizhuo Research Fund on Spatial-Temporal Artificial Intelligence</t>
  </si>
  <si>
    <t>This work was supported in part by the Basic Research Strengthening Program of China (173 Program) under Grant 2020-JCJQ-ZD-015-00-04, in part by the National Natural Science Foundation of China under Grant 42201474, in part by the Science and Technology Major Project of Hubei Province under Grant 2021AAA010, and in part by the Zhizhuo Research Fund on Spatial-Temporal Artificial Intelligence under Grant ZZJJ202206.</t>
  </si>
  <si>
    <t>10.1109/LGRS.2023.3239030</t>
  </si>
  <si>
    <t>D1ZI7</t>
  </si>
  <si>
    <t>WOS:000966768400001</t>
  </si>
  <si>
    <t>Husman, SD; Hu, ZY; Wouters, B; Munneke, PK; Veldhuijsen, S; Lhermitte, S</t>
  </si>
  <si>
    <t>Husman, Sophie de Roda; Hu, Zhongyang; Wouters, Bert; Munneke, Peter Kuipers; Veldhuijsen, Sanne; Lhermitte, Stef</t>
  </si>
  <si>
    <t>Remote Sensing of Surface Melt on Antarctica: Opportunities and Challenges</t>
  </si>
  <si>
    <t>Sensors; Sea surface; Surface topography; Ocean temperature; Land surface; Antarctica; Surface treatment; Antarctic Ice Sheet; Earth observation; ice shelves; melt detection; multisource remote sensing; polar regions; satellite observations</t>
  </si>
  <si>
    <t>GREENLAND ICE-SHEET; MASS-BALANCE; SUPRAGLACIAL LAKES; SNOW PARAMETERS; DRY-SNOW; SHELF; MELTWATER; TEMPERATURE; MODEL; REFLECTANCE</t>
  </si>
  <si>
    <t>Surface melt is an important driver of ice shelf disintegration and its consequent mass loss over the Antarctic Ice Sheet. Monitoring surface melt using satellite remote sensing can enhance our understanding of ice shelf stability. However, the sensors do not measure the actual physical process of surface melt, but rather observe the presence of liquid water. Moreover, the sensor observations are influenced by the sensor characteristics and surface properties. Therefore, large inconsistencies can exist in the derived melt estimates from different sensors. In this study, we apply state-of-the-art melt detection algorithms to four frequently used remote sensing sensors, i.e., two active microwave sensors, which are Advanced Scatterometer (ASCAT) and Sentinel-1, a passive microwave sensor, i.e., Special Sensor Microwave Imager/Sounder (SSMIS), and an optical sensor, i.e., Moderate Resolution Imaging Spectroradiometer (MODIS). We intercompare the melt detection results over the entire Antarctic Ice Sheet and four selected study regions for the melt seasons 2015-2020. Our results show large spatiotemporal differences in detected melt between the sensors, with particular disagreement in blue ice areas, in aquifer regions, and during wintertime surface melt. We discuss that discrepancies between sensors are mainly due to cloud obstruction and polar darkness, frequency-dependent penetration of satellite signals, temporal resolution, and spatial resolution, as well as the applied melt detection methods. Nevertheless, we argue that different sensors can complement each other, enabling improved detection of surface melt over the Antarctic Ice Sheet.</t>
  </si>
  <si>
    <t>[Husman, Sophie de Roda; Wouters, Bert; Lhermitte, Stef] Delft Univ Technol, Dept Geosci &amp; Remote Sensing, NL-2628 CD Delft, Netherlands; [Hu, Zhongyang; Wouters, Bert; Munneke, Peter Kuipers; Veldhuijsen, Sanne] Univ Utrecht, Inst Marine &amp; Atmospher Res Utrecht, NL-3584 CS Utrecht, Netherlands</t>
  </si>
  <si>
    <t>Delft University of Technology; Utrecht University</t>
  </si>
  <si>
    <t>Husman, SD (corresponding author), Delft Univ Technol, Dept Geosci &amp; Remote Sensing, NL-2628 CD Delft, Netherlands.</t>
  </si>
  <si>
    <t>s.derodahusman@tudelft.nl; z.hu@uu.nl; bert.wouters@tudelft.nl; p.kuipersmunneke@uu.nl; s.b.m.veldhuijsen@uu.nl; s.lhermitte@tudelft.nl</t>
  </si>
  <si>
    <t>Lhermitte, Stef (Stefaan)/A-3385-2013; Hu, Zhongyang/AAB-8419-2021; Wouters, Bert/A-5301-2017</t>
  </si>
  <si>
    <t>Lhermitte, Stef (Stefaan)/0000-0002-1622-0177; Hu, Zhongyang/0000-0002-1793-3806; de Roda Husman, Sophie/0000-0001-8830-9894; Wouters, Bert/0000-0002-1086-2435; Veldhuijsen, Sanne/0000-0003-3388-6824</t>
  </si>
  <si>
    <t>Nederlandse Organisatie voor Wetenschappelijk Onderzoek(NWO) [OCENW.GROOT.2019.091]; Netherlands Space Office (NSO) [AL-WGO.2018.039]</t>
  </si>
  <si>
    <t>Nederlandse Organisatie voor Wetenschappelijk Onderzoek(NWO)(Netherlands Organization for Scientific Research (NWO)); Netherlands Space Office (NSO)</t>
  </si>
  <si>
    <t>The work of Sophie de Roda Husman and Sanne Veldhuijsenwas supported by Nederlandse Organisatie voor Wetenschappelijk Onderzoek(NWO) under Grant OCENW.GROOT.2019.091. The work of ZhongyangHu was supported by the Netherlands Space Office (NSO) under Grant AL-WGO.2018.039.(Sophie de Roda Husman and Zhongyang Hu contributedequally to this work.)</t>
  </si>
  <si>
    <t>10.1109/JSTARS.2022.3216953</t>
  </si>
  <si>
    <t>A1OL4</t>
  </si>
  <si>
    <t>WOS:000952892000006</t>
  </si>
  <si>
    <t>Kunakh, V; Twardovska, M; Andreev, I; Drobyk, N; Navrotska, D; Nuzhyna, N; Poronnik, O; Konvalyuk, I; Myryuta, G; Ivannikov, R; Parnikoza, I</t>
  </si>
  <si>
    <t>Kunakh, Viktor; Twardovska, Maryana; Andreev, Igor; Drobyk, Nadia; Navrotska, Daria; Nuzhyna, Nataliia; Poronnik, Oksana; Konvalyuk, Iryna; Myryuta, Ganna; Ivannikov, Roman; Parnikoza, Ivan</t>
  </si>
  <si>
    <t>Development, integrative study and research prospects of Deschampsia antarctica collection</t>
  </si>
  <si>
    <t>Antarctic; in vitro plants; karyotype; genetic variability; nuclear DNA content; biologically active substances</t>
  </si>
  <si>
    <t>ULTRAVIOLET-B RADIATION; E. DESV. PLANTS; ARGENTINE ISLANDS; POACEAE; GROWTH; ADAPTATION; POLYPLOIDY; FIELD</t>
  </si>
  <si>
    <t>This review presents the results of multi-year efforts for the development and integral investigation of the collection of Deschampsia antarctica e. Desv. plants originated from the maritime Antarctic. To create the collection, we have optimized the procedures and conditions for germination of seeds and generation of aseptic plants in vitro together with their subsequent clonal propagation, long-term in vitro culture, and acclimatization of plants to pot culture, and finally produced fertile plants able to set viable seeds. The collection of plants cultivated in vitro and in pots is consisted of clones of 22 different genotypes originated from eight island populations from the Argentine Islands - Kyiv Peninsula region. Some of these clones have been successfully cultured for more than ten years and were found to be genetically stable over this period. The collection was shown to be heterogeneous in a number of variables. The morphological and anatomical characteristics of the plants, as well as the data of karyological, molecular cytogenetic, molecular genetics, and biochemical analysis are presented. The created collection of D. antarctica plants can provide a valuable plant material with well-studied characteristics grown under controlled conditions to perform experimental research on the mechanisms for plant adaptation and resistance to various abiotic factors of Antarctic environment. Furthermore, development of the collection and its comprehensive characterization form the basis for further biotechnological developments focused on the use of this Antarctic plant as a source of biologically active substances, which can potentially be used for therapeutic and prophylactic purposes.</t>
  </si>
  <si>
    <t>[Kunakh, Viktor; Twardovska, Maryana; Andreev, Igor; Navrotska, Daria; Poronnik, Oksana; Konvalyuk, Iryna; Myryuta, Ganna; Parnikoza, Ivan] Natl Acad Sci Ukraine, Inst Mol Biol &amp; Genet, Dept Cell Populat Genet, Acad 150 Zabolotnogo Str, UA-03143 Kiev, Ukraine; [Drobyk, Nadia] Ternopil Volodymyr Hnatiuk Natl Pedag Univ, M Kryvonosa Str 2, UA-46027 Ternopol, Ukraine; [Nuzhyna, Nataliia] Taras Shevchenko Natl Univ Kyiv, Inst Biol &amp; Med, Educ &amp; Sci Ctr, 1 Symona Petlyury Str, UA-01032 Kiev, Ukraine; [Ivannikov, Roman] Natl Acad Sci Ukraine, MM Gryshko Natl Bot Garden, 1 Timiryazevska Str, UA-01014 Kiev, Ukraine; [Parnikoza, Ivan] Minist Educ &amp; Sci Ukraine, State Inst Natl Antarctic Sci Ctr, 16 Shevchenko Ave, UA-01601 Kiev, Ukraine</t>
  </si>
  <si>
    <t>National Academy of Sciences Ukraine; Institute of Molecular Biology &amp; Genetics of NASU; Ministry of Education &amp; Science of Ukraine; Ternopil Volodymyr Hnatiuk National Pedagogical University; Ministry of Education &amp; Science of Ukraine; Taras Shevchenko National University of Kyiv; National Academy of Sciences Ukraine; M.G. Kholodny Institute of Botany, NAS of Ukraine; MM Gryshko National Botanical Garden, NAS of Ukraine; Ministry of Education &amp; Science of Ukraine; State Institution National Antarctic Scientific Center</t>
  </si>
  <si>
    <t>Twardovska, M (corresponding author), Natl Acad Sci Ukraine, Inst Mol Biol &amp; Genet, Dept Cell Populat Genet, Acad 150 Zabolotnogo Str, UA-03143 Kiev, Ukraine.</t>
  </si>
  <si>
    <t>maryana.tvardovska@gmail.com</t>
  </si>
  <si>
    <t>Twardovska, Maryana O./JZC-6453-2024; Poronnik, Oksana/HJI-1907-2023; Ivannikov, Roman/KEH-5471-2024; Nuzhyna, Nataliia/ISS-8147-2023; Andreev, Igor/G-6194-2016</t>
  </si>
  <si>
    <t>Twardovska, Maryana O./0000-0002-9132-1330; Nuzhyna, Nataliia/0000-0002-4404-4502; Andreev, Igor/0000-0002-3706-8514; Iryna, Konvalyuk/0000-0003-2283-6063; Navrotska, Daria/0000-0001-8405-4732</t>
  </si>
  <si>
    <t>State Targeted Scientific and Technical Program for Antarctic Research; National Antarctic Scientific Centre of the Ministry of Education and Science of Ukraine; National Academy of Sciences of Ukraine through the Targeted interdisciplinary program of scientific research: Genomic, molecular and cellular bases for the development of innovative biotechnologies (2020-2024); Biotechnology and Environmental Protection of University of Silesia in Katowice; [0120U103216]</t>
  </si>
  <si>
    <t>State Targeted Scientific and Technical Program for Antarctic Research; National Antarctic Scientific Centre of the Ministry of Education and Science of Ukraine; National Academy of Sciences of Ukraine through the Targeted interdisciplinary program of scientific research: Genomic, molecular and cellular bases for the development of innovative biotechnologies (2020-2024); Biotechnology and Environmental Protection of University of Silesia in Katowice;</t>
  </si>
  <si>
    <t>The studies were performed within the framework of the State Targeted Scientific and Technical Program for Antarctic Research for 2011-2023 with partial financial support from the National Antarctic Scientific Centre of the Ministry of Education and Science of Ukraine and from the National Academy of Sciences of Ukraine through the Targeted interdisciplinary program of scientific research: Genomic, molecular and cellular bases for the development of innovative biotechnologies (2020-2024) #0120U103216. We are thankful to Robert Hasterok, Magdalena Rojek-Jelonek, Alexander Betekhtin and other researchers from the Plant Cytogenetics and Molecular Biology Group at the Institute of Biology, Biotechnology and Environmental Protection of University of Silesia in Katowice (Poland) for their contribution to the molecular cytogenetic studies. We are very thankful to anonymous reviewers for the time and efforts dedicated to reviewing this paper and for providing valuable comments. The authors are deeply grateful to all the brave defenders of Ukraine whose heroic deeds against the Russian invasion made it possible to complete this paper.</t>
  </si>
  <si>
    <t>10.24425/ppr.2023.144537</t>
  </si>
  <si>
    <t>A7FM8</t>
  </si>
  <si>
    <t>WOS:000956740100003</t>
  </si>
  <si>
    <t>Halici, MG; Yigit, MK; Bölükbasi, E; Güllü, M</t>
  </si>
  <si>
    <t>Halici, Mehmet Gokhan; Yigit, Merve Kahraman; Bolukbasi, Ekrem; Gullu, Mithat</t>
  </si>
  <si>
    <t>New record and new species of lichenized fungal genus Candelariella M?ll. Arg. in Antarctica</t>
  </si>
  <si>
    <t>Antarctic; Antarctic Peninsula; biodiversity; lichenized fungi; Candelariales; mtSSU; nrITS; RPB1</t>
  </si>
  <si>
    <t>ASCOMYCOTA; PRIMERS; IDENTIFICATION; AMPLIFICATION</t>
  </si>
  <si>
    <t>Previously, only three Candelariella species were known from Antarctica: C. aurella, C. flava and C. vitellina. After morphologically and phylogenetically examining our collections on soil from James Ross Island, located in the north-east Antarctic Peninsula region, and Horseshoe Island, a small rocky island in Bourgeois Fjord, Marguerite Bay in the south-west Antarctic Peninsula, we describe the lichen species Candelariella ruzgarii as new to science. Sequences of the nrITS, mtSSU and RPB1 gene regions of the new species were amplified and revealed that the phylogenetic position of the new species is in the C. aurella group, which is characterised by 8-spored asci and +/- granular thalli. Candelariella ruzgarii is phylogenetically most closely related to C. aurella s. lat. but differs mainly in ecology as the new species grows on soil or on terricolous lichens, whereas the latter species grows on calcareous rocks, rarely on wood. Morphologically, C. ruzgarii is very similar to C. aggregata, a Northern Hemisphere species that grows on mosses and plant debris. Apart from the different phylogenetical position, C. ruzgarii has a thicker and sometimes slightly crenulated thalline margin and somewhat shorter ascospores than C. aggregata. We also report C. plumbea for the first time from Antarctica, a species with a thick and grey thallus that was previously known from Europe and Asia.</t>
  </si>
  <si>
    <t>[Halici, Mehmet Gokhan; Yigit, Merve Kahraman; Gullu, Mithat] Erciyes Univ, Fac Sci, Dept Biol, Kayseri, Turkiye; [Bolukbasi, Ekrem] Amasya Univ, Suluova Vocat Sch, Dept Environm Protect Technol, Amasya, Turkiye</t>
  </si>
  <si>
    <t>Erciyes University; Ministry of National Education - Turkey; Amasya University</t>
  </si>
  <si>
    <t>Halici, MG (corresponding author), Erciyes Univ, Fac Sci, Dept Biol, Kayseri, Turkiye.</t>
  </si>
  <si>
    <t>Erciyes University; Presidency of the Republic of Turkey; Ministry of Industry and Technology; TUBITAK [118Z587, 121Z771]; Turkish Academy of Sciences</t>
  </si>
  <si>
    <t>Erciyes University(Erciyes University); Presidency of the Republic of Turkey; Ministry of Industry and Technology; TUBITAK(Turkiye Bilimsel ve Teknolojik Arastirma Kurumu (TUBITAK)); Turkish Academy of Sciences(Turkish Academy of Sciences)</t>
  </si>
  <si>
    <t>The first author thanks to Erciyes University for their financial support to conduct the field work on James Ross Island, Antarctica, to ITU Polrec for their support, and to the J.G. Mendel station for infrastructure and facilities. This study was carried under the auspices of the Presidency of the Republic of Turkey, supported by the Ministry of Industry and Technology, and coordinated by TUBITAK MAM Polar Research Institute and financially supported by TUBITAK 118Z587 and 121Z771 coded projects. The studies of the first author are also supported by Turkish Academy of Sciences. Alan Fryday (USA) is thanked for improving the language of the paper. We thank two anonymous reviewers whose comments helped to improve this ms.</t>
  </si>
  <si>
    <t>10.24425/ppr.2022.140370</t>
  </si>
  <si>
    <t>WOS:000956740100004</t>
  </si>
  <si>
    <t>Palmer, JG; Turney, CSM; Thomas, ZA; Fenwick, P; Richardson, SJ; Wilmshurst, JM; McGlone, MS</t>
  </si>
  <si>
    <t>Palmer, Jonathan G.; Turney, Chris S. M.; Thomas, Zoe A.; Fenwick, Pavla; Richardson, Sarah J.; Wilmshurst, Janet M.; McGlone, Matt S.</t>
  </si>
  <si>
    <t>Growth rates and ages of some key tree species from subantarctic Auckland and Campbell Islands</t>
  </si>
  <si>
    <t>NEW ZEALAND JOURNAL OF ECOLOGY</t>
  </si>
  <si>
    <t>forest conservation; radiocarbon dating; remote islands; Southern Ocean; southern tree limit; World Heritage Area</t>
  </si>
  <si>
    <t>HOLOCENE VEGETATION; FUTURE; TRENDS</t>
  </si>
  <si>
    <t>Interspecific variation in tree growth rate and maximum age is central to understanding and predicting the dynamics offorest ecosystems. While there are abundant sources ofthis information for economically important New Zealand timber species and other common tree species, data for trees from subantarctic environments are almost entirely lacking. Here we present measurements of growth from Auckland and Campbell Islands for three species: Metrosideros umbellata (southern rata; Myrtaceae, n = 1 site), a canopy dominant; Dracophyllum sp. (inaka; Ericaceae, n = 5 sites), a widespread small tree; and Olearia lyallii (tupare, subantarctic tree daisy; Asteraceae, n = 2 sites), a species native to Snares Island that has naturalised on the Auckland Islands. Our data showed large differences in tree growth rates among and within species across islands. Growth rates varied eight-fold (i.e. from 0.34 mm yr-1 to 2.78 mm yr-1), being greatest in Olearia lyallii , least in Dracophyllum sp. and intermediate in Metrosideros umbellata. Comparisons of the five Dracophyllum sites suggest that these trees experience reduced growth rates and reach older ages when in competition with the bigger southern rata (M. umbellata) trees, possibly due to the larger southern rata providing protection from wind-throw. Measurements of resprouted southern rata trees showed a variable juvenile-phase radial growth rate, highlighting the need for caution in extrapolating the likely ages of bigger trees. Remeasured individuals of Olearia lyallii growing among taller southern rata trees showed slow growth rates compared to much faster rates seen in a nearby monospecific stand. Overall, the variability in growth seen by all three species illustrates that tree size cannot be used to indicate age in these subantarctic islands.</t>
  </si>
  <si>
    <t>[Palmer, Jonathan G.; Turney, Chris S. M.; Thomas, Zoe A.] Univ New South Wales, Chronos 14 Carbon Cycle Facil, Sydney, Australia; [Palmer, Jonathan G.; Turney, Chris S. M.; Thomas, Zoe A.] Univ New South Wales, Earth &amp; Sustainabil Sci Res Ctr, Sch Biol, Sydney, Australia; [Turney, Chris S. M.] Univ Technol Sydney, Div Res, Sydney, NSW 2007, Australia; [Fenwick, Pavla] Gondwana Tree Ring Lab, 9A Poulson St, Christchurch, New Zealand; [Richardson, Sarah J.; Wilmshurst, Janet M.; McGlone, Matt S.] Manaaki Whenua Landcare Res, Lincoln, New Zealand; [Wilmshurst, Janet M.] Univ Auckland, Sch Environm, Auckland, New Zealand</t>
  </si>
  <si>
    <t>University of New South Wales Sydney; University of New South Wales Sydney; University of Technology Sydney; Landcare Research - New Zealand; University of Auckland</t>
  </si>
  <si>
    <t>Palmer, JG (corresponding author), Univ New South Wales, Chronos 14 Carbon Cycle Facil, Sydney, Australia.;Palmer, JG (corresponding author), Univ New South Wales, Earth &amp; Sustainabil Sci Res Ctr, Sch Biol, Sydney, Australia.</t>
  </si>
  <si>
    <t>j.palmer@unsw.edu.au</t>
  </si>
  <si>
    <t>Turney, Chris/P-8701-2018; Richardson, Sarah/D-3353-2015; Wilmshurst, Janet/C-2209-2009; Thomas, Zoe/D-1656-2016; Palmer, Jonathan/J-7834-2012</t>
  </si>
  <si>
    <t>Turney, Chris/0000-0001-6733-0993; Richardson, Sarah/0000-0002-4097-0381; McGlone, Matt/0000-0002-8130-5724; Wilmshurst, Janet/0000-0002-4474-8569; Thomas, Zoe/0000-0002-2323-4366; Palmer, Jonathan/0000-0002-6665-4483</t>
  </si>
  <si>
    <t>Australasian Antarctic Expedition; Australian Research Council [CE170100015, FL100100195, FT120100004, DP130104156]; University of New South Wales; SSIF funding for Crown Research Institutes from the New Zealand Ministry of Business, Innovation and Employment?s Science and Innovation Group</t>
  </si>
  <si>
    <t>Australasian Antarctic Expedition; Australian Research Council(Australian Research Council); University of New South Wales; SSIF funding for Crown Research Institutes from the New Zealand Ministry of Business, Innovation and Employment?s Science and Innovation Group(New Zealand Ministry of Business, Innovation and Employment (MBIE))</t>
  </si>
  <si>
    <t>We wish to express our thanks to the captain and crew of the MV Akademik Shokalskiy and Henk Haazen and Kali Kahn on the Tiama for help in the field. This work was supported by the Australasian Antarctic Expedition 2013-2014, the Australian Research Council (CE170100015; FL100100195, FT120100004, and DP130104156) and the University of New South Wales. SJR, JMW and MSM were supported by SSIF funding for Crown Research Institutes from the New Zealand Ministry of Business, Innovation and Employment?s Science and Innovation Group. Research on the New Zealand subantarctic Auckland and Campbell Islands was undertaken under Department of Conservation National Authorisation Numbers 37687-FAU and 39761-RES.</t>
  </si>
  <si>
    <t>NEW ZEALAND ECOL SOC</t>
  </si>
  <si>
    <t>CHRISTCHURCH</t>
  </si>
  <si>
    <t>PO BOX 25178, CHRISTCHURCH, NEW ZEALAND</t>
  </si>
  <si>
    <t>0110-6465</t>
  </si>
  <si>
    <t>1177-7788</t>
  </si>
  <si>
    <t>NEW ZEAL J ECOL</t>
  </si>
  <si>
    <t>N. Z. J. Ecol.</t>
  </si>
  <si>
    <t>10.20417/nzjecol.47.3509</t>
  </si>
  <si>
    <t>8Z8MM</t>
  </si>
  <si>
    <t>gold, Green Accepted</t>
  </si>
  <si>
    <t>WOS:000933626000010</t>
  </si>
  <si>
    <t>Ruiz-Castillo, E; Janout, M; Hölemann, J; Kanzow, T; Schulz, K; Ivanov, V</t>
  </si>
  <si>
    <t>Ruiz-Castillo, Eugenio; Janout, Markus; Hoelemann, Jens; Kanzow, Torsten; Schulz, Kirstin; Ivanov, Vladimir</t>
  </si>
  <si>
    <t>Structure and Seasonal Variability of the Arctic Boundary Current North of Severnaya Zemlya</t>
  </si>
  <si>
    <t>Arctic Boundary Current; seasonal transport variability; water mass transport; along-slope current</t>
  </si>
  <si>
    <t>EASTERN EURASIAN BASIN; ATLANTIC WATER-FLOW; SEA-ICE LOSS; OCEAN; HEAT; BARENTS; HALOCLINE; CIRCULATION; TRANSPORTS; SVALBARD</t>
  </si>
  <si>
    <t>We assessed the spatial and temporal variability of the Arctic Boundary Current (ABC) using seven oceanographic moorings, deployed across the continental slope north of Severnaya Zemlya in 2015-2018. Transports and individual water masses were quantified based on temperature and salinity recorders and current profilers. Our results were compared with observations from the northeast Svalbard and the central Laptev Sea continental slopes to evaluate the hydrographic transformation along the ABC pathway. The highest velocities (&gt; 0.30 m s(-1)) of the ABC occurred at the upper continental slope and decreased offshore to below 0.03 m s(-1) in the deep basin. The ABC showed seasonal variability with velocities two times higher in winter than in summer. Compared to upstream conditions in Svalbard, water mass distribution changed significantly within 20 km of the shelf edge due to mixing with- and intrusion of shelf waters. The ABC transported 4.15 &amp; PLUSMN; 0.3 Sv in the depth range 50-1,000 m, where 0.88 &amp; PLUSMN; 0.1, 1.5 &amp; PLUSMN; 0.2, 0.61 &amp; PLUSMN; 0.1 and 1.0 &amp; PLUSMN; 0.15 Sv corresponded to Atlantic Water (AW), Dense Atlantic Water (DAW), Barents Sea Branch Water (BSBW) and Transformed Atlantic Water (TAW). 62-70% of transport was constrained to within 30-40 km of the shelf edge, and beyond 84 km, transport increases were estimated to be 0.54 Sv. Seasonality of TAW derived from local shelf-processes and advection of seasonal-variable Fram Strait waters, while BSBW transport variability was dominated by temperature changes with maximum transport coinciding with minimum temperatures. Further Barents Sea warming will likely reduce TAW and BSBW transport leading to warmer conditions along the ABC pathway.</t>
  </si>
  <si>
    <t>[Ruiz-Castillo, Eugenio; Janout, Markus; Hoelemann, Jens; Kanzow, Torsten] Alfred Wegener Inst, Helmholtz Zentrum Polar &amp; Meeresforsch, Bremerhaven, Germany; [Kanzow, Torsten] Univ Bremen, Dept Phys &amp; Elect Engn, Bremen, Germany; [Schulz, Kirstin] Univ Texas Austin, Oden Inst Computat Engn &amp; Sci, Austin, TX USA; [Ivanov, Vladimir] Lomonosov Moscow State Univ, Geog Fac, Oceanol Dept, Moscow, Russia; [Ivanov, Vladimir] Arctic &amp; Antarctic Res Inst, St Petersburg, Russia</t>
  </si>
  <si>
    <t>Helmholtz Association; Alfred Wegener Institute, Helmholtz Centre for Polar &amp; Marine Research; University of Bremen; University of Texas System; University of Texas Austin; Lomonosov Moscow State University; Arctic &amp; Antarctic Research Institute</t>
  </si>
  <si>
    <t>Ruiz-Castillo, E (corresponding author), Alfred Wegener Inst, Helmholtz Zentrum Polar &amp; Meeresforsch, Bremerhaven, Germany.</t>
  </si>
  <si>
    <t>eruizcas@awi.de</t>
  </si>
  <si>
    <t>amplification, ³ - Arctic/AAU-6640-2020; Ivanov, Vladimir/J-5979-2014; Hoelemann, Jens/N-3608-2016</t>
  </si>
  <si>
    <t>Ivanov, Vladimir/0000-0003-2569-6027; Janout, Markus/0000-0003-4908-2855; Schulz, Kirstin/0000-0001-8404-944X; Hoelemann, Jens/0000-0001-5102-4086; Ruiz-Castillo, Eugenio/0000-0002-9664-1114</t>
  </si>
  <si>
    <t>Project CATS-Synthesis - German Ministry of Education and Research (BMBF) [03F0831B]; EU [101003472]; Deutsche Forschungsgemeinschaft (DFG, German Research Foundation) through the Transregional Collaborative Research Centre TRR-172 ArctiC Amplification: Climate Relevant Atmospheric and SurfaCe Processes, and Feedback Mechanisms (AC)3 [268020496]; Projekt DEAL.</t>
  </si>
  <si>
    <t>Project CATS-Synthesis - German Ministry of Education and Research (BMBF)(Federal Ministry of Education &amp; Research (BMBF)); EU(European Union (EU)); Deutsche Forschungsgemeinschaft (DFG, German Research Foundation) through the Transregional Collaborative Research Centre TRR-172 ArctiC Amplification: Climate Relevant Atmospheric and SurfaCe Processes, and Feedback Mechanisms (AC)3(German Research Foundation (DFG)); Projekt DEAL.</t>
  </si>
  <si>
    <t>Eugenio Ruiz-Castillo was funded by the project CATS-Synthesis (Grant 03F0831B) granted by the German Ministry of Education and Research (BMBF). Additional funding came from the EU project PASSION (101003472). Vladimir Ivanov was partly funded by the RSF Grant 19-17-00110-P. The authors also gratefully acknowledge the funding by the Deutsche Forschungsgemeinschaft (DFG, German Research Foundation) through the Transregional Collaborative Research Centre TRR-172 ArctiC Amplification: Climate Relevant Atmospheric and SurfaCe Processes, and Feedback Mechanisms (AC)3 (Grant 268020496). The moorings representing the basis of the study were deployed during the NABOS expedition in 2015, and the authors acknowledge the strong support by Dr. Igor Polyakov at that time. The authors would like to thank the captains and crews of the vessel Akademik Tryoshnikov who were involved in both the deployment and the recovery of the moorings in the ice-covered areas north of the Arctic Cape in 2015 and 2018. Open Access funding enabled and organized by Projekt DEAL.</t>
  </si>
  <si>
    <t>e2022JC018677</t>
  </si>
  <si>
    <t>10.1029/2022JC018677</t>
  </si>
  <si>
    <t>9W5JB</t>
  </si>
  <si>
    <t>WOS:000949112300001</t>
  </si>
  <si>
    <t>Bakueva, YI; Kubryakova, EA; Kubryakov, AA</t>
  </si>
  <si>
    <t>Bakueva, Ya. I.; Kubryakova, E. A.; Kubryakov, A. A.</t>
  </si>
  <si>
    <t>Features of Seasonal Variability of Chlorophyll a Concentration in Different Regions of the Southern Atlantic Based on Satellite Data</t>
  </si>
  <si>
    <t>PHYSICAL OCEANOGRAPHY</t>
  </si>
  <si>
    <t>Southern Atlantic; concentration of chlorophyll a; MODIS-Aqua; phytoplankton; seasonal variability; Antarctic shelf; satellite data; Weddell Sea; South Georgia Islands; Antarctic Peninsula; shelf</t>
  </si>
  <si>
    <t>SURFACE CHLOROPHYLL; OCEAN; ALGORITHMS; SECTOR; WATER; APRIL</t>
  </si>
  <si>
    <t>Purpose. Based on the long-term satellite optical measurements, the work is to study seasonal variability of the chlorophyll a concentration on the sea surface in different regions of the Southern Atlantic, determine its spatial features, identify the areas where the values of the chlorophyll a concentration are maximum, and to analyze the reasons for its increase in these regions.Methods and Results. The data on the chlorophyll a concentration obtained from the MODIS-Aqua measurements for 2002-2019 in the region 30 degrees-80 degrees S, 70 degrees W - 25 degrees E were used. Spatial variability of the surface chlorophyll a concentration, its seasonal dynamics and the time of the seasonal peak occurrence were studied. Four zones of local maxima of the chlorophyll a concentration were identified (the Argentinean shelf, the islands of South Georgia, the area of water removal from the Antarctic Peninsula and the Antarctic shelf east of the Weddell Sea); for each of them the features of seasonal variability were analyzed in details.Conclusions. In agreement with the previous papers, the peak chlorophyll a concentration and the beginning of bloom in the regions under study are observed later than in the high latitudes: in the northern part - in November - December, and in the southern one - in January - February. The exception consists in the quite extensive areas to the east of the nutrients powerful sources (islands, shelf waters), where the time of occurrence of the chlorophyll a concentration peak values is related to the advection impact, that results in its arising with a delay which is required for transferring the nutrients by the currents. The basic factors promoting appearance of the areas with the increased chlorophyll a concentrations are the interaction between the topography features and the Antarctic Circumpolar Current fronts, and ice melting in the marginal zone.</t>
  </si>
  <si>
    <t>[Bakueva, Ya. I.; Kubryakova, E. A.; Kubryakov, A. A.] RAS, Marine Hydrophys Inst, Sevastopol, Russia</t>
  </si>
  <si>
    <t>Marine Hydrophysical Institute of RAS; Russian Academy of Sciences</t>
  </si>
  <si>
    <t>Bakueva, YI (corresponding author), RAS, Marine Hydrophys Inst, Sevastopol, Russia.</t>
  </si>
  <si>
    <t>yasya1egupova@gmail.com; elena.kubryakova@mhi-ras.ru; ybakueva@mhi-ras.ru</t>
  </si>
  <si>
    <t>Kubryakov, Arseny/F-8921-2014</t>
  </si>
  <si>
    <t>Russian Science Foundation [21-77-10059]</t>
  </si>
  <si>
    <t>Analysis of seasonal variability of chlorophyll a concentration and data processing were supported by the Russian Science Foundation grant 21-77-10059, data processing was carried out within the framework of state assignment FNNN-2021-0003, and features of spatial variability of chlorophyll a concentration were studied within the framework of state assignment FNNN-2021-0010.</t>
  </si>
  <si>
    <t>FEDERAL STATE BUDGET SCIENTIFIC INST, MARINE HYDROPHYSICAL INST</t>
  </si>
  <si>
    <t>SEVASTOPOL</t>
  </si>
  <si>
    <t>pitanskaya Str., 2, SEVASTOPOL, 299011, CRIMEA</t>
  </si>
  <si>
    <t>0928-5105</t>
  </si>
  <si>
    <t>1573-160X</t>
  </si>
  <si>
    <t>PHYS OCEANOGR</t>
  </si>
  <si>
    <t>Phys. Oceanogr.</t>
  </si>
  <si>
    <t>10.29039/1573-160X-2023-1-27-46</t>
  </si>
  <si>
    <t>9S5BA</t>
  </si>
  <si>
    <t>WOS:000946353800003</t>
  </si>
  <si>
    <t>Latushkin, AA; Ponomarev, VI; Salyuk, PA; Frey, DI; Lipinskaya, NA; Shkorba, SP</t>
  </si>
  <si>
    <t>Latushkin, A. A.; Ponomarev, V. I.; Salyuk, P. A.; Frey, D. I.; Lipinskaya, N. A.; Shkorba, S. P.</t>
  </si>
  <si>
    <t>Distribution of Optical and Hydrological Characteristics in the Antarctic Sound Based on the Measurements in January, 2022 in the 87th cruise of the R/V Akademik Mstislav Keldysh</t>
  </si>
  <si>
    <t>Antarctic Sound; mesoscale eddies; hydrooptics; hydrology; beam attenuation coefficient; chlorophyll a concentration; fluorescence; dissolved organic matter; remote sensing</t>
  </si>
  <si>
    <t>BRANSFIELD STRAIT; MESOSCALE CIRCULATION; EDDIES; TRANSPORT; EASTERN; WATER; EDDY; DEEP</t>
  </si>
  <si>
    <t>Purpose. The purpose of the work is to study the different-scale features of distribution of the hydrooptical and hydrological characteristics in the Antarctic Sound based on the contact and satellite measurements carried out in January, 2022 in the 87th cruise of the R/V Akademik Mstislav Keldysh. Methods and Results. The data of complex natural measurements performed at the oceanographic stations in the Antarctic Sound on January 27-28, 2022 in the 87th cruise of the R/V Akademik Mstislav Keldysh were used. Additionally, the satellite data were analyzed. Complex hydrophysical equipment permitted to obtain the vertical profiles of temperature, salinity, dissolved oxygen, chlorophyll a concentration, fluorescence intensity of colored dissolved organic matter, intensity of the beam attenuation coefficient at 660 nm and photosynthetically active radiation. Based on these data, the main features of mesoscale circulation within the cyclonic gyre over the deep-sea part in the southern Antarctic Sound were determined. The joint analysis of hydrooptical and hydrological characteristics, and satellite measurements in the Antarctic Sound obtained in course of the Antarctic expedition showed presence of a system of the alternating anticyclonic and cyclonic eddies in the area under study. It is also shown that in the ice drift area polluted by land soils or shelf bottom sediments, a zone of the increased turbidity arises that is related to the terrigenous suspension entering into the water during ice melting. Conclusions. The system of the different-scales eddies and currents in the Antarctic Sound contributes to the water exchange between the upper and deep layers of the strait, as well as between the Weddell Sea water spreading to the north-northwest along the slope of the strait basin adjacent to the shelf edge of the Antarctic Peninsula and the Bransfield Straight waters spreading along the slope of the islands' shelf which is the northeastern boundary of the strait.</t>
  </si>
  <si>
    <t>[Latushkin, A. A.] RAS, Marine Hydrophys Inst, 2 Kapitanskaya Str, Sevastopol 299011, Russia; [Ponomarev, V. I.] POI FEB RAS, Lab Expt Climatol, 43 Baltiyskaya Str, Vladivostok 690041, Russia; [Salyuk, P. A.] POI FEB RAS, Lab Satellite Oceanol &amp; Laser Probing, 43 Baltiyskaya Str, Vladivostok 690041, Russia; [Frey, D. I.] Russian Acad Sci, Shirshov Inst Oceanol, Lab Hydrol Proc, 36 Nakhimovskiy Prospect, R-117997 Moscow, Russia; [Lipinskaya, N. A.] POI FEB RAS, Lab Expt Climatol, 43 Baltiyskaya Str, Vladivostok 690041, Russia; [Shkorba, S. P.] POI FEB RAS, Lab Hydrol Proc &amp; Climate, 43 Baltiyskaya Str, Vladivostok 690041, Russia</t>
  </si>
  <si>
    <t>Marine Hydrophysical Institute of RAS; Russian Academy of Sciences; Ilichev Pacific Oceanological Institute; Ilichev Pacific Oceanological Institute; Russian Academy of Sciences; Shirshov Institute of Oceanology; Ilichev Pacific Oceanological Institute; Ilichev Pacific Oceanological Institute</t>
  </si>
  <si>
    <t>Latushkin, AA (corresponding author), RAS, Marine Hydrophys Inst, 2 Kapitanskaya Str, Sevastopol 299011, Russia.</t>
  </si>
  <si>
    <t>sevsalat@gmail.com; pavel.salyuk@gmail.com; dima.frey@gmail.com; ef.na.hc@gmail.com; podtel@poi.dvo.ru</t>
  </si>
  <si>
    <t>Salyuk, Pavel/E-8592-2014; Lipinskaya, Nadezhda/AGE-0831-2022</t>
  </si>
  <si>
    <t>Lipinskaya, Nadezhda/0000-0002-3177-4426</t>
  </si>
  <si>
    <t>RSF [MHI FNNN-2022-0001, FNNN-2021-0003, 122110700009-1, 121021500054-3]; RSF [22-77-10004]</t>
  </si>
  <si>
    <t>RSF(Russian Science Foundation (RSF)); RSF(Russian Science Foundation (RSF))</t>
  </si>
  <si>
    <t>Study of mesoscale eddies based on natural and remote measurements was supported within the framework of state assignments MHI FNNN-2022-0001, FNNN-2021-0003, and POI No. 122110700009-1, No. 121021500054-3. Processing and analysis of hydrophysical data were supported by the RSF grant 22-77-10004.</t>
  </si>
  <si>
    <t>10.22449/1573-160X-2023-1-47-61</t>
  </si>
  <si>
    <t>WOS:000946353800004</t>
  </si>
  <si>
    <t>Guo, XX; Zheng, J; Yang, XK; Ma, CY; Chen, G</t>
  </si>
  <si>
    <t>Guo, Xiaoxiao; Zheng, Jie; Yang, Xiaokun; Ma, Chunyong; Chen, Ge</t>
  </si>
  <si>
    <t>Major Migration Channels of Mesoscale Eddies in the Southern Ocean Derived From Satellite Altimetry</t>
  </si>
  <si>
    <t>DEEP</t>
  </si>
  <si>
    <t>The propagation pathways of mesoscale eddies have an essential impact on the meridional transport of freshwater, carbon, nutrients, and other tracers. However, existing methods have limitations in exactly expressing their major propagation pathways. To tackle this problem, a direction-based spatial clustering algorithm for the trajectory is proposed according to the partition-and-group framework. The idea is to extract the major eddy channels quantitatively, thus effectively representing the eddy trajectories with similar propagation pathways in a given spatial distance and direction, from the eddy identification and tracking datasets obtained by satellite altimetry spanning nearly 20 years in the Southern Ocean. The major eddy channels of the Southern Ocean are more geographically correlated rather than determined by polarity (anticyclonic eddies (AEs) and cyclonic eddies (CEs)). Importantly, the main axes of zonal propagation for eddy channels are extracted in this study. In the area north of 45 &amp; DEG;S (30 &amp; DEG;S-45 &amp; DEG;S), the zonal propagation (both for AEs and CEs) is intrinsically westward along &amp; SIM;42 &amp; DEG;S &amp; PLUSMN; 2 &amp; DEG; (main axes). While in those south of 45 &amp; DEG;S (45 &amp; DEG;S-80 &amp; DEG;S), it is reversed to eastward, propagating zonally along &amp; SIM;56 &amp; DEG;S &amp; PLUSMN; 2 &amp; DEG; (main axes) and obviously showing a gyre pattern. The bottom topography significantly effects on the propagation pathways of eddy channels in the Southern Ocean. Mainly, their meridional propagation pathways are pronouncedly steered by the shape of oceanic ridges around isobath -3900m (AEs for -3,877 m, CEs for -3,922 m). Plain Language Summary Existing clustering methods are difficult to accurately characterize eddy trajectories with large variations in the spatial propagation direction, especially in the Southern Ocean. To solve this problem, an improved spatial clustering algorithm is proposed in this paper to cluster high-density eddies with similar propagation pathways within a given spatial distance and direction. The major eddy channels of the Southern Ocean are extracted from 119,744 AEs and 121,930 CEs with a lifetime greater than 30 days in the trajectory datasets, respectively. Affected by the bottom topography and current fields, the eddy trajectories in the Southern Ocean cannot be clustered into a continuous propagation pathway whereas are dominated by several major channels. The pathways of channel propagation for AEs and CEs are approximately the same in the Southern Ocean. The westward channels propagate zonally along similar to 42 degrees S +/- 2 degrees, while eastward channels nearly advected along similar to 56 degrees S +/- 2 degrees in a gyre pattern. The meandering pathways of the eddy channels almost coincide with the bottom topography of the isobath around -3,900 m. In particular, due to the intense current and wind fields in the Antarctic Circumpolar Current, the eddy kinetic energy (EKE) on the eastward channels is slightly greater than that of the westward</t>
  </si>
  <si>
    <t>[Guo, Xiaoxiao] Nanjing Univ, Sch Geog &amp; Ocean Sci, Nanjing, Peoples R China; [Zheng, Jie; Ma, Chunyong; Chen, Ge] Ocean Univ China, Dept Marine Technol, Qingdao, Peoples R China; [Yang, Xiaokun] North China Sea Data &amp; Informat Serv, SOA, Qingdao, Peoples R China</t>
  </si>
  <si>
    <t>Nanjing University; Ocean University of China</t>
  </si>
  <si>
    <t>Ma, CY (corresponding author), Ocean Univ China, Dept Marine Technol, Qingdao, Peoples R China.</t>
  </si>
  <si>
    <t>chunyongma@ouc.edu.cn</t>
  </si>
  <si>
    <t>Guo, Xiaoxiao/0000-0002-0068-8074</t>
  </si>
  <si>
    <t>Marine S&amp;T Fund of Shandong Province for Pilot National Laboratory for Marine Science and Technology (Qingdao) [2022QNLM050301]; National Natural Science Foundation of China [41906155, 42030406, 42276179]; Strategic Priority Research Program of the Chinese Academy of Sciences [XDA19090141]; Laoshan Laboratory science and technology innovation project [LSKJ202201302, LSKJ202204301]</t>
  </si>
  <si>
    <t>Marine S&amp;T Fund of Shandong Province for Pilot National Laboratory for Marine Science and Technology (Qingdao); National Natural Science Foundation of China(National Natural Science Foundation of China (NSFC)); Strategic Priority Research Program of the Chinese Academy of Sciences(Chinese Academy of Sciences); Laoshan Laboratory science and technology innovation project</t>
  </si>
  <si>
    <t>This study was financially supported by the Marine S &amp; T Fund of Shandong Province for Pilot National Laboratory for Marine Science and Technology (Qingdao) (Grant 2022QNLM050301), the National Natural Science Foundation of China (Grant 41906155 and 42030406). This work was supported in part by the Strategic Priority Research Program of the Chinese Academy of Sciences under Grant XDA19090141; in part by the National Natural Science Foundation of China under Grant 42276179 and 42030406; and in part by the Laoshan Laboratory science and technology innovation projects under Grant LSKJ202201302 and LSKJ202204301. We are grateful to Prof. Yongxue Liu for the guidance provided in Response and to the editor and two reviewers for their constructive comments to improve the readability of the manuscript.</t>
  </si>
  <si>
    <t>e2022JC019096</t>
  </si>
  <si>
    <t>10.1029/2022JC019096</t>
  </si>
  <si>
    <t>9L6OJ</t>
  </si>
  <si>
    <t>WOS:000941667400001</t>
  </si>
  <si>
    <t>Zhou, H; Zhang, QY; Ma, Y; Li, S; Chen, YW</t>
  </si>
  <si>
    <t>Zhou, Hui; Zhang, Qianyin; Ma, Yue; Li, Song; Chen, Yuwei</t>
  </si>
  <si>
    <t>Radiometric Correction Model and Land Cover Classification of Snow-Covered Terrains for ICESat-2 Photon-Counting Lidar</t>
  </si>
  <si>
    <t>Photonics; Laser beams; Radiometry; Laser radar; Reflectivity; Measurement by laser beam; Optical surface waves; Dead time effect; ICESat-2; land cover classification; photon-counting lidar; radiometric correction; signal strength</t>
  </si>
  <si>
    <t>RANGING PERFORMANCE; ALTIMETER DATA; LASER; ICE; ICESAT/GLAS; HEIGHT; REFLECTANCE; TOPOGRAPHY; ALGORITHM; MERCURY</t>
  </si>
  <si>
    <t>The signal strength is a fundamental parameter in radiometric applications for satellite lidars. Different from full-waveform lidars, photon-counting lidars cannot record the returned signal strength but only respond to the presence of the photon event and may miss some returned photons due to the dead time effect, i.e., introduce radiometric distortion. Based on the lidar equation and the response mechanism of photon-counting detectors, we propose a radiometric correction model to remove the impact of the nonlinear response and dead time of detectors for the photon-counting lidar borne on ICESat-2. The returned signal photon number is corrected by the proposed model with respect to the photon event number per shot (PNPS) and surface slope derived from ATL03/ATL08 products. Then, the optical throughput calibration factor of ICESat-2 is obtained from ATL06 products over high Antarctic plateau where has given reflectance and clear atmosphere, which is generally equal to 0.52. The atmospheric attenuation induced by the molecular, cloud, and aerosol is calculated from ATL09 products. In addition, the corrected radiometric parameters including the calculated surface reflectance and apparent surface reflectance (ASR) are applied to classify land cover types along laser tracks over snow-covered terrains. The results indicate that the signal strength and calibration constant are reliable after corrections, but the atmospheric attenuation is sometimes inaccurate, which further influences the derived surface reflectance. In classifications, the overall accuracy and Kappa coefficient based on the corrected ASR can achieve the best classification results with 88.80% and 0.69. The proposed radiometric correction model is very essential to radiometric applications for photon-counting lidars such as ICESat-2, especially for data captured on ice and bare land with relatively high reflectance.</t>
  </si>
  <si>
    <t>[Zhou, Hui; Li, Song] Wuhan Univ, Sch Elect Informat, Wuhan 430072, Peoples R China; [Zhou, Hui; Li, Song] Wuhan Inst Quantum Technol, Wuhan 430206, Peoples R China; [Zhang, Qianyin; Ma, Yue] Wuhan Univ, Sch Elect Informat, Wuhan 430072, Peoples R China; [Chen, Yuwei] Finnish Geospatial Res Inst, Dept Remote Sensing &amp; Photogrammetry, Kyrkslatt, Finland</t>
  </si>
  <si>
    <t>Wuhan University; Wuhan University; The National Land Survey of Finland; Finnish Geospatial Research Institute (FGI)</t>
  </si>
  <si>
    <t>Ma, Y (corresponding author), Wuhan Univ, Sch Elect Informat, Wuhan 430072, Peoples R China.</t>
  </si>
  <si>
    <t>mayue_eis@whu.edu.cn</t>
  </si>
  <si>
    <t>Chen, Yuwei/AAW-7005-2021; ma, yue/GXE-9897-2022</t>
  </si>
  <si>
    <t>Chen, Yuwei/0000-0001-6955-4704; Zhang, Qianyin/0009-0003-9380-0284; ma, yue/0000-0003-1241-8650</t>
  </si>
  <si>
    <t>National Natural Science Foundation of China [41971302]; Academy of Finland [336145, 337656]; Strategic Research Council [314312]; Chinese Academy of Science [181811KYSB20160040, XDA22030202]; Shanghai Science and Technology Foundations [18590712600]; Jihua Laboratory [X190211TE190]; Huawei [9424877]; Academy of Finland (AKA) [336145] Funding Source: Academy of Finland (AKA)</t>
  </si>
  <si>
    <t>National Natural Science Foundation of China(National Natural Science Foundation of China (NSFC)); Academy of Finland(Research Council of Finland); Strategic Research Council(Strategic Research Council (SRC)); Chinese Academy of Science(Chinese Academy of Sciences); Shanghai Science and Technology Foundations; Jihua Laboratory; Huawei(Huawei Technologies); Academy of Finland (AKA)(Research Council of Finland)</t>
  </si>
  <si>
    <t>This work was supported in part by the National Natural Science Foundation of China under Grant 41971302, in part by the Academy of Finland Projects under Grant 336145 and Grant 337656, in part by the Strategic Research Council Project under Grant 314312, in part by the Chinese Academy of Science under Grant 181811KYSB20160040 and Grant XDA22030202, in part by the Shanghai Science and Technology Foundations under Grant 18590712600, in part by the Jihua Laboratory under Grant X190211TE190, and in part by the Huawei under Grant 9424877.</t>
  </si>
  <si>
    <t>10.1109/TGRS.2023.3237273</t>
  </si>
  <si>
    <t>8L6HA</t>
  </si>
  <si>
    <t>WOS:000923884400003</t>
  </si>
  <si>
    <t>Qu, FF; Shi, S; Sun, ZQ; Gong, W; Chen, BW; Xu, L; Chen, BW; Tang, XT</t>
  </si>
  <si>
    <t>Qu, Fangfang; Shi, Shuo; Sun, Zhongqiu; Gong, Wei; Chen, Biwu; Xu, Lu; Chen, Bowen; Tang, Xingtao</t>
  </si>
  <si>
    <t>Fusing Ultra-Hyperspectral and High Spatial Resolution Information for Land Cover Classification Based on AISAIBIS Sensor and Phase Camera</t>
  </si>
  <si>
    <t>Spatial resolution; Hyperspectral imaging; Cameras; Imaging; Image segmentation; Object recognition; Forestry; AisaIBIS sensor; classification; fusion; phase camera; ultrahyperspectral resolution</t>
  </si>
  <si>
    <t>IMAGE FUSION; SELECTION</t>
  </si>
  <si>
    <t>Hyperspectral imaging technology are widely used in vegetation, agriculture, and other fields, especially in land cover classification of complex scenes. Higher spectral resolution has become the focus of the development of hyperspectral imaging technology for classification. The advent of airborne AISAIBIS sensor reaches 0.11 nm ultrahyperspectral resolution. The ultrahyperspectral imagery shows great advantages in classification with its increasing spectral resolution. But its spatial resolution is limited because of the imaging mechanism, which brings great difficulties to the accurate extract of fine and regular objects. Therefore, we proposed an optimal fusion and classification strategy based on the complementary advantage information of ultrahyperspectral and high spatial resolution image. The fusion feasibility and effectiveness were verified by various fusion methods. And a quality evaluation system was developed to assess the quality of fusion results. Besides, a multiresolution segmentation optimization and classification evaluation scheme was proposed to comparatively analyze the effect of optimal fusion result on improving classification accuracy. Results show that the classification accuracy of the optimal fused image reaches 88.10%, and 7.11%-19.03% higher than that of original images. It fully validates the effectiveness of the strategy proposed in this article.</t>
  </si>
  <si>
    <t>[Qu, Fangfang; Shi, Shuo; Gong, Wei; Xu, Lu; Chen, Bowen; Tang, Xingtao] Wuhan Univ, State Key Lab Informat Engn Surveying Mapping &amp; Re, Wuhan 430079, Peoples R China; [Shi, Shuo; Gong, Wei] Wuhan Univ, Elect Informat Sch, Wuhan 430072, Peoples R China; [Shi, Shuo; Gong, Wei] Collaborat Innovat Ctr Geospatial Technol, Wuhan 430079, Peoples R China; [Sun, Zhongqiu] Natl Forestry &amp; Grassland Adm, Acad Inventory &amp; Planning, Beijing 100714, Peoples R China; [Chen, Biwu] Shanghai Radio Equipment Res Inst, Shanghai 201109, Peoples R China; [Chen, Bowen] Wuhan Univ, Chinese Antarctic Ctr Surveying &amp; Mapping, Wuhan 430079, Peoples R China</t>
  </si>
  <si>
    <t>Wuhan University; Wuhan University; Wuhan University</t>
  </si>
  <si>
    <t>Shi, S (corresponding author), Wuhan Univ, State Key Lab Informat Engn Surveying Mapping &amp; Re, Wuhan 430079, Peoples R China.;Shi, S (corresponding author), Wuhan Univ, Elect Informat Sch, Wuhan 430072, Peoples R China.;Shi, S (corresponding author), Collaborat Innovat Ctr Geospatial Technol, Wuhan 430079, Peoples R China.</t>
  </si>
  <si>
    <t>fangqu@whu.edu.cn; shishuo@whu.edu.cn; sunzhongqiu@afip.com.cn; weigong@whu.edu.cn; cbw_think@whu.edu.cn; xuluwh@whu.edu.cn; chenbowen1204@whu.edu.cn; whutxt@whu.edu.cn</t>
  </si>
  <si>
    <t>Chen, Bowen/KFB-3986-2024</t>
  </si>
  <si>
    <t>National Natural Science Foundation of China [41971307]; Fundamental Research Funds for the Central Universities [2042022kf1200]; Wuhan University Specific Fund for Major School-level Internationalization Initiatives; LIESMARS Special Research Funding</t>
  </si>
  <si>
    <t>National Natural Science Foundation of China(National Natural Science Foundation of China (NSFC)); Fundamental Research Funds for the Central Universities(Fundamental Research Funds for the Central Universities); Wuhan University Specific Fund for Major School-level Internationalization Initiatives; LIESMARS Special Research Funding</t>
  </si>
  <si>
    <t>This work was supported in part by the National Natural Science Foundation of China under Grant 41971307, in part by the Fundamental Research Funds for the Central Universities under Grant 2042022kf1200, in part by the Wuhan University Specific Fund for Major School-level Internationalization Initiatives, and in part by LIESMARS Special Research Funding.</t>
  </si>
  <si>
    <t>10.1109/JSTARS.2023.3238467</t>
  </si>
  <si>
    <t>9B8SR</t>
  </si>
  <si>
    <t>WOS:000935002300006</t>
  </si>
  <si>
    <t>Wang, YK; Yao, YB; Kong, J; Shan, LL</t>
  </si>
  <si>
    <t>Wang, Youkun; Yao, Yibin; Kong, Jian; Shan, Lulu</t>
  </si>
  <si>
    <t>Ionospheric Disturbances Triggered by China's Long March 2D Rocket</t>
  </si>
  <si>
    <t>Rockets; Global navigation satellite system; Trajectory; Satellites; Shock waves; Indexes; Global Positioning System; Ionospheric depletion; ionospheric disturbances; rocket; shock wave</t>
  </si>
  <si>
    <t>SPACE-SHUTTLE; GPS NETWORK; NORTH-KOREA; LAUNCH; SHOCK; PERTURBATIONS; HOLE</t>
  </si>
  <si>
    <t>Using the data of 382 ground global navigation satellite system (GNSS) network stations in Western China, we studied and analyzed the ionospheric disturbances triggered by the Long March  2D rocket launch in Jiuquan, China on December 3, 2017. As compared with previous research, a higher sampling resolution for GNSS data (with a frequency of 1 Hz) was used to obtain more accurate occurrence times and propagation velocities of ionospheric disturbances. By using a method based on a quadratic function of time to fit a raw total electron content (TEC) series, a filtered TEC series was calculated using carrier observations, and a two-dimensional disturbances map was drawn. A new method, which accounts for the flight time of the rocket, was used to calculate the velocity of the shock wave. Ionospheric depletions and the shock wave were observed after the launch of the rocket. The depletion was observed within 100 to 1000 km south of the launch site along the rocket trajectory, which had a maximum amplitude of similar to 3.8 TEC units (TECU), reaching similar to 56% of the background TEC. A shock wave of V-shaped disturbances with amplitudes of similar to 0.67 TECU was detected on both sides of the rocket trajectory. The shock wave moved southeast at an average velocity of similar to 1861 m/s at a location 2200 km away from the launch site. Ionospheric disturbances with distances of more than similar to 3000 km from the launch site were also observed.</t>
  </si>
  <si>
    <t>[Wang, Youkun; Yao, Yibin; Shan, Lulu] Wuhan Univ, Sch Geodesy &amp; Geomatics, Wuhan 430072, Peoples R China; [Yao, Yibin; Kong, Jian] Luojia Lab, Wuhan 430079, Peoples R China; [Kong, Jian] Wuhan Univ, Chinese Antarctic Ctr Surveying &amp; Mapping, Wuhan 430079, Peoples R China</t>
  </si>
  <si>
    <t>Yao, YB (corresponding author), Wuhan Univ, Sch Geodesy &amp; Geomatics, Wuhan 430072, Peoples R China.;Yao, YB (corresponding author), Luojia Lab, Wuhan 430079, Peoples R China.</t>
  </si>
  <si>
    <t>beanflower@whu.edu.cn; ybyao@whu.edu.cn; jkong@whu.edu.cn; llshan@whu.edu.cn</t>
  </si>
  <si>
    <t>Yao, Yibin/AAM-9653-2020</t>
  </si>
  <si>
    <t>Yao, Yibin/0000-0002-7723-4601</t>
  </si>
  <si>
    <t>National Natural Science Foundation of China [41874033, 42142037, 41941010, 41721003]; General fund project of Hubei Province [2020CFB603]; Open Fund of Hubei Luojia Laboratory [220100046]</t>
  </si>
  <si>
    <t>National Natural Science Foundation of China(National Natural Science Foundation of China (NSFC)); General fund project of Hubei Province; Open Fund of Hubei Luojia Laboratory</t>
  </si>
  <si>
    <t>This work was supported by the National Natural Science Foundation of China under Grant 41874033, Grant 42142037, Grant 41941010,and Grant 41721003, in part by the General fund project of Hubei Province under Grant 2020CFB603, and in part by the project supported by the Open Fund of Hubei Luojia Laboratory under Grant 220100046</t>
  </si>
  <si>
    <t>10.1109/JSTARS.2023.3238867</t>
  </si>
  <si>
    <t>WOS:000935002300007</t>
  </si>
  <si>
    <t>Brenner, S; Thomson, J; Rainville, L; Torres, D; Doble, M; Wilkinson, J; Lee, CG</t>
  </si>
  <si>
    <t>Brenner, Samuel; Thomson, Jim; Rainville, Luc; Torres, Daniel; Doble, Martin; Wilkinson, Jeremy; Lee, Craig</t>
  </si>
  <si>
    <t>Acoustic Sensing of Ocean Mixed Layer Depth and Temperature from Uplooking ADCPs</t>
  </si>
  <si>
    <t>JOURNAL OF ATMOSPHERIC AND OCEANIC TECHNOLOGY</t>
  </si>
  <si>
    <t>Ocean; Arctic; Acoustic measurements/effects; In situ oceanic observations; Instrumentation/sensors</t>
  </si>
  <si>
    <t>BACKSCATTER DIURNAL SIGNAL; SEA-SURFACE TEMPERATURE; INVERTED ECHO SOUNDERS; ICE; WIND; IMPACT</t>
  </si>
  <si>
    <t>Properties of the surface mixed layer (ML) are critical for understanding and predicting atmosphere-sea ice-ocean interactions in the changing Arctic Ocean. Mooring measurements are typically unable to resolve the ML in the Arctic due to the need for instruments to remain below the surface to avoid contact with sea ice and icebergs. Here, we use measurements from a series of three moorings installed for one year in the Beaufort Sea to demonstrate that upward-looking acoustic Doppler current profilers (ADCPs) installed on subsurface floats can be used to estimate ML properties. A method is developed for combining measured peaks in acoustic backscatter and inertial shear from the ADCPs to estimate the ML depth. Additionally, we use an inverse sound speed model to infer the summer ML temperature based on offsets in ADCP altimeter distance during open-water periods. The ADCP estimates of ML depth and ML temperature compare favorably with measurements made from mooring temperature sensors, satellite SST, and from an autonomous Seaglider. These methods could be applied to other extant mooring records to recover additional information about ML property changes and variability.</t>
  </si>
  <si>
    <t>[Brenner, Samuel; Thomson, Jim; Rainville, Luc; Lee, Craig] Univ Washington, Appl Phys Lab, Seattle, WA 98195 USA; [Torres, Daniel] Woods Hole Oceanog Inst, Woods Hole, MA USA; [Doble, Martin] Polar Sci Ltd, Appin, Scotland; [Wilkinson, Jeremy] British Antarctic Survey, Cambridge, England</t>
  </si>
  <si>
    <t>University of Washington; University of Washington Seattle; Woods Hole Oceanographic Institution; UK Research &amp; Innovation (UKRI); Natural Environment Research Council (NERC); NERC British Antarctic Survey</t>
  </si>
  <si>
    <t>Brenner, S (corresponding author), Univ Washington, Appl Phys Lab, Seattle, WA 98195 USA.</t>
  </si>
  <si>
    <t>sdbrenner@brown.edu</t>
  </si>
  <si>
    <t>Doble, Martin J/A-9915-2012</t>
  </si>
  <si>
    <t>Brenner, Samuel/0000-0002-0826-1294</t>
  </si>
  <si>
    <t>Office of Naval Research as part of the Stratified Ocean Dynamics of the Arctic (SODA) research project [N00014-18-1-2687, N00014-16-1-2349, N00014-14-1-2377, N00014-16-1-2348, N00014-16-1-2528]; Office of Naval Research as part of the Stratified Ocean Dynamics of the Arctic (SODA) research project</t>
  </si>
  <si>
    <t>Office of Naval Research as part of the Stratified Ocean Dynamics of the Arctic (SODA) research project; Office of Naval Research as part of the Stratified Ocean Dynamics of the Arctic (SODA) research project</t>
  </si>
  <si>
    <t>This work was supported by the Office of Naval Research as part of the Stratified Ocean Dynamics of the Arctic (SODA) research project. Funding was provided by Grants N00014-18-1-2687 (Brenner), N00014-16-1-2349 (Thomson), N00014-14-1-2377 (Rainville and Lee), N00014-16-1-2348 (Doble), and N00014-16-1-2528 (Wilkinson). The authors thank Captain Greg Tlapa and Captain MaryEllen Durley, along with the rest of the command team and crew of USCGC Healy for operational support in 2018 and 2019. We would additionally like to thank Joe Talbert, Jason Gobat, Eric Boget, and Ben Jokinen (University of Washington, Applied Physics Laboratory) for mooring deployment/recovery and engineering support, and Lovro Valcic (Bruncin) for instrumentation engineering/design for the breakaway temperature chains.</t>
  </si>
  <si>
    <t>AMER METEOROLOGICAL SOC</t>
  </si>
  <si>
    <t>BOSTON</t>
  </si>
  <si>
    <t>45 BEACON ST, BOSTON, MA 02108-3693, UNITED STATES</t>
  </si>
  <si>
    <t>0739-0572</t>
  </si>
  <si>
    <t>1520-0426</t>
  </si>
  <si>
    <t>J ATMOS OCEAN TECH</t>
  </si>
  <si>
    <t>J. Atmos. Ocean. Technol.</t>
  </si>
  <si>
    <t>10.1175/JTECH-D-22-0055.1</t>
  </si>
  <si>
    <t>Engineering, Ocean; Meteorology &amp; Atmospheric Sciences</t>
  </si>
  <si>
    <t>Engineering; Meteorology &amp; Atmospheric Sciences</t>
  </si>
  <si>
    <t>8Y5WQ</t>
  </si>
  <si>
    <t>WOS:000932767800002</t>
  </si>
  <si>
    <t>Rousselet, L; Cessi, P; Mazloff, MR</t>
  </si>
  <si>
    <t>Rousselet, Louise; Cessi, Paola; Mazloff, Matthew R.</t>
  </si>
  <si>
    <t>What Controls the Partition between the Cold and Warm Routes in the Meridional Overturning Circulation?</t>
  </si>
  <si>
    <t>JOURNAL OF PHYSICAL OCEANOGRAPHY</t>
  </si>
  <si>
    <t>Diffusion; Lagrangian circulation; transport; Mass fluxes; Meridional overturning circulation; Streamfunction; Trajectories</t>
  </si>
  <si>
    <t>ISOPYCNIC EDDY DIFFUSIVITIES; AGULHAS LEAKAGE; SURFACE CIRCULATION; LAGRANGIAN STATISTICS; TRANSPORT VARIABILITY; GENERAL-CIRCULATION; VOLUME TRANSPORT; SOUTHERN-OCEAN; INDIAN-OCEAN; DRIFTER DATA</t>
  </si>
  <si>
    <t>The origins of the upper limb of the Atlantic meridional overturning circulation and the partition among different routes has been quantified with models at eddy-permitting and one eddy-resolving model or with low-resolution models assimilating observations. Here, a step toward bridging this gap is taken by using the Southern Ocean State Estimate (SOSE) at the eddy-permitting 1/6 degrees horizontal resolution to compute Lagrangian diagnostics from virtual particle trajectories advected between 6.7 degrees S and two meridional sections: one at Drake Passage (cold route) and the other from South Africa to Antarctica (warm route). Our results agree with the prevailing concept attributing the largest transport contribution to the warm route with 12.3 Sv (88%) (1 Sv equivalent to 10(6) m(3) s(-1)) compared with 1.7 Sv (12%) for the cold route. These results are compared with a similar Lagrangian experiment performed with the lower-resolution state estimate from Estimating the Circulation and Climate of the Ocean. Eulerian and Lagrangian means highlight an overall increase in the transport of the major South Atlantic currents with finer resolution, resulting in a relatively larger contribution from the cold route. In particular, the Malvinas Current to Antarctic Circumpolar Current (MC/ACC) ratio plays a more important role on the routes partition than the increased Agulhas Leakage. The relative influence of the mean flow versus the eddy flow on the routes partition is investigated by computing the mean and eddy kinetic energies and the Lagrangian-based eddy diffusivity. Lagrangian diffusivity estimates are largest in the Agulhas and Malvinas regions but advection by the mean flow dominates everywhere.</t>
  </si>
  <si>
    <t>[Rousselet, Louise; Cessi, Paola; Mazloff, Matthew R.] Univ Calif San Diego, Scripps Inst Oceanog, La Jolla, CA 92093 USA</t>
  </si>
  <si>
    <t>Rousselet, L (corresponding author), Univ Calif San Diego, Scripps Inst Oceanog, La Jolla, CA 92093 USA.</t>
  </si>
  <si>
    <t>lrousselet.pro@gmail.com</t>
  </si>
  <si>
    <t>National Aeronautics and Space Administration [80NSSC20K0796]; NSF [PLR-1425989, OPP-1936222, OCE-1924388]; NASA [80NSSC20K1076]</t>
  </si>
  <si>
    <t>National Aeronautics and Space Administration(National Aeronautics &amp; Space Administration (NASA)); NSF(National Science Foundation (NSF)); NASA(National Aeronautics &amp; Space Administration (NASA))</t>
  </si>
  <si>
    <t>The authors greatly thank N. Grima for his valuable expertise on the Ariane tool methodology and use. Support by the National Aeronautics and Space Administration under grant (80NSSC20K0796) is gratefully acknowledged. M. R. Mazloff acknowledges funding from NSF Awards PLR-1425989, OPP-1936222, and OCE-1924388 and NASA Award 80NSSC20K1076.</t>
  </si>
  <si>
    <t>0022-3670</t>
  </si>
  <si>
    <t>1520-0485</t>
  </si>
  <si>
    <t>J PHYS OCEANOGR</t>
  </si>
  <si>
    <t>J. Phys. Oceanogr.</t>
  </si>
  <si>
    <t>10.1175/JPO-D-21-0308.1</t>
  </si>
  <si>
    <t>8S9TV</t>
  </si>
  <si>
    <t>WOS:000928915500002</t>
  </si>
  <si>
    <t>Zhang, XH; Nikurashin, M; Pena-Molino, B; Rintoul, SR; Doddridge, E</t>
  </si>
  <si>
    <t>Zhang, Xihan; Nikurashin, Maxim; Pena-Molino, Beatriz; Rintoul, Stephen R.; Doddridge, Edward</t>
  </si>
  <si>
    <t>A Theory of Standing Meanders of the Antarctic Circumpolar Current and Their Response to Wind</t>
  </si>
  <si>
    <t>Southern Ocean; Barotropic flows; Bottom currents; Ocean dynamics; Rossby waves; Topographic effects</t>
  </si>
  <si>
    <t>MERIDIONAL OVERTURNING CIRCULATION; EDDY SATURATION; OCEAN; EDDIES; MODEL</t>
  </si>
  <si>
    <t>Standing meanders of the Antarctic Circumpolar Current (ACC) and associated eddy hotspots play an important role for the meridional heat flux and downward momentum transfer in the Southern Ocean. Previous modeling studies show that the vorticity balance characterizing standing meanders in the upper ocean is dominated by advection of relative vorticity and stretching. Through the adjustment of this vorticity balance, standing meanders have been suggested to provide a pathway for the transfer of the momentum input by the wind from the surface to the bottom, leading to stronger bottom flows and energy dissipation. However, the dynamics governing the meander formation and its adjustment to wind remain unclear. Here we develop a quasigeostrophic theory and combine it with a regional model of the Macquarie Ridge region and an idealized channel model to explore the dynamics and vertical structure of standing meanders of the ACC. The results show that the entire vertical structure of the meander, including its dynamics in the upper ocean, is controlled by the bottom flow interacting with topography. Based on our results, we suggest a novel mechanism for the response of the ACC to wind in which flexing of the meander, or change in its curvature, is a response to changes in the bottom (barotropic) flow. Stronger bottom flow in response to stronger wind interacts with topography and generates a larger-amplitude Rossby wave propagating into the upper ocean. The ACC mean shear aloft amplifies the Rossby wave and leads to a larger-amplitude meander in the upper ocean dominated by advection of relative vorticity and stretching.</t>
  </si>
  <si>
    <t>[Zhang, Xihan; Nikurashin, Maxim; Doddridge, Edward] Univ Tasmania, Inst Marine &amp; Antarctic Studies, Hobart, Tas, Australia; [Zhang, Xihan; Nikurashin, Maxim; Pena-Molino, Beatriz; Rintoul, Stephen R.; Doddridge, Edward] Univ Tasmania, Australian Antarctic Program Partnership, Hobart, Tas, Australia; [Zhang, Xihan; Nikurashin, Maxim] Univ New South Wales, ARC Ctr Excellence Climate Extremes, Sydney, NSW, Australia; [Rintoul, Stephen R.] Ctr Southern Hemisphere Oceans Res, Hobart, Tas, Australia; [Pena-Molino, Beatriz; Rintoul, Stephen R.] CSIRO Oceans &amp; Atmosphere, Hobart, Tas, Australia</t>
  </si>
  <si>
    <t>University of Tasmania; University of Tasmania; University of New South Wales Sydney; Commonwealth Scientific &amp; Industrial Research Organisation (CSIRO)</t>
  </si>
  <si>
    <t>Zhang, XH (corresponding author), Univ Tasmania, Inst Marine &amp; Antarctic Studies, Hobart, Tas, Australia.;Zhang, XH (corresponding author), Univ Tasmania, Australian Antarctic Program Partnership, Hobart, Tas, Australia.;Zhang, XH (corresponding author), Univ New South Wales, ARC Ctr Excellence Climate Extremes, Sydney, NSW, Australia.</t>
  </si>
  <si>
    <t>xihan.zhang@utas.edu.au</t>
  </si>
  <si>
    <t>Pena-Molino, Beatriz/IYK-0313-2023</t>
  </si>
  <si>
    <t>Pena-Molino, Beatriz/0000-0003-1587-1696; Nikurashin, Maxim/0000-0002-5714-8343; Doddridge, Edward/0000-0002-6097-5729</t>
  </si>
  <si>
    <t>Australian Government as part of the Antarctic Science Collaboration Initiative program; Australian Antarctic Program Partnership; Centre for Southern Hemisphere Oceans Research; CSIRO; Qingdao National Laboratory for Marine Science and Technology; University of Tasmania; University of New South Wales; NCI National Facility in Canberra</t>
  </si>
  <si>
    <t>Australian Government as part of the Antarctic Science Collaboration Initiative program(Australian Government); Australian Antarctic Program Partnership; Centre for Southern Hemisphere Oceans Research(Commonwealth Scientific &amp; Industrial Research Organisation (CSIRO)); CSIRO(Commonwealth Scientific &amp; Industrial Research Organisation (CSIRO)); Qingdao National Laboratory for Marine Science and Technology; University of Tasmania; University of New South Wales; NCI National Facility in Canberra</t>
  </si>
  <si>
    <t>This work was supported in part by funding from the Australian Government as part of the Antarctic Science Collaboration Initiative program, through the Australian Antarctic Program Partnership, and from the Centre for Southern Hemisphere Oceans Research, a partnership between CSIRO, the Qingdao National Laboratory for Marine Science and Technology, the University of Tasmania, and the University of New South Wales. This research was undertaken on the NCI National Facility in Canberra, Australia. The authors thank two anonymous reviewers for their constructive comments.</t>
  </si>
  <si>
    <t>10.1175/JPO-D-22-0086.1</t>
  </si>
  <si>
    <t>WOS:000928915500003</t>
  </si>
  <si>
    <t>Lyu, KW; Zhang, XB; Church, JA; Wu, QR; Fiedler, R; Dias, FB</t>
  </si>
  <si>
    <t>Lyu, Kewei; Zhang, Xuebin; Church, John A.; Wu, Quran; Fiedler, Russell; Dias, Fabio Boeira</t>
  </si>
  <si>
    <t>Roles of Surface Forcing in the Southern Ocean Temperature and Salinity Changes under Increasing CO2: Perspectives from Model Perturbation Experiments and a Theoretical Framework</t>
  </si>
  <si>
    <t>Southern Ocean; Ocean dynamics; Climate change; Salinity; Temperature; Ocean models</t>
  </si>
  <si>
    <t>COUPLED CLIMATE MODEL; WATER-MASS CHANGES; GLOBAL OCEAN; HEAT UPTAKE; SEA-LEVEL; HEMISPHERE OCEAN; PACIFIC; ICE; VARIABILITY; MECHANISMS</t>
  </si>
  <si>
    <t>A rapid warming and freshening of the Southern Ocean have been observed over the past several decades and are attributed to anthropogenic climate change. In this study, ocean model perturbation experiments are conducted to separate roles of individual surface forcing in the Southern Ocean temperature and salinity changes. Model-based findings are compared with results from a theoretical framework including three idealized processes defined on the theta-S diagram. Under the future scenario of CO2 doubling, the heat flux forcing dominates the large-scale warming, deepening of isopycnals, and spiciness changes along isopycnals, which can be captured by an idealized pure warming process to represent the subduction of surface heat uptake. The poleward-intensifying westerly winds account for 24% of the enhanced warming between 35 degrees and 50 degrees S and would have comparable contribution as the heat flux forcing after removing the global ocean warming effect. In contrast, the widespread freshening in the Southern Ocean driven by increased surface freshwater input is largely compensated by the wind-driven saltening. The response to freshwater forcing could not be approximated as a similar pure freshening process as the induced cooling and freshening have comparable effects on density. The wind-driven changes are primarily through the local heave of isopycnals, thus resembling an idealized pure heave process, but contain considerable spiciness signals especially in the midlatitude Southern Ocean, resulting from anomalous northward transport and subduction of heat and salt that are largely density-compensating. These distinct signatures of individual surface forcing help us to better understand observed and projected changes in the Southern Ocean. Significance StatementConsiderable changes including a rapid warming and freshening have been observed in the Southern Ocean as it absorbs most of the extra heat from the anthropogenic climate change, receives increased surface freshwater input, and experiences a poleward shift and intensification of the westerly winds. The purpose of this study is to distinguish different contributions from surface heat flux, freshwater flux, and wind forcing to the Southern Ocean temperature and salinity changes, based on ocean model experiments and three idealized processes from a theoretical framework. Our study reveals distinct signatures of individual surface forcing that help us to understand linkages between changes seen at the surface and in the interior Southern Ocean.</t>
  </si>
  <si>
    <t>[Lyu, Kewei; Zhang, Xuebin] CSIRO Oceans &amp; Atmosphere, Ctr Southern Hemisphere Oceans Res, Hobart, Tas, Australia; [Church, John A.] Univ New South Wales, Climate Change Res Ctr, Sydney, NSW, Australia; [Church, John A.] Univ New South Wales, Australian Ctr Excellence Antarctic Sci, Sydney, NSW, Australia; [Wu, Quran] Univ Reading, Natl Ctr Atmospher Sci, Reading, England; [Fiedler, Russell] CSIRO Oceans &amp; Atmosphere, Hobart, Tas, Australia; [Dias, Fabio Boeira] Univ Helsinki, Inst Atmospher &amp; Earth Sci Res, Helsinki, Finland; [Lyu, Kewei] Xiamen Univ, Coll Ocean &amp; Earth Sci, State Key Lab Marine Environm Sci, Xiamen, Peoples R China</t>
  </si>
  <si>
    <t>Commonwealth Scientific &amp; Industrial Research Organisation (CSIRO); University of New South Wales Sydney; University of New South Wales Sydney; University of Reading; UK Research &amp; Innovation (UKRI); Natural Environment Research Council (NERC); NERC National Centre for Atmospheric Science; Commonwealth Scientific &amp; Industrial Research Organisation (CSIRO); University of Helsinki; Xiamen University</t>
  </si>
  <si>
    <t>Lyu, KW; Zhang, XB (corresponding author), CSIRO Oceans &amp; Atmosphere, Ctr Southern Hemisphere Oceans Res, Hobart, Tas, Australia.</t>
  </si>
  <si>
    <t>kewei.lyu@xmu.edu.cn; xuebin.zhang@csiro.au</t>
  </si>
  <si>
    <t>Zhang, Xuebin/A-3405-2012; Church, John A/A-1541-2012</t>
  </si>
  <si>
    <t>Zhang, Xuebin/0000-0003-1731-3524; Church, John A/0000-0002-7037-8194; Boeira Dias, Fabio/0000-0002-2965-2120; Lyu, Kewei/0000-0002-2054-8917</t>
  </si>
  <si>
    <t>Centre for Southern Hemisphere Oceans Research - Qingdao National Laboratory for Marine Science and Technology (QNLM, China); Commonwealth Scientific and Industrial Research Organisation (CSIRO, Australia); Commonwealth Scientific and Industrial Research Organisation (CSIRO, Australia) [322432]; Australian Research Council's Discovery Project funding scheme [DP190101173]; Australian Research Council Special Research Initiative; Australian Centre for Excellence in Antarctic Science [DP190101173]; Australian Research Council's Discovery Project; Academy of Finland [SR200100008]; Australian Government</t>
  </si>
  <si>
    <t>Centre for Southern Hemisphere Oceans Research - Qingdao National Laboratory for Marine Science and Technology (QNLM, China); Commonwealth Scientific and Industrial Research Organisation (CSIRO, Australia); Commonwealth Scientific and Industrial Research Organisation (CSIRO, Australia); Australian Research Council's Discovery Project funding scheme(Australian Research Council); Australian Research Council Special Research Initiative(Australian Research Council); Australian Centre for Excellence in Antarctic Science; Australian Research Council's Discovery Project(Australian Research Council); Academy of Finland(Research Council of Finland); Australian Government(Australian Government)</t>
  </si>
  <si>
    <t>This study was supported by the Centre for Southern Hemisphere Oceans Research (CSHOR), jointly funded by the Qingdao National Laboratory for Marine Science and Technology (QNLM, China) and the Commonwealth Scientific and Industrial Research Organisation (CSIRO, Australia). J.A.C. was also funded by the Australian Research Council's Discovery Project funding scheme (project DP190101173) and the Australian Research Council Special Research Initiative, Australian Centre for Excellence in Antarctic Science (Project Number SR200100008). F.B.D. was funded by the Academy of Finland (Project 322432). This research was undertaken with the assistance of resources from the National Computational Infrastructure (NCI Australia), an NCRIS enabled capability supported by the Australian Government. The authors thank Trevor McDougall for helpful discussions, the Consortium for Ocean-Sea Ice Modelling in Australia (COSIMA; http://www.cosima.org.au) for making the ACCESS-OM2 suite of models available at https://github.com/COSIMA/access-om2, and the FAFMIP (http://fafmip.org/) for developing and coordinating model perturbation experiments.</t>
  </si>
  <si>
    <t>10.1175/JPO-D-22-0095.1</t>
  </si>
  <si>
    <t>8V6DT</t>
  </si>
  <si>
    <t>WOS:000930720100002</t>
  </si>
  <si>
    <t>Kim, S; Lee, H</t>
  </si>
  <si>
    <t>Kim, Seokyoung; Lee, Heoncheol</t>
  </si>
  <si>
    <t>Multi-Robot Task Scheduling with Ant Colony Optimization in Antarctic Environments</t>
  </si>
  <si>
    <t>SENSORS</t>
  </si>
  <si>
    <t>Antarctic environments; ant colony optimization; multi-robot task scheduling</t>
  </si>
  <si>
    <t>TRAVELING SALESMAN PROBLEM; FORMULATIONS; ALGORITHM; SYSTEM</t>
  </si>
  <si>
    <t>This paper addresses the problem of multi-robot task scheduling in Antarctic environments. There are various algorithms for multi-robot task scheduling, but there is a risk in robot operation when applied in Antarctic environments. This paper proposes a practical multi-robot scheduling method using ant colony optimization in Antarctic environments. The proposed method was tested in both simulated and real Antarctic environments, and it was analyzed and compared with other existing algorithms. The improved performance of the proposed method was verified by finding more efficiently scheduled multiple paths with lower costs than the other algorithms.</t>
  </si>
  <si>
    <t>[Kim, Seokyoung; Lee, Heoncheol] Kumoh Natl Inst Technol, Dept IT Convergence Engn, Gumi 39177, South Korea</t>
  </si>
  <si>
    <t>Kumoh National University Technology</t>
  </si>
  <si>
    <t>Lee, H (corresponding author), Kumoh Natl Inst Technol, Dept IT Convergence Engn, Gumi 39177, South Korea.</t>
  </si>
  <si>
    <t>hclee@kumoh.ac.kr</t>
  </si>
  <si>
    <t>Lee, Heoncheol/0000-0003-2962-3474</t>
  </si>
  <si>
    <t>Project titled 'Research on Co-Operative Mobile Robot System Technology for Polar Region Development and Exploration' - Korean Ministry of Trade, Industry [1525011633]; Ministry of the Interior and Safety, Republic of Korea [20014854]; National Research Foundation of Korea (NRF) - Korea government (MSIT) [2021R1F1A1064358]</t>
  </si>
  <si>
    <t>Project titled 'Research on Co-Operative Mobile Robot System Technology for Polar Region Development and Exploration' - Korean Ministry of Trade, Industry; Ministry of the Interior and Safety, Republic of Korea(Ministry of the Interior &amp; Safety (MOIS), Republic of Korea); National Research Foundation of Korea (NRF) - Korea government (MSIT)(National Research Foundation of KoreaMinistry of Science, ICT &amp; Future Planning, Republic of KoreaMinistry of Science &amp; ICT (MSIT), Republic of Korea)</t>
  </si>
  <si>
    <t>This work was supported in part by the project titled 'Research on Co-Operative Mobile Robot System Technology for Polar Region Development and Exploration', funded by the Korean Ministry of Trade, Industry, and Energy (1525011633); in part by the Government-wide R&amp;D Fund for Infections Disease Research (GFID), funded by the Ministry of the Interior and Safety, Republic of Korea (grant number: 20014854); and in part by the National Research Foundation of Korea (NRF) grant funded by the Korea government (MSIT) (no. 2021R1F1A1064358).</t>
  </si>
  <si>
    <t>MDPI</t>
  </si>
  <si>
    <t>BASEL</t>
  </si>
  <si>
    <t>ST ALBAN-ANLAGE 66, CH-4052 BASEL, SWITZERLAND</t>
  </si>
  <si>
    <t>1424-8220</t>
  </si>
  <si>
    <t>SENSORS-BASEL</t>
  </si>
  <si>
    <t>Sensors</t>
  </si>
  <si>
    <t>10.3390/s23020751</t>
  </si>
  <si>
    <t>Chemistry, Analytical; Engineering, Electrical &amp; Electronic; Instruments &amp; Instrumentation</t>
  </si>
  <si>
    <t>Chemistry; Engineering; Instruments &amp; Instrumentation</t>
  </si>
  <si>
    <t>8R0YZ</t>
  </si>
  <si>
    <t>WOS:000927626700001</t>
  </si>
  <si>
    <t>Caillet, J; Jourdain, NC; Mathiot, P; Hellmer, HH; Mouginot, J</t>
  </si>
  <si>
    <t>Caillet, Justine; Jourdain, Nicolas C. C.; Mathiot, Pierre; Hellmer, Hartmut H. H.; Mouginot, Jeremie</t>
  </si>
  <si>
    <t>Drivers and Reversibility of Abrupt Ocean State Transitions in the Amundsen Sea, Antarctica</t>
  </si>
  <si>
    <t>ocean tipping point; ice shelf; Antarctic Ice Sheet; Amundsen Sea; modeling; variability</t>
  </si>
  <si>
    <t>PINE ISLAND GLACIER; SURFACE MASS-BALANCE; ICE-SHELF MELT; CONTINENTAL-SHELF; OCEANOGRAPHIC CONTROLS; SHEET; IMPACT; CIRCULATION; VARIABILITY; EMBAYMENT</t>
  </si>
  <si>
    <t>Ocean warming around Antarctica has the potential to trigger marine ice-sheet instabilities. It has been suggested that abrupt and irreversible cold-to-warm ocean tipping points may exist, with possible domino effect from ocean to ice-sheet tipping points. A 1/4 &amp; DEG; ocean model configuration of the Amundsen Sea sector is used to investigate the existence of ocean tipping points, their drivers, and their potential impact on ice-shelf basal melting. We apply idealized atmospheric perturbations of either heat, freshwater, or momentum fluxes, and we characterize the key physical processes at play in warm-to-cold and cold-to-warm climate transitions. Relatively weak perturbations of any of these fluxes are able to switch the Amundsen Sea to an intermittent or permanent cold state, that is, with ocean temperatures close to the surface freezing point and very low ice-shelf melt rate. The transitions are reversible, that is, canceling the atmospheric perturbation brings the ocean system back to its unperturbed state within a few decades. All the transitions are primarily driven by changes in surface buoyancy fluxes resulting from the freshwater flux perturbation or from modified net sea-ice production due to either heat flux or sea-ice advection anomalies. These changes affect the vertical ocean stratification over the continental shelf and thereby the eastward undercurrent at the shelf break, which both impact ice-shelf melting. As sea-ice induced deep convection is already quite limited in present-day conditions, surface buoyancy gain in a warmer climate has relatively little effect on deep ocean properties compared to colder climate conditions.</t>
  </si>
  <si>
    <t>[Caillet, Justine; Jourdain, Nicolas C. C.; Mathiot, Pierre; Mouginot, Jeremie] Univ Grenoble Alpes, CNRS, IRD, Grenoble INP,IGE, Grenoble, France; [Hellmer, Hartmut H. H.] Alfred Wegener Inst, Helmholtz Ctr Polar &amp; Marine Res, Bremerhaven, Germany</t>
  </si>
  <si>
    <t>Communaute Universite Grenoble Alpes; Institut National Polytechnique de Grenoble; Universite Grenoble Alpes (UGA); Centre National de la Recherche Scientifique (CNRS); Institut de Recherche pour le Developpement (IRD); Helmholtz Association; Alfred Wegener Institute, Helmholtz Centre for Polar &amp; Marine Research</t>
  </si>
  <si>
    <t>Caillet, J (corresponding author), Univ Grenoble Alpes, CNRS, IRD, Grenoble INP,IGE, Grenoble, France.</t>
  </si>
  <si>
    <t>justine.caillet@univ-grenoble-alpes.fr</t>
  </si>
  <si>
    <t>Mouginot, Jeremie/G-7045-2015; Jourdain, Nicolas/B-6899-2015</t>
  </si>
  <si>
    <t>Mouginot, Jeremie/0000-0001-9155-5455; Jourdain, Nicolas/0000-0002-1372-2235; Hellmer, Hartmut/0000-0002-9357-9853; Caillet, Justine/0000-0001-9435-7585</t>
  </si>
  <si>
    <t>European Union [820575]; French National Research Agency [ANR-19-CE01-0015]; Agence Nationale de la Recherche (ANR) [ANR-19-CE01-0015] Funding Source: Agence Nationale de la Recherche (ANR); H2020 Societal Challenges Programme [820575] Funding Source: H2020 Societal Challenges Programme</t>
  </si>
  <si>
    <t>European Union(European Union (EU)); French National Research Agency(Agence Nationale de la Recherche (ANR)); Agence Nationale de la Recherche (ANR)(Agence Nationale de la Recherche (ANR)); H2020 Societal Challenges Programme(Horizon 2020European Union (EU)H2020 Societal Challenges Programme)</t>
  </si>
  <si>
    <t>This study was funded by the European Union's Horizon 2020 research and innovation programme under Grant agreement 820575 (TiPACCs) and by the French National Research Agency under Grant ANR-19-CE01-0015 (EIS). This work was granted access to the HPC resources of CINES under the allocation A0100106035 attributed by GENCI. The authors would like to acknowledge Clara Burgard for her valuable advice on figures and presentations as well as Helene Seroussi for her constructive feedback as a member of the PhD committee.</t>
  </si>
  <si>
    <t>e2022JC018929</t>
  </si>
  <si>
    <t>10.1029/2022JC018929</t>
  </si>
  <si>
    <t>9A4KY</t>
  </si>
  <si>
    <t>WOS:000934029600001</t>
  </si>
  <si>
    <t>Gordon, AE; Cavallo, SM; Novak, AK</t>
  </si>
  <si>
    <t>Gordon, Andrea E. E.; Cavallo, Steven M. M.; Novak, Amanda K. K.</t>
  </si>
  <si>
    <t>Evaluating Common Characteristics of Antarctic Tropopause Polar Vortices</t>
  </si>
  <si>
    <t>JOURNAL OF THE ATMOSPHERIC SCIENCES</t>
  </si>
  <si>
    <t>Antarctica; Arctic; Dynamics; Potential vorticity; Tropopause; Climatology</t>
  </si>
  <si>
    <t>FLOW; MOUNTAINS; PRECIPITATION; CLIMATOLOGY; VARIABILITY; TOPOGRAPHY; WINDS; LAND</t>
  </si>
  <si>
    <t>Tropopause polar vortices (TPVs) are coherent circulations that occur over polar regions and can be identified by a local minimum in potential temperature and local maximum in potential vorticity. Numerous studies have focused on TPVs in the Arctic region; however, no previous studies have focused on the Antarctic. Given the role of TPVs in the Northern Hemisphere with surface cyclones and other extreme weather, and the role that surface cyclones can play on moisture transport and sea ice breakup, it is important to understand whether similar associations exist in the Southern Hemisphere. Here, characteristics of TPVs in the Antarctic are evaluated for the first time under the hypothesis that their characteristics do not significantly differ from those of the Northern Hemisphere. To improve understanding of Antarctic TPV characteristics, this study examines TPVs of the Southern Hemisphere and compares them to their Northern Hemisphere counterparts from 1979 to 2018 using ERA-Interim data. Common characteristics of TPVs including frequency, locations, lifetimes, strength, and seasonality are evaluated. Results indicate that topography correlates to the geographic distribution of TPVs and the locations of local maxima TPV occurrence, as observed in the Northern Hemisphere. Additionally, TPVs in the Southern Hemisphere exhibit seasonal variations for amplitude, lifetime, and minimum potential temperature. Southern Hemisphere TPVs share many similar characteristics to those observed in the Northern Hemisphere, including longer summer lifetimes. The association of Southern Hemisphere TPVs and surface cyclone frequency is explored, and it appears that TPVs have a precursory role to surface cyclones, as seen in the Northern Hemisphere.</t>
  </si>
  <si>
    <t>[Gordon, Andrea E. E.; Cavallo, Steven M. M.; Novak, Amanda K. K.] Univ Oklahoma, Sch Meteorol, Norman, OK 73019 USA</t>
  </si>
  <si>
    <t>University of Oklahoma System; University of Oklahoma - Norman</t>
  </si>
  <si>
    <t>Gordon, AE (corresponding author), Univ Oklahoma, Sch Meteorol, Norman, OK 73019 USA.</t>
  </si>
  <si>
    <t>agordon@ou.edu</t>
  </si>
  <si>
    <t>Gordon, Andrea/0000-0001-9002-6973; Cavallo, Steven/0000-0002-9032-2542</t>
  </si>
  <si>
    <t>Office of Naval Research Grant [N00014-18-1-2223]</t>
  </si>
  <si>
    <t>Office of Naval Research Grant(Office of Naval Research)</t>
  </si>
  <si>
    <t>This work was supported under Office of Naval Research Grant N00014-18-1-2223. We thank Jens Redemann, Connor Flynn, and two anonymous reviewers for their helpful comments and suggestions on the paper. We also thank Matthew Bray for providing insight into the presentation of TPV lifetime evolution.</t>
  </si>
  <si>
    <t>0022-4928</t>
  </si>
  <si>
    <t>1520-0469</t>
  </si>
  <si>
    <t>J ATMOS SCI</t>
  </si>
  <si>
    <t>J. Atmos. Sci.</t>
  </si>
  <si>
    <t>10.1175/JAS-D-22-0091.1</t>
  </si>
  <si>
    <t>8I6HJ</t>
  </si>
  <si>
    <t>WOS:000921832500015</t>
  </si>
  <si>
    <t>Santarelli, L; Bagiacchi, P; Benedetti, G; Di Mauro, D; Lepidi, S</t>
  </si>
  <si>
    <t>Santarelli, Lucia; Bagiacchi, Paolo; Benedetti, Giovanni; Di Mauro, Domenico; Lepidi, Stefania</t>
  </si>
  <si>
    <t>A New Installation for Geomagnetic Field Monitoring at Talos Dome, a Remote Antarctic Site Away from Permanent Observatories</t>
  </si>
  <si>
    <t>REMOTE SENSING</t>
  </si>
  <si>
    <t>geomagnetic observations in Antarctica; ULF geomagnetic fluctuations; stand-alone installation; remote harsh site; 80 degrees S geomagnetic parallel; low temperature</t>
  </si>
  <si>
    <t>POLAR-CAP; ULF WAVES; STATION; FLUCTUATIONS; PULSATIONS</t>
  </si>
  <si>
    <t>An automatic geomagnetic station for monitoring the Earth's magnetic field variations was installed in December 2020 at Talos Dome, a remote site on the Antarctic Plateau, about 300 km away from the permanent geomagnetic observatory at Mario Zucchelli Station (MZS). Designed and assembled at the laboratory of electronics of the Istituto Nazionale di Geofisica e Vulcanologia (INGV) in Rome, this autonomous station is formed by a vector magnetometer specifically manufactured by Lviv Institute (Ukraine) for very low temperatures and a low-power system supplied by batteries charged by a wind generator and solar panel. Data, sampled at 1 Hz, are locally stored and can be downloaded once a year during the Antarctic summer expeditions. The goal was to integrate observatory data for better monitoring the geomagnetic field from an uncovered Antarctic area. In fact, it is well known that the distribution of geomagnetic observatories strongly favors the northern hemisphere, and each new instrumental installation in Antarctica should be considered as a useful attempt to balance the geomagnetic monitoring in the two hemispheres. The achieved goal was to obtain a long data series, keeping the station working even during the austral winter when the temperature can reach -60 &amp; DEG;C; we recorded almost 11 months of data in one year and the station is still operating. Data from the new station, jointly with data from permanent observatories, improve the analysis of the magnetospheric dynamics and the ionosphere-magnetosphere coupling. Talos Dome, together with the Italian geomagnetic observatory at Mario Zucchelli Station and New Zealand geomagnetic observatory at Scott Base, constitutes a network along the 80 &amp; DEG;S geomagnetic parallel, which is interesting for studying the longitudinal propagation of geomagnetic signals of external origin. In this work we present the characteristics of the station and of the data it provides, with the aim of them for analysis in the framework of space weather.</t>
  </si>
  <si>
    <t>[Santarelli, Lucia; Lepidi, Stefania] Ist Nazl Geofis &amp; Vulcanol, Viale Crispi 43, I-67100 Laquila, Italy; [Bagiacchi, Paolo; Benedetti, Giovanni; Di Mauro, Domenico] Ist Nazl Geofis &amp; Vulcanol, via Vigna Murata 605, I-00143 Rome, Italy</t>
  </si>
  <si>
    <t>Istituto Nazionale Geofisica e Vulcanologia (INGV); Istituto Nazionale Geofisica e Vulcanologia (INGV)</t>
  </si>
  <si>
    <t>Santarelli, L (corresponding author), Ist Nazl Geofis &amp; Vulcanol, Viale Crispi 43, I-67100 Laquila, Italy.</t>
  </si>
  <si>
    <t>lucia.santarelli@ingv.it</t>
  </si>
  <si>
    <t>Di Mauro, Domenico/ABD-6663-2021</t>
  </si>
  <si>
    <t>Di Mauro, Domenico/0000-0003-1757-9816; Santarelli, Lucia/0000-0002-4134-1560; Lepidi, Stefania/0000-0002-5692-2560; Bagiacchi, Paolo/0000-0003-2457-6963</t>
  </si>
  <si>
    <t>Italian PNRA [PNRA16_00204]</t>
  </si>
  <si>
    <t>Italian PNRA(Ministry of Education, Universities and Research (MIUR))</t>
  </si>
  <si>
    <t>This research was funded by Italian PNRA, grant number PNRA16_00204.</t>
  </si>
  <si>
    <t>2072-4292</t>
  </si>
  <si>
    <t>REMOTE SENS-BASEL</t>
  </si>
  <si>
    <t>Remote Sens.</t>
  </si>
  <si>
    <t>10.3390/rs15020339</t>
  </si>
  <si>
    <t>Environmental Sciences; Geosciences, Multidisciplinary; Remote Sensing; Imaging Science &amp; Photographic Technology</t>
  </si>
  <si>
    <t>Environmental Sciences &amp; Ecology; Geology; Remote Sensing; Imaging Science &amp; Photographic Technology</t>
  </si>
  <si>
    <t>8W7GE</t>
  </si>
  <si>
    <t>WOS:000931495600001</t>
  </si>
  <si>
    <t>Lopes, F; Courtillot, V; Gibert, D; Mouël, JL</t>
  </si>
  <si>
    <t>Lopes, Fernando; Courtillot, Vincent; Gibert, Dominique; Le Mouel, Jean-Louis</t>
  </si>
  <si>
    <t>On the Annual and Semi-Annual Components of Variations in Extent of Arctic and Antarctic Sea-Ice</t>
  </si>
  <si>
    <t>GEOSCIENCES</t>
  </si>
  <si>
    <t>sea ice; seasonal forcing; Taylor-Couette flow</t>
  </si>
  <si>
    <t>CLIMATE OSCILLATIONS; GLOBAL TEMPERATURE; HARMONIC MODEL; SOLAR; DECOMPOSITION; VARIABILITY; SIGNATURE; ORIGIN</t>
  </si>
  <si>
    <t>In this paper, the 1978-2022 series of northern (NHSI) and southern (SHSI) hemisphere sea ice extent are submitted to singular spectral analysis (SSA). The trends are quasi-linear, decreasing for NHSI (by 58,300 km(2)/yr) and increasing for SHSI (by 15,400 km(2)/yr). The amplitude of annual variation in the Antarctic is double that in the Arctic. The semi-annual components are in quadrature. The first three oscillatory components of both NHSI and SHSI, at 1, 1/2, and 1/3 yr, account for more than 95% of the signal variance. The trends are respectively 21 (Antarctic) and 4 times (Arctic) less than the amplitudes of the annual components. We next analyze variations in pole position (PM for polar motion, coordinates m1, m2) and length of day (lod). Whereas the SSA of the lod is dominated by the same first three components as sea ice, the SSA of the PM contains only the 1-yr forced annual oscillation and the Chandler 1.2-yr component. The 1-yr component of NHSI is in phase with that of the lod and in phase opposition with m(1), while the reverse holds for the 1-yr component of SHSI. The semi-annual component appears in the lod and not in m1. The annual and semi-annual components of NHSI and SHSI are much larger than the trends, leading us to hypothesize that a geophysical or astronomical forcing might be preferable to the generally accepted forcing factors. The lack of modulation of the largest (SHSI) forced component does suggest an alternate mechanism. In Laplace's theory of gravitation, the torques exerted by the Moon, Sun, and planets play the leading role as the source of forcing (modulation), leading to changes in the inclination of the Earth's rotation axis and transferring stresses to the Earth's envelopes. Laplace assumes that all masses on and in the Earth are set in motion by astronomical forces; more than variations in eccentricity, it is variations in the inclination of the rotation axis that lead to the large annual components of melting and re-freezing of sea-ice.</t>
  </si>
  <si>
    <t>[Lopes, Fernando; Courtillot, Vincent; Le Mouel, Jean-Louis] Univ Paris, Inst Phys Globe Paris, F-75005 Paris, France; [Gibert, Dominique] Univ Lyon 1, LGL TPE, ENSL, CNRS,UMR 5276, F-69622 Villeurbanne, France</t>
  </si>
  <si>
    <t>Universite Paris Cite; Ecole Normale Superieure de Lyon (ENS de LYON); Centre National de la Recherche Scientifique (CNRS); CNRS - National Institute for Earth Sciences &amp; Astronomy (INSU); Universite Claude Bernard Lyon 1</t>
  </si>
  <si>
    <t>Lopes, F (corresponding author), Univ Paris, Inst Phys Globe Paris, F-75005 Paris, France.</t>
  </si>
  <si>
    <t>lopesf@ipgp.fr</t>
  </si>
  <si>
    <t>GIBERT, Dominique/C-7021-2011</t>
  </si>
  <si>
    <t>GIBERT, Dominique/0000-0002-7578-9259</t>
  </si>
  <si>
    <t>Universite de Paris, IPGP; LGL-TPE de Lyon</t>
  </si>
  <si>
    <t>This research was supported by the Universite de Paris, IPGP, and the LGL-TPE de Lyon.</t>
  </si>
  <si>
    <t>2076-3263</t>
  </si>
  <si>
    <t>Geosciences</t>
  </si>
  <si>
    <t>10.3390/geosciences13010021</t>
  </si>
  <si>
    <t>8F3GP</t>
  </si>
  <si>
    <t>WOS:000919554900001</t>
  </si>
  <si>
    <t>Torres-Benítez, A; Ortega-Valencia, JE; Sánchez, M; Hillmann-Eggers, M; Gómez-Serranillos, MP; Vargas-Arana, G; Simirgiotis, MJ</t>
  </si>
  <si>
    <t>Torres-Benitez, Alfredo; Ortega-Valencia, Jose Erick; Sanchez, Marta; Hillmann-Eggers, Mathias; Gomez-Serranillos, Maria Pilar; Vargas-Arana, Gabriel; Simirgiotis, Mario J.</t>
  </si>
  <si>
    <t>UHPLC-MS Chemical Fingerprinting and Antioxidant, Enzyme Inhibition, Anti-Inflammatory In Silico and Cytoprotective Activities of Cladonia chlorophaea and C. gracilis (Cladoniaceae) from Antarctica</t>
  </si>
  <si>
    <t>ANTIOXIDANTS</t>
  </si>
  <si>
    <t>Cladonia; secondary metabolites; antioxidant; enzyme inhibition; anti-inflammatory; cytoprotective; Antarctic lichens</t>
  </si>
  <si>
    <t>ANTIMICROBIAL PROPERTIES; LICHENS; METABOLITES; ASSAY</t>
  </si>
  <si>
    <t>The lichen species Cladonia chlorophaea and C. gracilis (Cladoniaceae) are widely distributed in the island archipelago of maritime Antarctica and represent a natural resource of scientific interest. In this work, the metabolomic characterization of the ethanolic extracts of these species and the determination of the antioxidant activity, enzymatic inhibition and anti-inflammatory potential of selected compounds on the 5-lipoxygenase enzyme by molecular docking and cytoprotective activity in the SH-SY5Y cell line were carried out. Nineteen compounds were identified by liquid chromatography coupled with quadrupole-time-of-flight mass spectrometry (UHPLC-ESI-QTOF-MS) in each of the species. The contents of phenolic compounds, antioxidant activity, the inhibition of cholinesterases (acetylcholinesterase and butyrylcholinesterase) and digestive enzymes (alpha-glucosidase and pancreatic lipase) were variable among species, with better results in C. chlorophaea. Molecular docking evidenced significant binding affinities of some compounds for the 5-lipoxygenase enzyme, together with outstanding pharmacokinetic properties. Both extracts were shown to promote cell viability and a reduction in reactive oxygen species production in an H2O2-induced oxidative stress model. This study contributes to the chemical knowledge of the Cladonia species and demonstrates the biological potential for the prevention and promising treatment of central nervous system pathologies, inflammatory disorders and metabolic alterations.</t>
  </si>
  <si>
    <t>[Torres-Benitez, Alfredo; Hillmann-Eggers, Mathias; Simirgiotis, Mario J.] Univ Austral Chile, Fac Ciencias, Inst Farm, Campus Isla Teja, Valdivia 5090000, Chile; [Ortega-Valencia, Jose Erick] Tecnol Nacl Mexico, Inst Tecnol Tlalnepantla, Ave Inst Tecnol,S-N Col Comun, Tlalnepantla De Baz 54070, Mexico; [Sanchez, Marta; Gomez-Serranillos, Maria Pilar] Univ Complutense Madrid, Fac Farm, Dept Farmacol Farmacognosia &amp; Bot, Plaza Ramon &amp; Cajal S-N, Madrid 28040, Spain; [Vargas-Arana, Gabriel] Inst Invest Amazonia Peruana, Lab Quim Prod Nat, Ave Abelardo Quinones, Iquitos 16001, Peru; [Vargas-Arana, Gabriel] Univ Nacl Amazonia Peruana, Fac Ind Alimentarias, Iquitos 16001, Peru</t>
  </si>
  <si>
    <t>Universidad Austral de Chile; Complutense University of Madrid; Universidad Nacional de la Amazonia Peruana</t>
  </si>
  <si>
    <t>Simirgiotis, MJ (corresponding author), Univ Austral Chile, Fac Ciencias, Inst Farm, Campus Isla Teja, Valdivia 5090000, Chile.;Vargas-Arana, G (corresponding author), Inst Invest Amazonia Peruana, Lab Quim Prod Nat, Ave Abelardo Quinones, Iquitos 16001, Peru.;Vargas-Arana, G (corresponding author), Univ Nacl Amazonia Peruana, Fac Ind Alimentarias, Iquitos 16001, Peru.</t>
  </si>
  <si>
    <t>gvargas@iiap.gob.pe; mario.simirgiotis@uach.cl</t>
  </si>
  <si>
    <t>Vargas-Arana, Gabriel/ACS-4051-2022; Simirgiotis Aguero, Mario/P-3871-2017</t>
  </si>
  <si>
    <t>Vargas-Arana, Gabriel/0000-0002-0808-4283; Simirgiotis Aguero, Mario/0000-0003-4552-3123; Gomez-Serranillos, M. Pilar/0000-0002-9178-3420; Sanchez Gomez-Serranillos, Marta/0000-0002-5050-9505; Torres-Benitez, Alfredo Jose/0000-0002-0881-8187</t>
  </si>
  <si>
    <t>[58]</t>
  </si>
  <si>
    <t>This research received funds from Instituto Antartico Chileno (grant INACH RT 16-17 to M.J.S.), the Spanish Ministry of Science, Innovation and Universities (PID2019-105312GB-100) (M.P.G-S.) and ANID PFCHA/Beca Doctorado Nacional/1741/2022 (A.T.-B.).</t>
  </si>
  <si>
    <t>2076-3921</t>
  </si>
  <si>
    <t>ANTIOXIDANTS-BASEL</t>
  </si>
  <si>
    <t>Antioxidants</t>
  </si>
  <si>
    <t>10.3390/antiox12010010</t>
  </si>
  <si>
    <t>Biochemistry &amp; Molecular Biology; Chemistry, Medicinal; Food Science &amp; Technology</t>
  </si>
  <si>
    <t>Biochemistry &amp; Molecular Biology; Pharmacology &amp; Pharmacy; Food Science &amp; Technology</t>
  </si>
  <si>
    <t>7X6FX</t>
  </si>
  <si>
    <t>WOS:000914297100001</t>
  </si>
  <si>
    <t>Harris, WS; Jackson, KH; Carlson, H; Hoem, N; Dominguez, TE; Burri, L</t>
  </si>
  <si>
    <t>Harris, William S. S.; Jackson, Kristina H. H.; Carlson, Heather; Hoem, Nils; Dominguez, Tonje E. E.; Burri, Lena</t>
  </si>
  <si>
    <t>Derivation of the Omega-3 Index from EPA and DHA Analysis of Dried Blood Spots from Dogs and Cats</t>
  </si>
  <si>
    <t>VETERINARY SCIENCES</t>
  </si>
  <si>
    <t>omega-3 index; eicosapentaenoic acid; docosahexaenoic acid; omega-3 fatty acids; erythrocytes; biomarkers; fish oil; dogs; cats</t>
  </si>
  <si>
    <t>N-3 FATTY-ACIDS; DIETARY SUPPLEMENTATION; DOCOSAHEXAENOIC ACID; RISK-FACTOR; FISH-OIL; PLASMA; OMEGA-3-FATTY-ACIDS; ERYTHROCYTES; TRANS</t>
  </si>
  <si>
    <t>Simple Summary Omega-3 fatty acids have known health benefits for humans, but the extent to which these benefits extend to animals is still being discovered. Any benefits derived depend on achieving specific blood omega-3 levels, and the metric often used in human studies is the Omega-3 Index (O3I). It is a valid measure of omega-3 status reflecting the eicosapentaenoic acid (EPA) and docosahexaenoic acid (DHA) content of red blood cell membranes. The O3I is often calculated from an analysis of whole blood dried on filter paper; and how to convert whole blood EPA + DHA into the O3I is well established in humans, but not yet for other species. This study analyzed blood samples from dogs and cats and developed equations to estimate the O3I in both of these species. Having a validated measure of omega-3 status in these animals will facilitate further research to define exactly what blood levels of omega-3 fatty acids are optimal for each species. These levels can then be used by veterinarians and pet owners alike to gauge the amount of supplemental EPA and DHA each animal needs to achieve an optimal O3I. The Omega-3 Index (O3I) is the red blood cell (RBC) eicosapentaenoic acid (EPA) plus docosahexaenoic acid (DHA) content expressed as a percentage of total RBC fatty acids. Although a validated biomarker of omega-3 status in humans, little is known about the O3I status of dogs and cats; species in which omega-3 fatty acids have known health benefits. The purpose of this study was to develop equations to predict the O3I in these species from a dried blood spot (DBS) analysis. Random blood samples from 33 dogs and 10 cats were obtained from a community veterinary clinic. DBS and RBC samples were analyzed for fatty acid composition. For both species, the R-2 between the DBS EPA + DHA value and the O3I was &gt;0.96 (p &lt; 0.001). The O3I was roughly 75% lower in dogs and cats than in humans. We conclude that the O3I can be estimated from a DBS sample, and the convenience of DBS collection should facilitate omega-3 research in these companion animals.</t>
  </si>
  <si>
    <t>[Harris, William S. S.] Fatty Acid Res Inst, Sioux Falls, SD 57106 USA; [Harris, William S. S.; Jackson, Kristina H. H.] Univ South Dakota, Sanford Sch Med, Dept Internal Med, Sioux Falls, SD 57105 USA; [Jackson, Kristina H. H.] OmegaQuant Analyt LLC, Sioux Falls, SD 57106 USA; [Carlson, Heather] All City Pet Care Vet Emergency Hosp, Sioux Falls, SD 57105 USA; [Hoem, Nils; Dominguez, Tonje E. E.; Burri, Lena] Aker BioMarine Antarctic AS, NO-1327 Lysaker, Norway</t>
  </si>
  <si>
    <t>University of South Dakota; OmegaQuant, LLC</t>
  </si>
  <si>
    <t>Harris, WS (corresponding author), Fatty Acid Res Inst, Sioux Falls, SD 57106 USA.;Harris, WS (corresponding author), Univ South Dakota, Sanford Sch Med, Dept Internal Med, Sioux Falls, SD 57105 USA.</t>
  </si>
  <si>
    <t>wsh@faresinst.com</t>
  </si>
  <si>
    <t>Harris, William/0000-0003-3042-9353; Hoem, Nils/0000-0002-3124-8290; , Lena/0000-0002-0099-504X; Dominguez, Tonje Elisabeth/0000-0001-7802-0309; Jackson, Kristina/0000-0003-3445-8370</t>
  </si>
  <si>
    <t>2306-7381</t>
  </si>
  <si>
    <t>VET SCI</t>
  </si>
  <si>
    <t>Vet. Sci.</t>
  </si>
  <si>
    <t>10.3390/vetsci10010013</t>
  </si>
  <si>
    <t>8Q4MC</t>
  </si>
  <si>
    <t>WOS:000927182200001</t>
  </si>
  <si>
    <t>Abd Latip, MA; Nordin, NFH; Alias, SA; Smykla, J; Yusof, F; Mohamad, MAN</t>
  </si>
  <si>
    <t>Abd Latip, Muhammad Asyraf; Nordin, Noor Faizul Hadry; Alias, Siti Aisyah; Smykla, Jerzy; Yusof, Faridah; Mohamad, Mohd Azrul Naim</t>
  </si>
  <si>
    <t>THE OPTIMIZATION OF GROWTH CONDITION OF THE BACTERIA PRODUCING COLD-ACTIVE PROTEOLYTIC ENZYME FROM THE ANTARCTIC REGION</t>
  </si>
  <si>
    <t>IIUM ENGINEERING JOURNAL</t>
  </si>
  <si>
    <t>cold-active protease; Antarctica; one factor at time; response surface method</t>
  </si>
  <si>
    <t>AT-A-TIME; RESPONSE-SURFACE METHODOLOGY; PURIFICATION; ALKALINE; PROTEASE; SOILS; SP.</t>
  </si>
  <si>
    <t>The growth conditions of bacteria producing cold-active protease isolated from an Antarctic sample were screened using one-factor-at-time (OFAT). Then, crude protease of the strain was extracted during the late logarithmic phase for enzymatic assay. A strain that showed the highest enzyme activity was selected for optimization via response surface method (RSM). The parameters studied were incubation temperature (4 - 36 degrees C), pH media (4 10) and NaCI concentration (0 8%). Based on the OFAT results, all eight strains showed the highest growth rate at 20 C, pH 7 and 4% (w/v) NaCl. The assay showed that the crude enzyme extracted from strain SC8 exhibited significantly higher activity (0.20 U and 0.37 U) than the positive control (0.11 U and 0.31 U) at -20 degrees C and 20 degrees C. RSM suggested that the optimized setting for growth of SC8 were at 20.5 C, pH 6.83 and 2.05% (w/v) of NaCI with the results of the bacterial growth rate value was 3.70 0.06 x 10(6) cells/hr. Optimal growth conditions of SC8 from this study are useful for the large-scale production of cold-active protease in future.</t>
  </si>
  <si>
    <t>[Abd Latip, Muhammad Asyraf] Fisheries Res Inst Langkawi, Mariculture Res Div, Kompleks Perikanan Bukit Malut, Langkawi 07000, Kedah, Malaysia; [Abd Latip, Muhammad Asyraf; Yusof, Faridah] Islamic Univ Malaysia, Biotechnol Engn Dept, Kulliyyah Engn Int, Jalan Gombak, Kuala Lumpur 53100, Malaysia; [Nordin, Noor Faizul Hadry] Int Islamic Univ Malaysia, Int Inst Halal Res &amp; Training INHART, Block A,Level 3,KICT Bldg,Jalan Gombak, Kuala Lumpur 53100, Malaysia; [Alias, Siti Aisyah] Inst Ocean &amp; Earth &amp; Sci, Inst Adv Studies Bldg, C308,Level 3,Block C, Kuala Lumpur 50603, Malaysia; [Smykla, Jerzy] Polish Acad Sci, Inst Nat Conservat, Al A Mickiewicza 33, PL-31120 Krakow, Poland; [Mohamad, Mohd Azrul Naim] Int Islamic Univ Malaysia, Kulliyyah Sci, Dept Biotechnol, Jalan Sultan Ahmad Shah, Kuantan 25200, Pahang, Malaysia; [Alias, Siti Aisyah] Natl Antarctic Res Ctr, Inst Adv Studies Bldg, B303,Level 3,Block C, Kuala Lumpur 50603, Malaysia</t>
  </si>
  <si>
    <t>International Islamic University Malaysia; Polish Academy of Sciences; International Islamic University Malaysia</t>
  </si>
  <si>
    <t>Nordin, NFH (corresponding author), Int Islamic Univ Malaysia, Int Inst Halal Res &amp; Training INHART, Block A,Level 3,KICT Bldg,Jalan Gombak, Kuala Lumpur 53100, Malaysia.</t>
  </si>
  <si>
    <t>faizul@iium.edu.my</t>
  </si>
  <si>
    <t>Naim, Mohd Azrul/D-2955-2015; FASc, SITI AISYAH A. HJ ALIAS/B-9785-2010; Smykla, Jerzy/N-3288-2014; Nordin, Noor Faizul Hadry/K-6296-2015</t>
  </si>
  <si>
    <t>Naim, Mohd Azrul/0000-0003-0361-6284; FASc, SITI AISYAH A. HJ ALIAS/0000-0002-6759-5745; Abd Latip, Muhammad Asyraf/0000-0002-8623-6473; Smykla, Jerzy/0000-0001-8228-6695; Nordin, Noor Faizul Hadry/0000-0002-2067-5692</t>
  </si>
  <si>
    <t>Yayasan Penyelidikan Antartika Sultan Mizan (2015); International Islamic University Malaysia [RIGS 16-332-0496]; Polish National Science Center [NN305376438]</t>
  </si>
  <si>
    <t>Yayasan Penyelidikan Antartika Sultan Mizan (2015); International Islamic University Malaysia; Polish National Science Center</t>
  </si>
  <si>
    <t>The research leading to these results received funding from Yayasan Penyelidikan Antartika Sultan Mizan (2015) and International Islamic University Malaysia under grant number RIGS 16-332-0496. The field survey and sampling were made possible with funding to J. Smykla from the Polish National Science Center within grant number NN305376438.</t>
  </si>
  <si>
    <t>KULLIYYAH ENGINEERING</t>
  </si>
  <si>
    <t>JALAN GOMBAK</t>
  </si>
  <si>
    <t>INT ISLAMIC UNIV MALAYSIA, JALAN GOMBAK, 53100, MALAYSIA</t>
  </si>
  <si>
    <t>1511-788X</t>
  </si>
  <si>
    <t>2289-7860</t>
  </si>
  <si>
    <t>IIUM ENG J</t>
  </si>
  <si>
    <t>IIUM Eng. J.</t>
  </si>
  <si>
    <t>10.31436/iiumej.v24i1.2447</t>
  </si>
  <si>
    <t>7S1ZC</t>
  </si>
  <si>
    <t>WOS:000910558100003</t>
  </si>
  <si>
    <t>Varela, C; Iliffe, TM; Walter, TC</t>
  </si>
  <si>
    <t>Varela, Carlos; Iliffe, Thomas M.; Walter, T. Chad</t>
  </si>
  <si>
    <t>NEW SPECIES OF EUPELTE (COPEPODA: HARPACTICOIDA: PELTIDIIDAE) FROM ANCHIALINE CAVES IN BERMUDA</t>
  </si>
  <si>
    <t>NOVITATES CARIBAEA</t>
  </si>
  <si>
    <t>subterranean estuary; Copepoda; stygiobiont; anchialine cave</t>
  </si>
  <si>
    <t>FAM NOV COPEPODA; ANCHIHALINE; WATERS</t>
  </si>
  <si>
    <t>A new anchialine species of Eupelte (Copepoda: Harpacticoida: Peltidiidae) is described from tidal pools and submerged passages in Bermuda caves. It is the sixth anchialine harpacticoid species known from Bermuda and the first anchialine member worldwide of the family Peltidiidae. The genus Eupelte currently contains 16 valid species, of which five have been found in the Atlantic Ocean, four in the Pacific Ocean, three in the Indian Ocean, two in the Mediterranean Sea, one in arctic waters and the last one in antarctic waters.</t>
  </si>
  <si>
    <t>[Varela, Carlos] Florida Int Univ, Inst Environm, Dept Biol Sci, Miami, FL 33199 USA; [Iliffe, Thomas M.] 8 Cadena Dr, Galveston, TX 77554 USA; [Walter, T. Chad] Smithsonian Inst, Museum Nat Hist, Washington, DC 20560 USA</t>
  </si>
  <si>
    <t>State University System of Florida; Florida International University; Smithsonian Institution; Smithsonian National Museum of Natural History</t>
  </si>
  <si>
    <t>Varela, C (corresponding author), Florida Int Univ, Inst Environm, Dept Biol Sci, Miami, FL 33199 USA.</t>
  </si>
  <si>
    <t>cvare015@fiu.edu; dr.tom.iliffe@gmail.com; walterc@si.edu</t>
  </si>
  <si>
    <t>MUSEO NACIONAL HISTORIA NATURAL-SANTO DOMINGO</t>
  </si>
  <si>
    <t>SANTO DOMINGO</t>
  </si>
  <si>
    <t>PLAZA DE LA CULTURA, SANTO DOMINGO, DOMINICAN REP</t>
  </si>
  <si>
    <t>2071-9841</t>
  </si>
  <si>
    <t>2079-0139</t>
  </si>
  <si>
    <t>NOVIT CARIBAEA</t>
  </si>
  <si>
    <t>Novitates Caribaea</t>
  </si>
  <si>
    <t>10.33800/nc.vi21.324</t>
  </si>
  <si>
    <t>Biology; Zoology</t>
  </si>
  <si>
    <t>Life Sciences &amp; Biomedicine - Other Topics; Zoology</t>
  </si>
  <si>
    <t>7S7PN</t>
  </si>
  <si>
    <t>WOS:000910943900002</t>
  </si>
  <si>
    <t>Hu, QW; Chen, XY; Bai, Y; He, XQ; Li, T; Pan, DL</t>
  </si>
  <si>
    <t>Hu, Qiwei; Chen, Xiaoyan; Bai, Yan; He, Xianqiang; Li, Teng; Pan, Delu</t>
  </si>
  <si>
    <t>Reconstruction of 3-D Ocean Chlorophyll a Structure in the Northern Indian Ocean Using Satellite and BGC-Argo Data</t>
  </si>
  <si>
    <t>3-D structure; biogeochemical Argo (BGC-Argo); chlorophyll a (Chla); northern Indian Ocean (NIO); remote sensing</t>
  </si>
  <si>
    <t>RANDOM FOREST; DRIVEN; BIOMASS; COLOR</t>
  </si>
  <si>
    <t>We present a novel method using satellite and biogeochemical Argo (BGC-Argo) data to retrieve the 3-D structure of chlorophyll alpha (Chla) in the northern Indian Ocean (NIO). The random forest (RF)-based method infers the vertical distribution of Chla using the near-surface and vertical features. The input variables can be divided into three categories: 1) near-surface features acquired by satellite products; 2) vertical physical properties obtained from temperature and salinity profiles collected by BGC-Argo floats; and 3) the temporal and spatial features, i.e., day of the year, longitude, and latitude. The RF-model is trained and evaluated using a large database including 9738 profiles of Chla and temperature-salinity properties measured by BGC-Argo floats from 2011 to 2021, with synchronous satellite-derived products. The retrieved Chla values and the validation dataset (including 1948 Chla profiles) agree fairly well, with R-2= 0.962 , root-mean-square error (RMSE) = 0.012, and mean absolute percent difference (MAPD) = 11.31%. The vertical Chla profile in the NIO retrieved from the RF-model is more accurate and robust compared to the operational Chla profile datasets derived from the neural network and numerical modeling. A major application of the RF-retrieved Chla profiles is to obtain the 3-D Chla structure with high vertical resolution. This will help to quantify phytoplankton productivity and carbon fluxes in the NIO more accurately. We expect that RF-model can be used to develop long-time series products to understand the variability of 3-D Chla in future climate change scenarios.</t>
  </si>
  <si>
    <t>[Hu, Qiwei; Chen, Xiaoyan; Bai, Yan; He, Xianqiang; Li, Teng; Pan, Delu] Minist Nat Resources, Inst Oceanog 2, State Key Lab Satellite Ocean Environm Dynam, Hangzhou 310012, Peoples R China; [Hu, Qiwei; Pan, Delu] Shanghai Jiao Tong Univ, Sch Oceanog, Shanghai 200240, Peoples R China; [He, Xianqiang] Donghai Lab, Zhoushan 316021, Peoples R China</t>
  </si>
  <si>
    <t>Ministry of Natural Resources of the People's Republic of China; Shanghai Jiao Tong University; Donghai Laboratory</t>
  </si>
  <si>
    <t>Chen, XY (corresponding author), Minist Nat Resources, Inst Oceanog 2, State Key Lab Satellite Ocean Environm Dynam, Hangzhou 310012, Peoples R China.</t>
  </si>
  <si>
    <t>huqiwei@sjtu.edu.cn; chenxy@sio.org.cn; baiyan@sio.org.cn; hexianqiang@sio.org.cn; liteng@sio.or.cn; pandelu@sio.org.cn</t>
  </si>
  <si>
    <t>Hu, Qiwei/HNI-7001-2023</t>
  </si>
  <si>
    <t>Hu, Qiwei/0000-0001-5882-1176</t>
  </si>
  <si>
    <t>National Natural Science Foundation of China [41825014, 42176177, 42006165, 42141002]; Impact and Response of Antarctic Seas to Climate Changes (IRASCC2020-2022) [01-01-03A]</t>
  </si>
  <si>
    <t>National Natural Science Foundation of China(National Natural Science Foundation of China (NSFC)); Impact and Response of Antarctic Seas to Climate Changes (IRASCC2020-2022)</t>
  </si>
  <si>
    <t>This work was supported in part by the National Natural Science Foundation of China under Grant 41825014,Grant 42176177, Grant 42006165, and Grant 42141002; and in part by the Impact and Response of Antarctic Seas to Climate Changes (IRASCC2020-2022) under Grant IRASCC2020-2022-No.01-01-03A.</t>
  </si>
  <si>
    <t>10.1109/TGRS.2022.3233385</t>
  </si>
  <si>
    <t>8D5EE</t>
  </si>
  <si>
    <t>WOS:000918315200009</t>
  </si>
  <si>
    <t>Madsen, JK; Ekawaty, R; Ananthanarayanan, A; Bailey, R; Carrella, E; Dorsett, C; Drexler, M; Mous, P; Muawanah, U; Saul, S</t>
  </si>
  <si>
    <t>Madsen, Jens Koed; Ekawaty, Rani; Ananthanarayanan, Aarthi; Bailey, Richard; Carrella, Ernesto; Dorsett, Chris; Drexler, Michael; Mous, Peter; Muawanah, Umi; Saul, Steven</t>
  </si>
  <si>
    <t>Understanding Fisher Behavior: The Case of Snapper Fishers in Indonesia</t>
  </si>
  <si>
    <t>MARINE RESOURCE ECONOMICS</t>
  </si>
  <si>
    <t>Article; Early Access</t>
  </si>
  <si>
    <t>Choice preferences; decision-making; economic factors; field study; fisher behavior; Indonesia; semi-structured interviews; sociocultural factors</t>
  </si>
  <si>
    <t>LOCATION CHOICE; MANAGEMENT; ECONOMICS; ECOLOGY</t>
  </si>
  <si>
    <t>It is important to incorporate fisher motivations and behavior into fisheries management models. Incorrect behavioral assumptions may yield ineffective incentives or interventions or even produce unintended consequences. To understand fisher behavior in a developing country, we surveyed 93 Indonesian snapper fishers. Results suggest they consider competing aspects such as income, personal reputation, and sociocultural norms when deciding where and what to fish; they update beliefs about location, bountifulness, and catchability of target fish stocks through direct observations, inferences over geographical similarities, and social interactions with other fishers, and they evaluate satisfaction economically as well as socially. Information sharing and social knowledge are likely port-specific, representing local sociocultural norms rather than being related to vessel size, target catch, or other demographics. The prevalence of information sharing and imitation patterns suggests that fisher decision-making in Indonesian snapper fisheries has a significant sociocultural component. We discuss implications for fisheries management models and for policy decisions.</t>
  </si>
  <si>
    <t>[Madsen, Jens Koed] London Sch Econ, Dept Psychol &amp; Behav Sci, London WC2A 2AE, England; [Madsen, Jens Koed; Bailey, Richard; Carrella, Ernesto] Univ Oxford, Sch Geog &amp; Environm, South Park Rd, Oxford OX1 3QY, England; [Madsen, Jens Koed; Bailey, Richard; Carrella, Ernesto] Univ Oxford, Oxford Martin Sch, 34 Broad St, Oxford OX1 3BD, England; [Ekawaty, Rani] Udayana Univ, Marine &amp; Fisheries Fac, Kuta Selatan, Indonesia; [Ekawaty, Rani] Univ Tasmania, Inst Marine &amp; Antarctic Studies, Hobart, Australia; [Ekawaty, Rani] CSIRO, Oceans &amp; Athmosphere, Hobart, Australia; [Ananthanarayanan, Aarthi; Dorsett, Chris; Drexler, Michael] Ocean Conservancy, 1300 19th St NW, Washington, DC 20036 USA; [Mous, Peter] Yayasan Konservasi Alam Nusantara, Sustainable Fisheries Program, Jakarta, Indonesia; [Muawanah, Umi] Minist Marine Affairs &amp; Fisheries, Res Ctr Socio Econ Marine Affairs &amp; Fisheries, Jln Pasir Putih 1, Jakarta, Indonesia; [Muawanah, Umi] Indonesia Res Union IRU, Jln Gatot SubrotoKav 10, Jakarta, Indonesia; [Muawanah, Umi] Natl Res &amp; Innovat Agcy, Jakarta, Indonesia; [Saul, Steven] Arizona State Univ, Tempe, AZ 85281 USA</t>
  </si>
  <si>
    <t>University of London; London School Economics &amp; Political Science; University of Oxford; University of Oxford; Universitas Udayana; University of Tasmania; Commonwealth Scientific &amp; Industrial Research Organisation (CSIRO); Ministry of Marine Affairs and Fisheries; Arizona State University; Arizona State University-Tempe</t>
  </si>
  <si>
    <t>Madsen, JK (corresponding author), London Sch Econ, Dept Psychol &amp; Behav Sci, London WC2A 2AE, England.;Madsen, JK (corresponding author), Univ Oxford, Sch Geog &amp; Environm, South Park Rd, Oxford OX1 3QY, England.;Madsen, JK (corresponding author), Univ Oxford, Oxford Martin Sch, 34 Broad St, Oxford OX1 3BD, England.</t>
  </si>
  <si>
    <t>j.madsen2@lse.ac.uk; Rani.Ekawaty@csiro.au; aarthi@oceanconservancy.org; richard.bailey@ouce.ox.ac.uk; ernesto.carrella@ouce.ox.ac.uk; cdorsett@oceanconservancy.org; mdrexler@oceanconservancy.org; pmous@tnc.org; umi.muawanah@gmail.com; Steven.Saul@asu.edu</t>
  </si>
  <si>
    <t>Madsen, Jens Koed/0000-0003-2405-8496</t>
  </si>
  <si>
    <t>UNIV CHICAGO PRESS</t>
  </si>
  <si>
    <t>CHICAGO</t>
  </si>
  <si>
    <t>1427 E 60TH ST, CHICAGO, IL 60637-2954 USA</t>
  </si>
  <si>
    <t>0738-1360</t>
  </si>
  <si>
    <t>2334-5985</t>
  </si>
  <si>
    <t>MAR RESOUR ECON</t>
  </si>
  <si>
    <t>Mar. Resour. Econ.</t>
  </si>
  <si>
    <t>2023 JAN 1</t>
  </si>
  <si>
    <t>10.1086/722725</t>
  </si>
  <si>
    <t>Economics; Environmental Studies; Fisheries</t>
  </si>
  <si>
    <t>Business &amp; Economics; Environmental Sciences &amp; Ecology; Fisheries</t>
  </si>
  <si>
    <t>8G2ON</t>
  </si>
  <si>
    <t>WOS:000920187300001</t>
  </si>
  <si>
    <t>Cappello, S; Corsi, I; Patania, S; Bergami, E; Azzaro, M; Mancuso, M; Genovese, M; Lunetta, A; Caruso, G</t>
  </si>
  <si>
    <t>Cappello, Simone; Corsi, Ilaria; Patania, Sabrina; Bergami, Elisa; Azzaro, Maurizio; Mancuso, Monique; Genovese, Maria; Lunetta, Alessia; Caruso, Gabriella</t>
  </si>
  <si>
    <t>Characterization of Five Psychrotolerant Alcanivorax spp. Strains Isolated from Antarctica</t>
  </si>
  <si>
    <t>MICROORGANISMS</t>
  </si>
  <si>
    <t>Alcanivorax spp; Antarctica; molecular analyses; physiological analyses; biodegradation</t>
  </si>
  <si>
    <t>SP NOV.; NEPTUNOMONAS-ANTARCTICA; PETROLEUM HYDROCARBON; DEGRADING BACTERIUM; GENOME SEQUENCE; GEN. NOV.; MARINE; OIL; BORKUMENSIS</t>
  </si>
  <si>
    <t>Five psychrotolerant Alcanivorax spp. strains were isolated from Antarctic coastal waters. Strains were screened for molecular and physiological properties and analyzed regarding their growth capacity. Partial 16S rDNA, alk-B1, and P450 gene sequencing was performed. Biolog EcoPlates and the API 20E test were used to evaluate metabolic and biochemical profiles. Bacterial growth in sodium acetate was determined at 4, 15, 20, and 25 degrees C to evaluate the optimal temperature. Furthermore, the ability of each strain to grow in a hydrocarbon mixture at 4 and 25 degrees C was assayed. Biosurfactant production tests (drop-collapse and oil spreading) and emulsification activity tests (E-24) were also performed. Concerning results of partial gene sequencing (16S rDNA, alk-B1, and P450), a high similarity of the isolates with the same genes isolated from other Alcanivorax spp. strains was observed. The metabolic profiles obtained by Biolog assays showed no significant differences in the isolates compared to the Alcanivorax borkumensis wild type. The results of biodegradative tests showed their capability to grow at different temperatures. All strains showed biosurfactant production and emulsification activity. Our findings underline the importance to proceed in the isolation and characterization of Antarctic hydrocarbon-degrading bacterial strains since their biotechnological and environmental applications could be useful even for pollution remediation in polar areas.</t>
  </si>
  <si>
    <t>[Cappello, Simone; Mancuso, Monique; Genovese, Maria; Lunetta, Alessia] Natl Res Council CNR IRBIM, Inst Biol Resources &amp; Marine Biotechnol, I-98122 Messina, Italy; [Corsi, Ilaria] Univ Siena, Dept Phys Earth &amp; Environm Sci, I-53100 Siena, Italy; [Patania, Sabrina] Univ Messina, PhD Sch Appl Biol &amp; Expt Med, I-98166 Messina, Italy; [Bergami, Elisa] Univ Modena &amp; Reggio Emilia, Dept Life Sci, I-41125 Modena, Italy; [Azzaro, Maurizio; Caruso, Gabriella] Natl Res Council CNR ISP, Inst Polar Sci, I-98122 Messina, Italy</t>
  </si>
  <si>
    <t>Consiglio Nazionale delle Ricerche (CNR); Istituto per le Risorse Biologiche Biotecnologie Marine (IRBIM-CNR); University of Siena; University of Messina; Universita di Modena e Reggio Emilia; Consiglio Nazionale delle Ricerche (CNR); Istituto di Scienze Polari (ISP-CNR)</t>
  </si>
  <si>
    <t>Caruso, G (corresponding author), Natl Res Council CNR ISP, Inst Polar Sci, I-98122 Messina, Italy.</t>
  </si>
  <si>
    <t>gabriella.caruso@cnr.it</t>
  </si>
  <si>
    <t>azzaro, Maurizio/AAE-6784-2019; Bergami, Elisa/JFJ-1703-2023; Corsi, Ilaria/D-3795-2012; Caruso, Gabriella/F-5450-2013</t>
  </si>
  <si>
    <t>azzaro, Maurizio/0000-0001-7885-2340; Bergami, Elisa/0000-0001-8149-9584; Corsi, Ilaria/0000-0002-1811-3041; Caruso, Gabriella/0000-0002-3819-5486; Cappello, Simone/0000-0002-5593-6004; Lunetta, Alessia/0000-0002-7066-9194</t>
  </si>
  <si>
    <t>Italian Ministry of Education, University and Research (MIUR); Italian Antarctic Research Programme (PNRA); project NANOPANTA (NANO-Polymers in the Antarctic marine environment and biota) [PNRA16_00075]</t>
  </si>
  <si>
    <t>Italian Ministry of Education, University and Research (MIUR)(Ministry of Education, Universities and Research (MIUR)); Italian Antarctic Research Programme (PNRA); project NANOPANTA (NANO-Polymers in the Antarctic marine environment and biota)</t>
  </si>
  <si>
    <t>This research was funded by grants from the Italian Ministry of Education, University and Research (MIUR), within the framework of the Italian Antarctic Research Programme (PNRA), project NANOPANTA (NANO-Polymers in the Antarctic marine environment and biota), grant agreement PNRA16_00075 B.</t>
  </si>
  <si>
    <t>2076-2607</t>
  </si>
  <si>
    <t>Microorganisms</t>
  </si>
  <si>
    <t>10.3390/microorganisms11010058</t>
  </si>
  <si>
    <t>8E3UB</t>
  </si>
  <si>
    <t>WOS:000918901500001</t>
  </si>
  <si>
    <t>Hao, T; Jing, LW; Liu, JS; Wang, DL; Feng, TT; Zhao, AG; Li, RX</t>
  </si>
  <si>
    <t>Hao, Tong; Jing, Liwen; Liu, Jiashu; Wang, Dailiang; Feng, Tiantian; Zhao, Aiguo; Li, Rongxing</t>
  </si>
  <si>
    <t>Automatic Detection of Subglacial Water Bodies in the AGAP Region, East Antarctica, Based on Short-Time Fourier Transform</t>
  </si>
  <si>
    <t>Antarctica; subglacial water body; airborne radar echo sounding; short-time Fourier transform</t>
  </si>
  <si>
    <t>ICE-SHEET; GREENLAND; LAKES; NETWORKS; GLACIER; ROUGHNESS; RECOVERY; BENEATH; SYSTEM; DOME</t>
  </si>
  <si>
    <t>Subglacial water bodies are critical components in analyzing the instability of the Antarctic ice sheet. Their detection and identification normally rely on geophysical and remote sensing methods such as airborne radar echo sounding (RES), ground seismic, and satellite/airborne altimetry and gravity surveys. In particular, RES surveys are able to detect basal terrain with a relatively high accuracy that can assist with the mapping of subglacial hydrology systems. Traditional RES processing methods for the identification of subglacial water bodies mostly rely on their brightness in radargrams and hydraulic flatness. In this study, we propose an automatic method with the main objective to differentiate the basal materials by quantitatively evaluating the shape of the A-scope waveform near the basal interface in RES radargrams, which has been seldom investigated. We develop an automatic algorithm mainly based on the traditional short-time Fourier transform (STFT) to quantify the shape of the A-scope waveform in radargrams. Specifically, with an appropriate window width applied on the main peak of each A-scope waveform in the RES radargram, STFT shows distinct and contrasting frequency responses at the ice-water interface and ice-rock interface, which is largely dependent upon their different reflection characteristics at the basal interface. We apply this method on 882 RES radargrams collected in the Antarctic's Gamburtsev Province (AGAP) in East Antarctica. There are 8822 identified A-scopes with the calculated detection value larger than the set threshold, out of the overall 1,515,065 valid A-scopes in these 882 RES radargrams. Although these identified A-scopes only takes 0.58% of the overall A-scope population, they show exceptionally continuous distribution to represent the subglacial water bodies. Through a comprehensive comparison with existing inventories of subglacial lakes, we successfully verify the validity and advantages of our method in identifying subglacial water bodies using the detection probability for other basal materials of theoretically the highest along-track resolution. The frequency signature obtained by the proposed joint time-frequency analysis provides a new corridor of investigation that can be further expanded to multivariable deep learning approaches for subglacial and englacial material characterization, as well as subglacial hydrology mapping.</t>
  </si>
  <si>
    <t>[Hao, Tong; Jing, Liwen; Wang, Dailiang; Feng, Tiantian; Zhao, Aiguo; Li, Rongxing] Tongji Univ, Coll Surveying &amp; Geo Informat, Shanghai 200092, Peoples R China; [Hao, Tong; Jing, Liwen; Wang, Dailiang; Feng, Tiantian; Zhao, Aiguo; Li, Rongxing] Tongji Univ, Ctr Spatial Informat Sci &amp; Sustainable Dev Applica, Shanghai 200092, Peoples R China; [Liu, Jiashu] Peking Univ, Ctr Data Sci, Beijing 100871, Peoples R China</t>
  </si>
  <si>
    <t>Tongji University; Tongji University; Peking University</t>
  </si>
  <si>
    <t>Feng, TT (corresponding author), Tongji Univ, Coll Surveying &amp; Geo Informat, Shanghai 200092, Peoples R China.;Feng, TT (corresponding author), Tongji Univ, Ctr Spatial Informat Sci &amp; Sustainable Dev Applica, Shanghai 200092, Peoples R China.</t>
  </si>
  <si>
    <t>fengtiantian@tongji.edu.cn</t>
  </si>
  <si>
    <t>Hao, Tong/0000-0003-0177-6006</t>
  </si>
  <si>
    <t>National Key Research &amp; Development Program of China [2017YFA0603100, 2021YFB3900105]</t>
  </si>
  <si>
    <t>National Key Research &amp; Development Program of China</t>
  </si>
  <si>
    <t>This research was funded by the National Key Research &amp; Development Program of China (Project No. 2017YFA0603100 and No. 2021YFB3900105).</t>
  </si>
  <si>
    <t>10.3390/rs15020363</t>
  </si>
  <si>
    <t>8D4WR</t>
  </si>
  <si>
    <t>WOS:000918295600001</t>
  </si>
  <si>
    <t>Wu, GC; Ferraccioli, F; Zhou, WN; Yuan, Y; Gao, JY; Tian, G</t>
  </si>
  <si>
    <t>Wu, Guochao; Ferraccioli, Fausto; Zhou, Wenna; Yuan, Yuan; Gao, Jinyao; Tian, Gang</t>
  </si>
  <si>
    <t>Tectonic Implications for the Gamburtsev Subglacial Mountains, East Antarctica, from Airborne Gravity and Magnetic Data</t>
  </si>
  <si>
    <t>Gamburtsev Subglacial Mountains; gravity and magnetic; crustal architecture; accretionary orogen</t>
  </si>
  <si>
    <t>PRINCE-CHARLES MOUNTAINS; ICE-SHEET; PRYDZ BAY; EVENTS; LITHOSPHERE; EVOLUTION; BENEATH; ORIGIN; PLATE; AGE</t>
  </si>
  <si>
    <t>The Gamburtsev Subglacial Mountains (GSMs) in the interior East Antarctic Craton are entirely buried under the massive East Antarctic ice sheet, with a similar to 50-60 km thick crust and similar to 200 km thick lithosphere, but little is known of the crustal structure and uplift mechanism. Here, we use airborne gravity and aeromagnetic anomalies for characteristic analysis and inverse calculations. The gravity and magnetic images show three distinct geophysical domains. Based on the gravity anomalies, a dense lower crustal root is modelled to underlie the GSMs, which may have formed by underplating during the continental collision of Antarctica and India. The high frequency linear magnetic characteristics parallel to the suture zone suggest that the upper crustal architecture is dominated by thrusts, consisting of a large transpressional fault system with a trailing contractional imbricate fan. A 2D model along the seismic profile is created to investigate the crustal architecture of the GSMs with the aid of depth to magnetic source estimates. Combined with the calculated crustal geometry and physical properties and the geological background of East Antarctica, a new evolutionary model is proposed, suggesting that the GSMs are underlain by part of a Pan-African age advancing accretionary orogen superimposed on Precambrian basement.</t>
  </si>
  <si>
    <t>[Wu, Guochao; Gao, Jinyao] Minist Nat Resources, Inst Oceanog 2, Hangzhou 310012, Peoples R China; [Wu, Guochao; Gao, Jinyao] Minist Nat Resources, Key Lab Submarine Geosci, Hangzhou 310012, Peoples R China; [Ferraccioli, Fausto] Ist Nazl Oceanog &amp; Geofis Sperimentale, I-34010 Sgonico, Italy; [Ferraccioli, Fausto] British Antarctic Survey, Cambridge CB3 OET, England; [Zhou, Wenna] Lanzhou Univ, Sch Earth Sci, Key Lab Mineral Resources Western China Gansu Prov, Lanzhou 730000, Peoples R China; [Yuan, Yuan] Sun Yat sen Univ, Sch Geospatial Engn &amp; Sci, Zhuhai 519082, Peoples R China; [Tian, Gang] Zhejiang Univ, Sch Earth Sci, Hangzhou 310027, Peoples R China</t>
  </si>
  <si>
    <t>Ministry of Natural Resources of the People's Republic of China; Ministry of Natural Resources of the People's Republic of China; Istituto Nazionale di Oceanografia e di Geofisica Sperimentale; UK Research &amp; Innovation (UKRI); Natural Environment Research Council (NERC); NERC British Antarctic Survey; Lanzhou University; Sun Yat Sen University; Zhejiang University</t>
  </si>
  <si>
    <t>Wu, GC (corresponding author), Minist Nat Resources, Inst Oceanog 2, Hangzhou 310012, Peoples R China.;Wu, GC (corresponding author), Minist Nat Resources, Key Lab Submarine Geosci, Hangzhou 310012, Peoples R China.</t>
  </si>
  <si>
    <t>wugc@sio.org.cn</t>
  </si>
  <si>
    <t>GAO, Jinyao/HHN-6642-2022</t>
  </si>
  <si>
    <t>Wu, Guochao/0000-0003-0053-4777</t>
  </si>
  <si>
    <t>10.3390/rs15020306</t>
  </si>
  <si>
    <t>8A6JZ</t>
  </si>
  <si>
    <t>WOS:000916344900001</t>
  </si>
  <si>
    <t>Benoit, JB; McCluney, KE; DeGennaro, MJ; Dow, JAT</t>
  </si>
  <si>
    <t>Benoit, Joshua B.; McCluney, Kevin E.; DeGennaro, Matthew J.; Dow, Julian A. T.</t>
  </si>
  <si>
    <t>Dehydration Dynamics in Terrestrial Arthropods: From Water Sensing to Trophic Interactions</t>
  </si>
  <si>
    <t>ANNUAL REVIEW OF ENTOMOLOGY</t>
  </si>
  <si>
    <t>ANTARCTIC MIDGE; DROSOPHILA-MELANOGASTER; DESICCATION RESISTANCE; MALPIGHIAN TUBULES; ANOPHELES-GAMBIAE; GENE-EXPRESSION; STRESS; TICK; TOLERANCE; MOSQUITO</t>
  </si>
  <si>
    <t>Since the transition from water to land, maintaining water balance has been a key challenge for terrestrial arthropods. We explore factors that allow terrestrial arthropods to survive within a variably dry world and how they shape ecological interactions. Detection of water and hydration is critical for maintaining water content. Efficient regulation of internal water content is accomplished by excretory and osmoregulatory systems that balance water intake and loss. Biochemical and physiological responses are necessary as water content declines to prevent and repair the damage that occurs during dehydration. Desiccation avoidance can occur seasonally or daily via a move to more favorable areas. Dehydration and its avoidance have ecological impacts that extend beyond a single species to alter trophic interactions. As climate changes, evolutionary and ecological processes will be critical to species survival during drought.</t>
  </si>
  <si>
    <t>[Benoit, Joshua B.] Univ Cincinnati, Dept Biol Sci, Cincinnati, OH 45221 USA; [McCluney, Kevin E.] Bowling Green State Univ, Dept Biol Sci, Bowling Green, OH USA; [DeGennaro, Matthew J.] Florida Int Univ, Dept Biol Sci, Miami, FL USA; [DeGennaro, Matthew J.] Biomol Sci Inst, Miami, FL USA; [Dow, Julian A. T.] Univ Glasgow, Inst Mol Cell &amp; Syst Biol, Glasgow, Lanark, Scotland</t>
  </si>
  <si>
    <t>University System of Ohio; University of Cincinnati; University System of Ohio; Bowling Green State University; State University System of Florida; Florida International University; University of Glasgow</t>
  </si>
  <si>
    <t>Benoit, JB (corresponding author), Univ Cincinnati, Dept Biol Sci, Cincinnati, OH 45221 USA.</t>
  </si>
  <si>
    <t>joshua.benoit@uc.edu; kmcclun@bgsu.edu; matthew.degennaro@fiu.edu; julian.dow@glasgow.ac.uk</t>
  </si>
  <si>
    <t>Dow, Julian/M-2371-2019</t>
  </si>
  <si>
    <t>Dow, Julian/0000-0002-9595-5146; McCluney, Kevin/0000-0002-3574-0354</t>
  </si>
  <si>
    <t>National Institute of Allergy and Infectious Diseases of the National Institutes of Health [R01AI148551]; National Science Foundation [DEB-1654417]; US Department of Agriculture National Institute of Food and Agriculture [2019-06138, 2018-67013]; UK BBSRC [BB/P024297/1, BB/V011154/1]; BBSRC [BB/V011154/1, BB/P024297/1, BB/W002442/1] Funding Source: UKRI</t>
  </si>
  <si>
    <t>National Institute of Allergy and Infectious Diseases of the National Institutes of Health(United States Department of Health &amp; Human ServicesNational Institutes of Health (NIH) - USANIH National Institute of Allergy &amp; Infectious Diseases (NIAID)); National Science Foundation(National Science Foundation (NSF)); US Department of Agriculture National Institute of Food and Agriculture(United States Department of Agriculture (USDA)); UK BBSRC(UK Research &amp; Innovation (UKRI)Biotechnology and Biological Sciences Research Council (BBSRC)); BBSRC(UK Research &amp; Innovation (UKRI)Biotechnology and Biological Sciences Research Council (BBSRC))</t>
  </si>
  <si>
    <t>The development of this review was partially supported by the National Institute of Allergy and Infectious Diseases of theNational Institutes of Health awardR01AI148551 (to J.B.B. andM.J.D.), National Science Foundation award DEB-1654417 (to J.B.B.), US Department of Agriculture National Institute of Food and Agriculture awards 2019-06138 (to K.E.M.) and 2018-67013 (to J.B.B.), and UK BBSRC grants BB/P024297/1 and BB/V011154/1 (to J.A.T.D.). We apologize for references that have been omitted due to space limitations.</t>
  </si>
  <si>
    <t>0066-4170</t>
  </si>
  <si>
    <t>1545-4487</t>
  </si>
  <si>
    <t>ANNU REV ENTOMOL</t>
  </si>
  <si>
    <t>Annu. Rev. Entomol.</t>
  </si>
  <si>
    <t>10.1146/annurev-ento-120120-091609</t>
  </si>
  <si>
    <t>Entomology</t>
  </si>
  <si>
    <t>7Z2WF</t>
  </si>
  <si>
    <t>hybrid, Green Accepted</t>
  </si>
  <si>
    <t>WOS:000915424200009</t>
  </si>
  <si>
    <t>Xu, SQ; Sun, P; Zhang, C; Li, JC; Xi, XY; Ma, SY; Zhang, WC; Tian, YJ</t>
  </si>
  <si>
    <t>Xu, Siqing; Sun, Peng; Zhang, Chi; Li, Jianchao; Xi, Xiaoyu; Ma, Shuyang; Zhang, Wenchao; Tian, Yongjun</t>
  </si>
  <si>
    <t>Age and Feeding Habits of Caml Grenadier Macrourus caml in Cosmonauts Sea</t>
  </si>
  <si>
    <t>FISHES</t>
  </si>
  <si>
    <t>Macrourus caml; age; stomach contents analysis; metabarcoding analysis</t>
  </si>
  <si>
    <t>STOMACH CONTENTS; ROSS SEA; GROWTH; DNA; IDENTIFICATION; WHITSONI; DIET; FISH; GADIFORMES; SIZE</t>
  </si>
  <si>
    <t>Macrourus caml is a main by-catch in the Southern Ocean fishery and a main prey species of Antarctic toothfish Dissostichus mawsoni; it plays an important role in the Southern Ocean ecosystem. In this study, age estimation and stomach content analysis were conducted by using samples collected from the Cosmonauts Sea in 2021. The main objectives of this study were to estimate the age and diet of grenadier M. caml and explore the feeding habits of M. caml. Morphological analysis and molecular identification were conducted to determine the diet of M. caml in this study. Stomach content analysis showed that M. caml mainly fed on Malacostraca, Sagittoidea, Cnidaria and Algae, with the Malacostraca accounting for over 50%. The feeding habits of male and female M. caml were similar. The age of M. caml ranged from 9 to 19 years. Additionally, with the increase of body size, the proportion of Cnidaria was decreasing whereas the proportion of Malacostraca was increasing. The results would provide a reference for exploring the trophic level of M. caml and the food web in the Cosmonauts Sea.</t>
  </si>
  <si>
    <t>[Xu, Siqing; Sun, Peng; Zhang, Chi; Li, Jianchao; Xi, Xiaoyu; Ma, Shuyang; Zhang, Wenchao; Tian, Yongjun] Ocean Univ China, Coll Fisheries, Deep Sea &amp; Polar Fisheries Res Ctr, Qingdao 266003, Peoples R China; [Sun, Peng; Li, Jianchao; Tian, Yongjun] Pilot Natl Lab Marine Sci &amp; Technol, Lab Marine Fisheries Sci &amp; Food Prod Proc, Qingdao 266237, Peoples R China</t>
  </si>
  <si>
    <t>Sun, P (corresponding author), Ocean Univ China, Coll Fisheries, Deep Sea &amp; Polar Fisheries Res Ctr, Qingdao 266003, Peoples R China.;Sun, P (corresponding author), Pilot Natl Lab Marine Sci &amp; Technol, Lab Marine Fisheries Sci &amp; Food Prod Proc, Qingdao 266237, Peoples R China.</t>
  </si>
  <si>
    <t>sunpeng@ouc.edu.cn</t>
  </si>
  <si>
    <t>LI, Jianchao/J-2053-2017</t>
  </si>
  <si>
    <t>Chinese Arctic and Antarctic Administration (CAA), Ministry of Natural Resources of the People's Republic of China [IRASCC 2020-2022]</t>
  </si>
  <si>
    <t>Chinese Arctic and Antarctic Administration (CAA), Ministry of Natural Resources of the People's Republic of China</t>
  </si>
  <si>
    <t>This research was supported by the research program Impact and Response of Antarctic Seas to Climate Change (Grant No. IRASCC 2020-2022) from Chinese Arctic and Antarctic Administration (CAA), Ministry of Natural Resources of the People's Republic of China.</t>
  </si>
  <si>
    <t>2410-3888</t>
  </si>
  <si>
    <t>FISHES-BASEL</t>
  </si>
  <si>
    <t>Fishes</t>
  </si>
  <si>
    <t>10.3390/fishes8010056</t>
  </si>
  <si>
    <t>Fisheries; Marine &amp; Freshwater Biology</t>
  </si>
  <si>
    <t>8B8MU</t>
  </si>
  <si>
    <t>WOS:000917175900001</t>
  </si>
  <si>
    <t>Wang, SJ; Qiang, WL; Liang, QX</t>
  </si>
  <si>
    <t>Wang, Shijin; Qiang, Wenli; Liang, Qiaoxia</t>
  </si>
  <si>
    <t>Key Pathways to Achieve Sustainable Development Goals in Three Polar Regions</t>
  </si>
  <si>
    <t>SUSTAINABILITY</t>
  </si>
  <si>
    <t>Antarctic; Arctic; Qinghai-Tibetan Plateau; sustainable development; key pathways</t>
  </si>
  <si>
    <t>SPACE; POLES</t>
  </si>
  <si>
    <t>Due to the local and natural characteristics of high latitude and altitude in the Three Polar Region (TPR)-that is, the Antarctic, the Arctic, and the Qinghai-Tibet Plateau (QTP)-this region has been significantly affected by climate change and related disasters. Thus, the sustainable development pathway for the TPR is different from that of other regions. The Antarctic region, as a public territory, experiences sustainability problems that are mainly the result of the integrated impact of tourism and scientific and commercial fishing activities on the continent and ocean. Understanding how to build a shared, co-built, and co-governed, legally binding and equal international multilateral partnership or treaty, and thereby reducing the impact on water life and on land life, is the key pathway to achieving the Antarctic sustainable development goals (SDGs). The Arctic region has both a high level of development at the national level and a low level of development within the country, including the livelihood of indigenous people. Learning how to effectively deal with the domestic development imbalance in the future is a key pathway to achieving Arctic SDGs. The QTP has a fragile ecology and a single industry. As a relatively poor area in China, the ability to promote ecological protection and improve people's welfare through ecological policies is a key pathway to achieving the SDGs in the QTP. At the same time, the TPR also needs to enhance its climate resilience through climate action to mitigate the impacts of climate change. On this basis, to fully achieve the SDGs in support of the TPR, it is necessary to establish and pursue multilateral cooperation in science research, infrastructure, commerce, energy, and mining trades. As an important part of the climate system, spatial and temporal changes in the TPR have direct and indirect impacts on the global climate and other spheres (e.g., Anthroposphere) and also affect the global sustainable development process. Therefore, through the TPR's linkage and multilateral cooperation, the region can simultaneously enter the global sustainable development track.</t>
  </si>
  <si>
    <t>[Wang, Shijin; Liang, Qiaoxia] Chinese Acad Sci, Northwest Inst Ecoenvironm &amp; Resources, State Key Lab Cryospher Sci, Yulong Snow Mt Cryosphere &amp; Sustainable Dev Observ, Lanzhou 730000, Peoples R China; [Qiang, Wenli] Lanzhou Univ, Coll Earth &amp; Environm Sci, Lanzhou 730000, Peoples R China</t>
  </si>
  <si>
    <t>Chinese Academy of Sciences; Lanzhou University</t>
  </si>
  <si>
    <t>Wang, SJ (corresponding author), Chinese Acad Sci, Northwest Inst Ecoenvironm &amp; Resources, State Key Lab Cryospher Sci, Yulong Snow Mt Cryosphere &amp; Sustainable Dev Observ, Lanzhou 730000, Peoples R China.;Qiang, WL (corresponding author), Lanzhou Univ, Coll Earth &amp; Environm Sci, Lanzhou 730000, Peoples R China.</t>
  </si>
  <si>
    <t>wangshijin@lzb.ac.cn; qiangwl@lzu.edu.cn</t>
  </si>
  <si>
    <t>Qiang, Wenli/0000-0001-6909-7275</t>
  </si>
  <si>
    <t>National Key Research and Development Program of China [2020YFA0608504-03]; Strategic Priority Research Program of Chinese Academy of Sciences [XDA19070503]</t>
  </si>
  <si>
    <t>National Key Research and Development Program of China; Strategic Priority Research Program of Chinese Academy of Sciences(Chinese Academy of Sciences)</t>
  </si>
  <si>
    <t>This research was funded by National Key Research and Development Program of China (2020YFA0608504-03) and Strategic Priority Research Program of Chinese Academy of Sciences (XDA19070503).</t>
  </si>
  <si>
    <t>2071-1050</t>
  </si>
  <si>
    <t>SUSTAINABILITY-BASEL</t>
  </si>
  <si>
    <t>Sustainability</t>
  </si>
  <si>
    <t>10.3390/su15021735</t>
  </si>
  <si>
    <t>Green &amp; Sustainable Science &amp; Technology; Environmental Sciences; Environmental Studies</t>
  </si>
  <si>
    <t>Science &amp; Technology - Other Topics; Environmental Sciences &amp; Ecology</t>
  </si>
  <si>
    <t>8A6NP</t>
  </si>
  <si>
    <t>WOS:000916354300001</t>
  </si>
  <si>
    <t>Wan, SJ; He, JY; Chao, L; Shi, ZK; Wang, SS; Yu, WD; Huang, Z; Wang, S; Wang, SG; Zhang, ZJ</t>
  </si>
  <si>
    <t>Wan, Sijing; He, Jianyun; Chao, Lei; Shi, Zuokun; Wang, Shasha; Yu, Weidong; Huang, Zhen; Wang, Su; Wang, Shigui; Zhang, Zhijun</t>
  </si>
  <si>
    <t>Regulatory Role of Trehalose Metabolism in Cold Stress of Harmonia axyridis Laboratory and Overwinter Populations</t>
  </si>
  <si>
    <t>AGRONOMY-BASEL</t>
  </si>
  <si>
    <t>Harmonia axyridis (Pallas); cold hardiness; trehalose; trehalase; RT-qPCR</t>
  </si>
  <si>
    <t>MEMBRANE-BOUND TREHALASE; TREHALOSE-6-PHOSPHATE SYNTHASE; ANTARCTIC MIDGE; LADYBIRD; GENE; EXPRESSION; TOLERANCE; COLEOPTERA; INSECT; IDENTIFICATION</t>
  </si>
  <si>
    <t>Trehalose is a non-reducing disaccharide that plays a key role in the response to cold and other environmental stressors in insects. Harmonia axyridis (Pallas) is an important natural predator of insect pests and has become a cosmopolitan invasive species, causing negative ecological impacts worldwide. In this study, the relative survival ability, trehalose and glycogen contents, trehalose activity and trehalose metabolism-related gene-expression profiles over a cold storage period were compared in a natural overwintering population and an indoor laboratory (experimental) population. Yellow adults were dominant in the overwintering population. The survival rate of the overwintering population during the cold storage period was higher than that of the experimental population after the fifth day. The contents of trehalose and glycogen in the overwinter population were higher than those of the experimental population during cold storage. Trehalose and glycogen contents initially increased and then decreased in the overwinter population, but decreased consistently over the cold storage period in the experimental population. Nevertheless, trehalose levels were relatively higher during the cold storage period in the overwinter population, with higher expression of TPS and TRE and trehalase activity. More importantly, the experiment showed that yellow adults have a better ability to regulate trehalose metabolism under cold storage compared to black adults. A strong resilience against cold stress and long-term cold storage ability could contribute to a better understanding of the invasiveness of H. axyridris.</t>
  </si>
  <si>
    <t>[Wan, Sijing; He, Jianyun; Chao, Lei; Shi, Zuokun; Wang, Shasha; Wang, Shigui] Hangzhou Normal Univ, Coll Life &amp; Environm Sci, Hangzhou Key Lab Anim Adaptat &amp; Evolut, Hangzhou 310036, Peoples R China; [Wan, Sijing; He, Jianyun; Zhang, Zhijun] Zhejiang Acad Agr Sci, Inst Plant Protect &amp; Microbiol, Hangzhou 310021, Peoples R China; [Yu, Weidong; Huang, Zhen] Zhejiang Dingyi Biotechnol Corp, Quzhou 324100, Peoples R China; [Wang, Su] Beijing Acad Agr &amp; Forestry Sci, Inst Plant &amp; Environm Protect, Beijing 100089, Peoples R China</t>
  </si>
  <si>
    <t>Hangzhou Normal University; Zhejiang Academy of Agricultural Sciences; Beijing Academy of Agriculture &amp; Forestry Sciences (BAAFS)</t>
  </si>
  <si>
    <t>Wang, SG (corresponding author), Hangzhou Normal Univ, Coll Life &amp; Environm Sci, Hangzhou Key Lab Anim Adaptat &amp; Evolut, Hangzhou 310036, Peoples R China.;Zhang, ZJ (corresponding author), Zhejiang Acad Agr Sci, Inst Plant Protect &amp; Microbiol, Hangzhou 310021, Peoples R China.</t>
  </si>
  <si>
    <t>sgwang@hznu.edu.cn; zhijunzhanglw@hotmail.com</t>
  </si>
  <si>
    <t>Yu, Weidong/I-7130-2013</t>
  </si>
  <si>
    <t>ZHANG, zhijun/0000-0003-2812-6281</t>
  </si>
  <si>
    <t>National Key Research and Development Program of China [2017YFD0201000, 2022YFD1401204, 2022YFC2601405]; Hangzhou Science and Technology Development Program of China [20190101A01]; Technical Innovation Program of the Beijing Academy of Agriculture and Forestry Sciences [KJCX20200110]; Key Research and Development Program of Zhejiang Province, China [2021C02003]; Demonstration and Extension Program of Science and Technology Achievements of Zhejiang Academy of Agricultural Sciences [tg2022008]</t>
  </si>
  <si>
    <t>National Key Research and Development Program of China; Hangzhou Science and Technology Development Program of China; Technical Innovation Program of the Beijing Academy of Agriculture and Forestry Sciences; Key Research and Development Program of Zhejiang Province, China; Demonstration and Extension Program of Science and Technology Achievements of Zhejiang Academy of Agricultural Sciences</t>
  </si>
  <si>
    <t>This work was supported by the National Key Research and Development Program of China (Grant no. 2017YFD0201000, 2022YFD1401204, 2022YFC2601405), the Hangzhou Science and Technology Development Program of China (Grant No. 20190101A01), the Technical Innovation Program of the Beijing Academy of Agriculture and Forestry Sciences (KJCX20200110), the Key Research and Development Program of Zhejiang Province, China (2021C02003) and the Demonstration and Extension Program of Science and Technology Achievements of Zhejiang Academy of Agricultural Sciences (tg2022008).</t>
  </si>
  <si>
    <t>2073-4395</t>
  </si>
  <si>
    <t>Agronomy-Basel</t>
  </si>
  <si>
    <t>10.3390/agronomy13010148</t>
  </si>
  <si>
    <t>Agronomy; Plant Sciences</t>
  </si>
  <si>
    <t>Agriculture; Plant Sciences</t>
  </si>
  <si>
    <t>8A9FG</t>
  </si>
  <si>
    <t>WOS:000916538400001</t>
  </si>
  <si>
    <t>Daly, EZ; Gerlich, HS; Frenot, Y; Hoye, TT; Holmstrup, M; Renault, D</t>
  </si>
  <si>
    <t>Daly, Ella Z. Z.; Gerlich, Hannah Sorine; Frenot, Yves; Hoye, Toke T. T.; Holmstrup, Martin; Renault, David</t>
  </si>
  <si>
    <t>Climate Change Helps Polar Invasives Establish and Flourish: Evidence from Long-Term Monitoring of the Blowfly Calliphora vicina</t>
  </si>
  <si>
    <t>BIOLOGY-BASEL</t>
  </si>
  <si>
    <t>biological invasion; sub-Antarctic; Calliphoridae; climate change; phenology; degree day; thermal requirements; insect development; ectotherm</t>
  </si>
  <si>
    <t>BIOLOGICAL INVASIONS; GLOBAL CHANGE; BARK BEETLE; DIPTERA; DYNAMICS; RANGE; TERRESTRIAL; INCREASE; IMPACTS; SUCCESS</t>
  </si>
  <si>
    <t>Simple Summary Sub-Antarctic islands, such as the Kerguelen Archipelago, are home to a unique collection of species because of their isolation. However, their isolation and low number of species make them more susceptible to invasion. This is particularly important as warming temperatures due to climate change are also making conditions worse for local species, and potentially better for recently introduced species, most of which are from warmer areas. The threats from non-native species in such a sensitive and unique ecosystem makes it important to understand the specific effects of climate change on non-native species to be able to predict their likely local population trajectory. In this study, we explored whether warming temperatures helped a non-native blowfly, Calliphora vicina, establish and spread throughout Kerguelen. We found that warming temperatures have made this species better able to survive and reproduce annually, and that it should continue to benefit from warming temperatures. We also discuss the potential impacts of this invasive blowfly on the local ecosystem and recommend further studies to assess its impacts and to identify management options for the species, which is likely to persist locally for the long term. The isolated sub-Antarctic islands are of major ecological interest because of their unique species diversity and long history of limited human disturbance. However, since the presence of Europeans, these islands and their sensitive biota have been under increasing pressure due to human activity and associated biological invasions. In such delicate ecosystems, biological invasions are an exceptional threat that may be further amplified by climate change. We examined the invasion trajectory of the blowfly Calliphora vicina (Robineau-Desvoidy 1830). First introduced in the sub-Antarctic Kerguelen Islands in the 1970s, it is thought to have persisted only in sheltered microclimates for several decades. Here, we show that, in recent decades, C. vicina has been able to establish itself more widely. We combine experimental thermal developmental data with long-term ecological and meteorological monitoring to address whether warming conditions help explain its current success and dynamics in the eastern Kerguelen Islands. We found that warming temperatures and accumulated degree days could explain the species' phenological and long-term invasion dynamics, indicating that climate change has likely assisted its establishment. This study represents a unique long-term view of a polar invader and stresses the rapidly increasing susceptibility of cold regions to invasion under climate change.</t>
  </si>
  <si>
    <t>[Daly, Ella Z. Z.; Frenot, Yves; Renault, David] Univ Rennes, CNRS, UMR 6553, ECOBIO Ecosyst Biodiversite Evolut, Ave Gen Leclerc, F-35042 Rennes, France; [Gerlich, Hannah Sorine; Hoye, Toke T. T.; Holmstrup, Martin] Aarhus Univ, Dept Ecosci, C F Mollers Alle 4-8, DK-8000 Aarhus, Denmark; [Gerlich, Hannah Sorine; Hoye, Toke T. T.; Holmstrup, Martin] Aarhus Univ, Arctic Res Ctr, C F Mollers Alle 4-8, DK-8000 Aarhus, Denmark</t>
  </si>
  <si>
    <t>Universite de Rennes; Centre National de la Recherche Scientifique (CNRS); CNRS - Institute of Ecology &amp; Environment (INEE); Aarhus University; Aarhus University</t>
  </si>
  <si>
    <t>Renault, D (corresponding author), Univ Rennes, CNRS, UMR 6553, ECOBIO Ecosyst Biodiversite Evolut, Ave Gen Leclerc, F-35042 Rennes, France.</t>
  </si>
  <si>
    <t>david.renault@univ-rennes1.fr</t>
  </si>
  <si>
    <t>Holmstrup, Martin/E-8731-2017; Hoye, Toke T./A-7701-2008; Holmstrup, Martin/I-7463-2013</t>
  </si>
  <si>
    <t>Hoye, Toke T./0000-0001-5387-3284; Holmstrup, Martin/0000-0001-8395-6582; RENAULT, David/0000-0003-3644-1759; Gerlich, Hannah Sorine/0000-0002-0529-0284</t>
  </si>
  <si>
    <t>ASICS project [ANR-20-EBI5-0004]; French Polar Institute [136-SUBANTECO]; Zone Atelier CNRS Antarctique et Terres Australes (ZATA); University of Rennes; Agence Nationale de la Recherche (ANR) [ANR-20-EBI5-0004] Funding Source: Agence Nationale de la Recherche (ANR)</t>
  </si>
  <si>
    <t>ASICS project; French Polar Institute; Zone Atelier CNRS Antarctique et Terres Australes (ZATA); University of Rennes; Agence Nationale de la Recherche (ANR)(Agence Nationale de la Recherche (ANR))</t>
  </si>
  <si>
    <t>The research was funded by the ASICS project (ANR-20-EBI5-0004, BiodivERsA, BiodivClim call 2019-2020), the French Polar Institute (Project 136-SUBANTECO), Zone Atelier CNRS Antarctique et Terres Australes (ZATA, long-term research on biodiversity in Antarctic and sub-Antarctic ecosystems), and the University of Rennes (Appel a projets Actions incitatives 2022 'Collaborations internationales non formalisees').</t>
  </si>
  <si>
    <t>2079-7737</t>
  </si>
  <si>
    <t>Biology-Basel</t>
  </si>
  <si>
    <t>10.3390/biology12010111</t>
  </si>
  <si>
    <t>7X8FG</t>
  </si>
  <si>
    <t>WOS:000914430600001</t>
  </si>
  <si>
    <t>Kim, JU; Kim, Y; Oh, Y; Kim, HC; Kim, JH</t>
  </si>
  <si>
    <t>Kim, Jong-U; Kim, Youmin; Oh, Younggeun; Kim, Hyun-Cheol; Kim, Jeong-Hoon</t>
  </si>
  <si>
    <t>Antarctic Ecosystem Recovery Following Human-Induced Habitat Change: Recolonization of Adelie Penguins (Pygoscelis adeliae) at Cape Hallett, Ross Sea</t>
  </si>
  <si>
    <t>DIVERSITY-BASEL</t>
  </si>
  <si>
    <t>Antarctic seabird; Cape Hallett; human disturbance; Pygoscelis adeliae; recolonization; restoration; Ross Sea region Marine Protected Area</t>
  </si>
  <si>
    <t>REPRODUCTIVE SUCCESS; SEABIRDS; DISTURBANCE; MANAGEMENT; RESPONSES; IMPACTS; ISLAND; KING</t>
  </si>
  <si>
    <t>The human-induced disturbances in Antarctica have caused changes in the structure and function of ecosystems. The Cape Hallett station was established in 1957 and abandoned in 1973. The station was built inside a penguin colony, and during its operation, many penguins were deported. Herein, we compared the number of breeding pairs across different time periods after station decommission and environmental remediation. The station occupied 4.77 ha within the Adelie penguin breeding area, and 349 nests were identified inside the station border in 1960. In 1983, the station's territory decreased to 4.2 ha; meanwhile, 1683 breeding pairs were counted in the old station area. The past station area re-inhabited by Adelie penguins had 6175 nests in 2019. We assumed that recolonization might be particularly related to artificial mounds. The results of the present study confirm the recolonization of Adelie penguins at Cape Hallett for the first time, with visual analysis of spatial-temporal changes. Additionally, we suggest that reconstruction of the artificial or enhanced habitat may be required for successful restoration. Furthermore, continuous species monitoring with specific notes are needed with management interventions to protect Antarctic ecosystems, as well as the Ross Sea region MPA.</t>
  </si>
  <si>
    <t>[Kim, Jong-U; Kim, Youmin; Oh, Younggeun; Kim, Jeong-Hoon] Korea Polar Res Inst, Div Life Sci, Incheon 21990, South Korea; [Oh, Younggeun] Incheon Natl Univ, Dept Life Sci, Incheon 22012, South Korea; [Kim, Hyun-Cheol] Korea Polar Res Inst, Ctr Remote Sensing &amp; GIS, Incheon 21990, South Korea</t>
  </si>
  <si>
    <t>Korea Polar Research Institute (KOPRI); Incheon National University; Korea Polar Research Institute (KOPRI)</t>
  </si>
  <si>
    <t>Kim, JH (corresponding author), Korea Polar Res Inst, Div Life Sci, Incheon 21990, South Korea.</t>
  </si>
  <si>
    <t>jhkim94@kopri.re.kr</t>
  </si>
  <si>
    <t>Kim, Jeong-Hoon/0000-0002-2397-2668; Kim, Hyun-Cheol/0000-0002-6831-9291; KIM, JONG-U/0000-0001-7790-1817</t>
  </si>
  <si>
    <t>1424-2818</t>
  </si>
  <si>
    <t>Diversity-Basel</t>
  </si>
  <si>
    <t>10.3390/d15010051</t>
  </si>
  <si>
    <t>7Y7AZ</t>
  </si>
  <si>
    <t>WOS:000915028600001</t>
  </si>
  <si>
    <t>Matheson, P; McGaughran, A</t>
  </si>
  <si>
    <t>Matheson, Paige; McGaughran, Angela</t>
  </si>
  <si>
    <t>How Might Climate Change Affect Adaptive Responses of Polar Arthropods?</t>
  </si>
  <si>
    <t>adaptation; Antarctic; Arctic; arthropods; biological invasions; climate change</t>
  </si>
  <si>
    <t>METABOLIC COLD ADAPTATION; LOW-TEMPERATURE EXPOSURE; ANTARCTIC MIDGE; CRYOPROTECTIVE DEHYDRATION; BIOLOGICAL INVASIONS; ERETMOPTERA-MURPHYI; ARCTIC COLLEMBOLAN; DIAMONDBACK MOTH; CHANGE IMPACTS; RECOVERY-TIME</t>
  </si>
  <si>
    <t>Climate change is expected to impact the global distribution and diversity of arthropods, with warmer temperatures forcing species to relocate, acclimate, adapt, or go extinct. The Arctic and Antarctic regions are extremely sensitive to climate change and have displayed profound and variable changes over recent decades, including decreases in sea ice extent, greening of tundra, and changes to hydrological and biogeochemical cycles. It is unclear how polar-adapted arthropods will respond to such changes, though many are expected to be at great risk of extinction. Here, we review the adaptive mechanisms that allow polar arthropods to persist in extreme environments and discuss how the effects of climate change at the poles will likely favour non-native species or those with the ability to rapidly evolve and/or acclimate. We find that physiological, behavioural, plastic, and genetic data are limited in scope for polar arthropods and research on adaptive responses to change is scarce. This restricts our ability to predict how they may respond to a warming climate. We call for a greater investment in research that specifically targets the ecology and evolution of these taxa, including genomic and transcriptomic approaches that can evaluate the potential for plastic and evolved environmental responses.</t>
  </si>
  <si>
    <t>[Matheson, Paige; McGaughran, Angela] Univ Waikato, Te Aka Matuatua Sch Sci, Private Bag 3105, Hamilton 3240, New Zealand</t>
  </si>
  <si>
    <t>University of Waikato</t>
  </si>
  <si>
    <t>Matheson, P (corresponding author), Univ Waikato, Te Aka Matuatua Sch Sci, Private Bag 3105, Hamilton 3240, New Zealand.</t>
  </si>
  <si>
    <t>paige.matheson14@gmail.com</t>
  </si>
  <si>
    <t>McGaughran, Angela/C-5916-2014</t>
  </si>
  <si>
    <t>McGaughran, Angela/0000-0002-3429-8699</t>
  </si>
  <si>
    <t>We wish to thank the University of Waikato and members of the Invasomics Lab for support during writing.</t>
  </si>
  <si>
    <t>10.3390/d15010047</t>
  </si>
  <si>
    <t>8B5WZ</t>
  </si>
  <si>
    <t>WOS:000916996100001</t>
  </si>
  <si>
    <t>Mindolina, YV; Selivanova, EA; Ignatenko, ME; Krasnova, ED; Voronov, DA; Plotnikov, AO</t>
  </si>
  <si>
    <t>Mindolina, Yulia V. V.; Selivanova, Elena A. A.; Ignatenko, Marina E. E.; Krasnova, Elena D. D.; Voronov, Dmitry A. A.; Plotnikov, Andrey O. O.</t>
  </si>
  <si>
    <t>Taxonomic Composition of Protist Communities in the Coastal Stratified Lake Kislo-Sladkoe (Kandalaksha Bay, White Sea) Revealed by Microscopy</t>
  </si>
  <si>
    <t>Lake Kislo-Sladkoe; meromixis; stratified lake; Arctic water body; algae; protists; protist community; protist vertical distribution; SEM</t>
  </si>
  <si>
    <t>ANTARCTIC SALINE LAKES; MEROMICTIC LAKE; WATER COLUMN; O-2/H2S GRADIENT; FRESH-WATER; DIVERSITY; MARINE; EVOLUTION; SEDIMENTS; PATTERNS</t>
  </si>
  <si>
    <t>Lake Kislo-Sladkoe is a stratified water body partly isolated from the White Sea. Perennial meromixis in the lake irregularly alternates with mixing events. Taking into account that the protists of Arctic coastal stratified water bodies are understudied, we evaluated for the first time the vertical structure, species richness, and diversity of protists assigned to different taxonomic groups in Lake Kislo-Sladkoe using light, luminescent, and scanning electron microscopy. To test the research hypothesis that a mixing event affects the vertical stratification and species composition of protists in a stratified lake, we compared the protist communities of Lake Kislo-Sladkoe in two extremely different states: strong meromixis vs. full vertical mixing. A total of 97 morphologically distinct phototrophic, heterotrophic, and mixotrophic protists were revealed with the most diverse supertaxa SAR (59), Obazoa (9), and Excavates (14). The hidden diversity of protists (43 species) was a bit less than the active diversity (54 species). A taxonomic list and micrographs of cells for the observed protists are provided. The majority of species revealed are cosmopolitan or widespread in the northern sea waters. The vertical patterns of protist communities were absolutely different in 2018 and 2021. In July 2018, clearly distinct protist communities inhabited different layers of the lake. Bloom of cryptophyte Rhodomonas cf. baltica was detected in chemocline, whereas the maximum density of its grazers was observed in adjacent layers, mainly dinoflagellates Gymnodinium sp. and Scrippsiella trochoidea, as well as a ciliate Prorodon sp. In 2021 due to the recent mixing of lake and seawater, there were no distinct communities in the water column except the superficial 0-1 m layer of fresh water.</t>
  </si>
  <si>
    <t>[Mindolina, Yulia V. V.; Selivanova, Elena A. A.; Ignatenko, Marina E. E.; Plotnikov, Andrey O. O.] Russian Acad Sci, Ural Branch, Inst Cellular &amp; Intracellular Symbiosis, Orenburg Fed Res Ctr, Orenburg 460000, Russia; [Krasnova, Elena D. D.] Lomonosov Moscow State Univ, Biol Fac, Pertsov White Sea Biol Stn, Moscow 119234, Russia; [Voronov, Dmitry A. A.] Russian Acad Sci, Kharkevich Inst Informat Transmiss Problems, Moscow 127051, Russia</t>
  </si>
  <si>
    <t>Russian Academy of Sciences; Orenburg Federal Research Center of the Ural Branch of the Russian Academy of Sciences; Institute of Cellular &amp; Intracellular Symbiosis; Lomonosov Moscow State University; Russian Academy of Sciences; Kharkevich Institute for Information Transmission Problems of the RAS</t>
  </si>
  <si>
    <t>Plotnikov, AO (corresponding author), Russian Acad Sci, Ural Branch, Inst Cellular &amp; Intracellular Symbiosis, Orenburg Fed Res Ctr, Orenburg 460000, Russia.</t>
  </si>
  <si>
    <t>protoz@mail.ru</t>
  </si>
  <si>
    <t>Plotnikov, Andrey/C-2198-2013; Selivanova, Elena A/I-8629-2018</t>
  </si>
  <si>
    <t>Plotnikov, Andrey/0000-0001-6830-4068; Selivanova, Elena A/0000-0002-5155-1801</t>
  </si>
  <si>
    <t>10.3390/d15010044</t>
  </si>
  <si>
    <t>7Y7BU</t>
  </si>
  <si>
    <t>WOS:000915030700001</t>
  </si>
  <si>
    <t>Song, HKY; Lee, S; Han, DW; Kim, JH</t>
  </si>
  <si>
    <t>Song, Hokyung; Lee, Seungyeon; Han, Dong-Won; Kim, Jin-Hyoung</t>
  </si>
  <si>
    <t>Characterization of the Gut Microbiota of Mackerel Icefish, Champsocephalus gunnari</t>
  </si>
  <si>
    <t>gut microbiome; Antarctic fish; mackerel icefish; Champsocephalus gunnari; high-throughput sequencing</t>
  </si>
  <si>
    <t>CHITIN</t>
  </si>
  <si>
    <t>The gut microbiome of Antarctic fish species has rarely been studied due to difficulties in obtaining samples. The mackerel icefish, Champsocephalus gunnari, primary feeds on krill and is one of the key species in the food web of the Southern Ocean. In this study, we characterized the gut microbiota of C. gunnari by sequencing the V3-V4 region of the bacterial 16S rRNA gene based on the Illumina MiSeq sequencing platform. We collected three types of samples: (1) whole intestine, (2) intestinal wall, and (3) intestinal content. The results showed no significant difference in the alpha diversity between different sample types. However, the microbial community composition of intestinal wall samples was distinct from other sample types. The relative abundance of Photobacterium was higher in intestinal content compared with the walls, which could be due to their chitinolytic activity. In contrast, potential pathogens such as Escherichia, Shigella, and Pseudomonas relatively more abundant in the intestinal wall compared with the intestinal contents. Unlike the gut microbiome of other marine fish species, Vibrio and Lactobacillus were nearly absent in the gut microbiome of C. gunnari. Functional gene profile of the gut microbiome predicted by PICRUSt2 showed higher relative abundance of genes related to biodegradation of nutrients in intestinal content. In contrast, the relative abundance of genes related to biosynthesis of important metabolites, such as menaquinols, was higher in intestinal wall. The difference in the microbial community structure of intestinal wall and intestinal content found in our study supports niche separation in the gut environment and emphasizes the importance of collecting intestinal wall samples in addition to intestinal content samples to understand the full picture of gut microbiome. This is the first time that the gut microbiome of mackerel icefish has been characterized using next-generation sequencing.</t>
  </si>
  <si>
    <t>[Song, Hokyung; Lee, Seungyeon; Han, Dong-Won; Kim, Jin-Hyoung] Korea Polar Res Inst, Div Life Sci, Incheon 21990, South Korea; [Song, Hokyung] Jeju Natl Univ, Subtrop Trop Organism Gene Bank, Jeju 63243, South Korea; [Lee, Seungyeon; Kim, Jin-Hyoung] Univ Sci &amp; Technol, Polar Sci, Daejeon 34113, South Korea</t>
  </si>
  <si>
    <t>Korea Polar Research Institute (KOPRI); Jeju National University; University of Science &amp; Technology (UST)</t>
  </si>
  <si>
    <t>Kim, JH (corresponding author), Korea Polar Res Inst, Div Life Sci, Incheon 21990, South Korea.;Kim, JH (corresponding author), Univ Sci &amp; Technol, Polar Sci, Daejeon 34113, South Korea.</t>
  </si>
  <si>
    <t>kimjh@kopri.re.kr</t>
  </si>
  <si>
    <t>Song, Hokyung/ISA-0942-2023; Kim, Jin-Hyoung/C-6037-2009</t>
  </si>
  <si>
    <t>Song, Hokyung/0000-0002-0987-7488; Kim, Jin-Hyoung/0000-0001-6746-7447</t>
  </si>
  <si>
    <t>10.3390/fishes8010013</t>
  </si>
  <si>
    <t>7Z2HK</t>
  </si>
  <si>
    <t>WOS:000915384400001</t>
  </si>
  <si>
    <t>Kasuya, K; Imura, S; Ishikawa, T; Sugimoto, M; Inoue, T</t>
  </si>
  <si>
    <t>Kasuya, Kazuhiko; Imura, Satoshi; Ishikawa, Takashi; Sugimoto, Masahiro; Inoue, Takeshi</t>
  </si>
  <si>
    <t>Relationship between Urinary Metabolomic Profiles and Depressive Episode in Antarctica</t>
  </si>
  <si>
    <t>INTERNATIONAL JOURNAL OF MOLECULAR SCIENCES</t>
  </si>
  <si>
    <t>Antarctic regions; biomarkers; mental disorders; metabolomics; urine</t>
  </si>
  <si>
    <t>SUPPLEMENTATION; BIOMARKERS; SYMPTOMS; EXPOSURE; EXERCISE; HEALTH; IMMUNE</t>
  </si>
  <si>
    <t>Antarctic expeditions have a high risk of participant depression owing to long stays and isolated environments. By quantifying the stress state and changes in biomolecules over time before the onset of depressive symptoms, predictive markers of depression can be explored. Here, we evaluated the psychological changes in 30 participants in the Japanese Antarctic Research Expedition using the Patient Health Questionnaire-9 (PHQ-9). Urinary samples were collected every three months for a year, and comprehensive urinary metabolomic profiles were quantified using liquid chromatography time-of-flight mass spectrometry. Five participants showed major depressive episodes (PHQ-9 &gt;= 10) at 12 months. The urinary metabolites between these participants and the 25 unaffected participants were compared at individual metabolite and pathway levels. The individual comparisons showed the most significant differences at 12 months in 14 metabolites, including ornithine and beta-alanine. Data from shorter stays showed less significant differences. In contrast, pathway and enrichment analyses showed the most significant difference at three months and a less significant difference at longer stays. These time transitions of urinary metabolites could help in the development of urinary biomarkers to detect subjects with depressive episodes at an early stage.</t>
  </si>
  <si>
    <t>[Kasuya, Kazuhiko] Tokyo Med Univ, Dept Gastrointestinal Surg, Tokyo 1600023, Japan; [Imura, Satoshi] Natl Inst Polar Res, Tokyo 1908518, Japan; [Ishikawa, Takashi] Tokyo Med Univ, Dept Breast Oncol &amp; Surg, Tokyo 1600023, Japan; [Sugimoto, Masahiro] Tokyo Med Univ, Inst Med Sci, Tokyo 1600022, Japan; [Sugimoto, Masahiro] Keio Univ, Inst Adv Biosci, Yamagata 9970052, Japan; [Inoue, Takeshi] Tokyo Med Univ, Dept Psychiat, Tokyo 1600023, Japan</t>
  </si>
  <si>
    <t>Tokyo Medical University; Research Organization of Information &amp; Systems (ROIS); National Institute of Polar Research (NIPR) - Japan; Tokyo Medical University; Tokyo Medical University; Keio University; Tokyo Medical University</t>
  </si>
  <si>
    <t>Sugimoto, M (corresponding author), Tokyo Med Univ, Inst Med Sci, Tokyo 1600022, Japan.;Sugimoto, M (corresponding author), Keio Univ, Inst Adv Biosci, Yamagata 9970052, Japan.</t>
  </si>
  <si>
    <t>mshrsgmt@tokyo-med.ac.jp</t>
  </si>
  <si>
    <t>Ishikawa, Takashi/0000-0003-3450-4533</t>
  </si>
  <si>
    <t>1422-0067</t>
  </si>
  <si>
    <t>INT J MOL SCI</t>
  </si>
  <si>
    <t>Int. J. Mol. Sci.</t>
  </si>
  <si>
    <t>10.3390/ijms24020943</t>
  </si>
  <si>
    <t>Biochemistry &amp; Molecular Biology; Chemistry, Multidisciplinary</t>
  </si>
  <si>
    <t>Biochemistry &amp; Molecular Biology; Chemistry</t>
  </si>
  <si>
    <t>7Y1TY</t>
  </si>
  <si>
    <t>WOS:000914671900001</t>
  </si>
  <si>
    <t>Cenedese, C; Straneo, F</t>
  </si>
  <si>
    <t>Cenedese, Claudia; Straneo, Fiamma</t>
  </si>
  <si>
    <t>Icebergs Melting</t>
  </si>
  <si>
    <t>ANNUAL REVIEW OF FLUID MECHANICS</t>
  </si>
  <si>
    <t>icebergs; melting; ocean; cryosphere; sea level; climate</t>
  </si>
  <si>
    <t>ANTARCTIC ICEBERGS; NORTH-ATLANTIC; ICE-SHEET; SEA-ICE; INTERACTIVE ICEBERGS; HEAT-TRANSFER; MASS-TRANSFER; BASAL MELT; OCEAN; WATER</t>
  </si>
  <si>
    <t>Iceberg calving accounts for half of the mass discharge from the Greenland and Antarctic ice sheets, which has increased dramatically over the last two decades. Through their displacement and progressive melt, icebergs can impact both the regional and large-scale ocean circulation and marine ecosystems by affecting their stratification and nutrient and carbon cycling. Freshwater input due to iceberg melt has the potential to impact regional sea ice distribution and the global overturning circulation. Notwithstanding their importance, our understanding of where and how icebergs melt is limited and their representation in ocean and climate models is oversimplistic, in part because they are informed by only a handful of observations. As a result, model-based predictions of iceberg melt rates, of the fate of the meltwater, and of its impact on the ocean are highly uncertain. New observational, modeling, and experimental studies are needed to improve our understanding of iceberg melting and hence, the forecasting power of climate models.</t>
  </si>
  <si>
    <t>[Cenedese, Claudia] Woods Hole Oceanog Inst, Woods Hole, MA 02543 USA; [Straneo, Fiamma] Univ Calif San Diego, Scripps Inst Oceanog, San Diego, CA 92103 USA</t>
  </si>
  <si>
    <t>Woods Hole Oceanographic Institution; University of California System; University of California San Diego; Scripps Institution of Oceanography</t>
  </si>
  <si>
    <t>Cenedese, C (corresponding author), Woods Hole Oceanog Inst, Woods Hole, MA 02543 USA.</t>
  </si>
  <si>
    <t>ccenedese@whoi.edu</t>
  </si>
  <si>
    <t>Straneo, Fiammetta/0000-0002-1735-2366</t>
  </si>
  <si>
    <t>Woods Hole Oceanographic Institution's Senior Scientist Chair; National Science Foundation [OCE-1657601]</t>
  </si>
  <si>
    <t>Woods Hole Oceanographic Institution's Senior Scientist Chair; National Science Foundation(National Science Foundation (NSF))</t>
  </si>
  <si>
    <t>Funding for this work was provided by the Woods Hole Oceanographic Institution's Senior Scientist Chair. F.S. was supported by National Science Foundation award OCE-1657601.</t>
  </si>
  <si>
    <t>0066-4189</t>
  </si>
  <si>
    <t>1545-4479</t>
  </si>
  <si>
    <t>ANNU REV FLUID MECH</t>
  </si>
  <si>
    <t>Annu. Rev. Fluid Mech.</t>
  </si>
  <si>
    <t>10.1146/annurev-fluid-032522-100734</t>
  </si>
  <si>
    <t>Mechanics; Physics, Fluids &amp; Plasmas</t>
  </si>
  <si>
    <t>Mechanics; Physics</t>
  </si>
  <si>
    <t>7Z2TX</t>
  </si>
  <si>
    <t>WOS:000915418100016</t>
  </si>
  <si>
    <t>Napoli, A; Coleine, C; Ulrich, NJ; Moeller, R; Billi, D; Selbmann, L</t>
  </si>
  <si>
    <t>Napoli, Alessandro; Coleine, Claudia; Ulrich, Nikea J.; Moeller, Ralf; Billi, Daniela; Selbmann, Laura</t>
  </si>
  <si>
    <t>Snow Surface Microbial Diversity at the Detection Limit within the Vicinity of the Concordia Station, Antarctica</t>
  </si>
  <si>
    <t>LIFE-BASEL</t>
  </si>
  <si>
    <t>Antarctic ice sheet; extraterrestrial analogue; extremophiles; habitability; life detection; fungal and bacterial amplicon sequencing; planetary protection</t>
  </si>
  <si>
    <t>ICE CORE; MICROORGANISMS; SEARCH; VOSTOK; EARTH</t>
  </si>
  <si>
    <t>The Concordia Research Station provides a unique location for preparatory activities for future human journey to Mars, to explore microbial diversity at subzero temperatures, and monitor the dissemination of human-associated microorganisms within the pristine surrounding environment. Amplicon sequencing was leveraged to investigate the microbial diversity of surface snow samples collected monthly over a two-year period, at three distances from the Station (10, 500, and 1000 m). Even when the extracted total DNA was below the detection limit, 16S rRNA gene sequencing was successfully performed on all samples, while 18S rRNA was amplified on 19 samples out of 51. No significant relationships were observed between microbial diversity and seasonality (summer or winter) or distance from the Concordia base. This suggested that if present, the anthropogenic impact should have been below the detectable limit. While harboring low microbial diversity, the surface snow samples were characterized by heterogeneous microbiomes. Ultimately, our study corroborated the use of DNA sequencing-based techniques for revealing microbial presence in remote and hostile environments, with implications for Planetary Protection during space missions and for life-detection in astrobiology relevant targets.</t>
  </si>
  <si>
    <t>[Napoli, Alessandro; Billi, Daniela] Univ Roma Tor Vergata, Dept Biol, I-00133 Rome, Italy; [Napoli, Alessandro] Univ Roma Tor Vergata, Dept Biol, PhD Program Cellular &amp; Mol Biol, I-00133 Rome, Italy; [Coleine, Claudia; Selbmann, Laura] Univ Tuscia, Dept Ecol &amp; Biol Sci, I-01100 Viterbo, Italy; [Ulrich, Nikea J.] Univ Montana, Div Biol Sci, Missoula, MT 59812 USA; [Moeller, Ralf] German Aerosp Ctr DLR, Inst Aerosp Med, Radiat Biol Dept, Aerosp Microbiol Res Grp, D-28359 Cologne, Germany; [Moeller, Ralf] Univ Appl Sci Bonn Rhein Sieg BRSU, Dept Nat Sci, D-53359 Rheinbach, Germany; [Selbmann, Laura] Italian Antarctic Natl Museum MNA, Mycol Sect, I-16128 Genoa, Italy</t>
  </si>
  <si>
    <t>University of Rome Tor Vergata; University of Rome Tor Vergata; Tuscia University; University of Montana System; University of Montana; Helmholtz Association; German Aerospace Centre (DLR)</t>
  </si>
  <si>
    <t>Billi, D (corresponding author), Univ Roma Tor Vergata, Dept Biol, I-00133 Rome, Italy.;Moeller, R (corresponding author), German Aerosp Ctr DLR, Inst Aerosp Med, Radiat Biol Dept, Aerosp Microbiol Res Grp, D-28359 Cologne, Germany.;Moeller, R (corresponding author), Univ Appl Sci Bonn Rhein Sieg BRSU, Dept Nat Sci, D-53359 Rheinbach, Germany.</t>
  </si>
  <si>
    <t>ralf.moeller@dlr.de; billi@uniroma2.it</t>
  </si>
  <si>
    <t>Selbmann, Laura/L-3056-2013; Coleine, Claudia/AAE-1889-2020</t>
  </si>
  <si>
    <t>Selbmann, Laura/0000-0002-8967-3329; Coleine, Claudia/0000-0002-9289-6179; Napoli, Alessandro/0000-0001-8616-9381; BILLI, DANIELA/0000-0002-9363-2415; Moeller, Ralf/0000-0002-2371-0676</t>
  </si>
  <si>
    <t>2075-1729</t>
  </si>
  <si>
    <t>Life-Basel</t>
  </si>
  <si>
    <t>10.3390/life13010113</t>
  </si>
  <si>
    <t>Biology; Microbiology</t>
  </si>
  <si>
    <t>Life Sciences &amp; Biomedicine - Other Topics; Microbiology</t>
  </si>
  <si>
    <t>7Y7XP</t>
  </si>
  <si>
    <t>Green Published, Green Accepted, gold</t>
  </si>
  <si>
    <t>WOS:000915087400001</t>
  </si>
  <si>
    <t>Koloskov, O; Kashcheyev, A; Bogomaz, O; Sopin, A; Gavrylyuk, B; Zalizovski, A</t>
  </si>
  <si>
    <t>Koloskov, Oleksandr; Kashcheyev, Anton; Bogomaz, Oleksandr; Sopin, Andriy; Gavrylyuk, Bogdan; Zalizovski, Andriy</t>
  </si>
  <si>
    <t>Performance Analysis of a Portable Low-Cost SDR-Based Ionosonde</t>
  </si>
  <si>
    <t>ATMOSPHERE</t>
  </si>
  <si>
    <t>ionosphere; ionosonde; ionogram; SDR; USRP</t>
  </si>
  <si>
    <t>NETWORK; MUF(3000)F2; IONOGRAMS; SOFTWARE; DESIGN</t>
  </si>
  <si>
    <t>This work presents a software-defined radio ionosonde (ISDR) developed at the Abdus Salam International Centre for Theoretical Physics (Italy) and the Institute of Radio Astronomy (Ukraine) and installed at the Ukrainian Antarctic Station in 2017. For the first time, the results of the long-term data comparison of the ISDR with the conventional ionosonde IPS-42 produced by KEL Aerospace are presented and discussed. The matching of the ionograms obtained during the whole year of 2021, as well as a comparison of the critical frequencies and virtual heights of F, E, and Es layers manually scaled from the ionograms showed that the ISDR has a similar level of performance to IPS-42. At the same time, the ISDR is a more versatile instrument that supports a bistatic operation, provides Doppler measurements and polarization information, and has a significantly lower cost and transmission power. Different configurations of the ISDR are considered. The basic configuration allows for using the ISDR as a conventional vertical ionospheric sounder. An enhanced configuration of the ISDR allows for oblique sounding, as well as polarization information that enables the O- and X-propagation modes of the ionospheric signal to be distinguished. The enhanced passive version of the ISDR was successfully tested onboard the research vessel Noosfera on distances up to 1,400 km from the transmitting ISDR.</t>
  </si>
  <si>
    <t>[Koloskov, Oleksandr; Kashcheyev, Anton] Univ New Brunswick, Dept Phys, Fredericton, NB E3B5A3, Canada; [Koloskov, Oleksandr; Bogomaz, Oleksandr; Sopin, Andriy; Gavrylyuk, Bogdan; Zalizovski, Andriy] Minist Educ &amp; Sci Ukraine, State Inst Natl Antarctic Sci Ctr, UA-01601 Kiev, Ukraine; [Koloskov, Oleksandr; Sopin, Andriy; Gavrylyuk, Bogdan; Zalizovski, Andriy] Natl Acad Sci Ukraine, Inst Radio Astron, UA-61002 Kharkiv, Ukraine; [Bogomaz, Oleksandr] Inst Ionosphere, UA-61001 Kharkiv, Ukraine; [Zalizovski, Andriy] Polish Acad Sci, Space Res Ctr, PL-00716 Warsaw, Poland</t>
  </si>
  <si>
    <t>University of New Brunswick; Ministry of Education &amp; Science of Ukraine; State Institution National Antarctic Scientific Center; National Academy of Sciences Ukraine; Institute of Radio Astronomy of the National Academy of Sciences of Ukraine; Polish Academy of Sciences; Space Research Centre of the Polish Academy of Sciences; Centrum Badan Kosmicznych, Polish Academy of Sciences</t>
  </si>
  <si>
    <t>Koloskov, O (corresponding author), Univ New Brunswick, Dept Phys, Fredericton, NB E3B5A3, Canada.;Koloskov, O (corresponding author), Minist Educ &amp; Sci Ukraine, State Inst Natl Antarctic Sci Ctr, UA-01601 Kiev, Ukraine.;Koloskov, O (corresponding author), Natl Acad Sci Ukraine, Inst Radio Astron, UA-61002 Kharkiv, Ukraine.</t>
  </si>
  <si>
    <t>alex.koloskov@unb.ca</t>
  </si>
  <si>
    <t>Bogomaz, Oleksandr/AAK-4108-2021; Zalizovski, Andriy/HII-4602-2022; Koloskov, Oleksandr/ABB-4631-2020</t>
  </si>
  <si>
    <t>Zalizovski, Andriy/0000-0002-6271-0126; Koloskov, Oleksandr/0000-0001-8921-3851</t>
  </si>
  <si>
    <t>Ministry of Education and Sciences of Ukraine [0121U112293, 0120U104549, 0121U112420]; National Academy of Sciences of Ukraine [0121U108635]; EOARD-STCU Partner Projects P-775 [(EOARD 22IOE019]</t>
  </si>
  <si>
    <t>Ministry of Education and Sciences of Ukraine; National Academy of Sciences of Ukraine; EOARD-STCU Partner Projects P-775</t>
  </si>
  <si>
    <t>State Special-Purpose Research Program in Antarctica for 2011-2023 as well as grants #0121U112293, #0120U104549, and #0121U112420 funded by the Ministry of Education and Sciences of Ukraine, project #0121U108635 funded by the National Academy of Sciences of Ukraine and partially supported by EOARD-STCU Partner Projects P-775 (EOARD 22IOE019).</t>
  </si>
  <si>
    <t>2073-4433</t>
  </si>
  <si>
    <t>ATMOSPHERE-BASEL</t>
  </si>
  <si>
    <t>Atmosphere</t>
  </si>
  <si>
    <t>10.3390/atmos14010159</t>
  </si>
  <si>
    <t>Environmental Sciences; Meteorology &amp; Atmospheric Sciences</t>
  </si>
  <si>
    <t>8B1TN</t>
  </si>
  <si>
    <t>WOS:000916713500001</t>
  </si>
  <si>
    <t>Nagovitsyna, ES; Poddubny, VA; Karasev, AA; Kabanov, DM; Sidorova, OR; Maslovsky, AS</t>
  </si>
  <si>
    <t>Nagovitsyna, Ekaterina S.; Poddubny, Vassily A.; Karasev, Alexander A.; Kabanov, Dmitry M.; Sidorova, Olga R.; Maslovsky, Alexander S.</t>
  </si>
  <si>
    <t>Assessment of the Spatial Structure of Black Carbon Concentrations in the Near-Surface Arctic Atmosphere</t>
  </si>
  <si>
    <t>atmospheric aerosol; simulation; black carbon; Arctic Ocean</t>
  </si>
  <si>
    <t>PHYSICOCHEMICAL CHARACTERISTICS; FLUID LOCATION; AEROSOL; POLLUTANTS; TRANSPORT; BARENTS; SULFATE</t>
  </si>
  <si>
    <t>The results of the research are numerical estimates of the average fields of black carbon mass concentration in the surface layer of the atmosphere of the Arctic region obtained using the numeric technology referred to as fluid location of the atmosphere (FLA). The modelling has been based on measurements of the black carbon concentrations in the near-surface atmosphere obtained during the two cruises of the Professor Multanovskiy (28 July-7 September 2019) and Akademik Mstislav Keldysh (31 July-24 August 2020) research vessels. These measurements have been supplemented by measurements at stationary monitoring points located on the Spitsbergen and the Severnaya Zemlya archipelagoes. The simulation in the summertime demonstrates that areas of increased black carbon concentrations were observed over Northern Europe and, in 2019, also over the Laptev Sea basin. The obtained spatial distribution of mass concentrations of black carbon qualitatively agreed with the same data derived from the second Modern-Era Retrospective analysis for Research and Applications (MERRA-2) but showed quantitative differences. The average values of mass concentrations of black carbon in the modelling zones are as follows: 85.3 ng/m(3) (2019) and 53.6 ng/m(3) (2020) for fields reconstructed by the FLA technology; and 261.69 ng/m(3) (2019) and 131.8 ng/m(3) (2020) for the MERRA-2 data.</t>
  </si>
  <si>
    <t>[Nagovitsyna, Ekaterina S.; Poddubny, Vassily A.; Karasev, Alexander A.] Russian Acad Sci, Inst Ind Ecol, Ural Branch, 20 Kovalevskoy Str, Ekaterinburg 620990, Russia; [Kabanov, Dmitry M.] Russian Acad Sci, VE Zuev Inst Atmospher Opt, Siberian Branch, Academician Zuev Sq 1, Tomsk 634021, Russia; [Sidorova, Olga R.; Maslovsky, Alexander S.] Arctic &amp; Antarctic Res Inst, 38 Bering Str, St Petersburg 199397, Russia</t>
  </si>
  <si>
    <t>Institute of Industrial Ecology UB RAS; Russian Academy of Sciences; Zuev Institute of Atmospheric Optics, Siberian Branch of the Russian Academy of Sciences; Russian Academy of Sciences; Arctic &amp; Antarctic Research Institute</t>
  </si>
  <si>
    <t>Nagovitsyna, ES (corresponding author), Russian Acad Sci, Inst Ind Ecol, Ural Branch, 20 Kovalevskoy Str, Ekaterinburg 620990, Russia.</t>
  </si>
  <si>
    <t>ekaterinan@ecko.uran.ru</t>
  </si>
  <si>
    <t>Kabanov, Dmitry M./A-5805-2014</t>
  </si>
  <si>
    <t>Karasev, Alexander/0000-0001-7394-7375</t>
  </si>
  <si>
    <t>10.3390/atmos14010139</t>
  </si>
  <si>
    <t>7X7IE</t>
  </si>
  <si>
    <t>WOS:000914370600001</t>
  </si>
  <si>
    <t>Garrido, I; Hawk, HL; Bruning, P; Pardo, LM; Johnson, LE</t>
  </si>
  <si>
    <t>Garrido, Ignacio; Hawk, Heather L. L.; Bruning, Paulina; Pardo, Luis Miguel; Johnson, Ladd E. E.</t>
  </si>
  <si>
    <t>Drift Algal Accumulation in Ice Scour Pits Provides an Underestimated Ecological Subsidy in a Novel Antarctic Soft-Sediment Habitat</t>
  </si>
  <si>
    <t>Antarctic Peninsula; Antarctic benthic communities; polar benthos; polar warming; drift algae; ice pits; ecological subsidy; ice scouring</t>
  </si>
  <si>
    <t>MARINE BENTHIC COMMUNITIES; SHALLOW-WATER SITE; PHYSICAL DISTURBANCE; ADELAIDE ISLAND; IN-SITU; SEA-ICE; MACROALGAE; IMPACT; RESPONSES; RECOVERY</t>
  </si>
  <si>
    <t>Simple Summary Whereas several studies have documented the destructive effects of ice scouring on the seabed and its strong role in structuring benthic communities in Antarctica, none have highlighted the potential of seabed furrows (i.e., ice pits) produced by this disturbance as a novel habitat that is created by the accumulation of drift algae. This work documents the distribution and dimensions of ice pits to evaluate their relationships with the biomass and species composition of the accumulations of drift algae within them. Moreover, the temporal dynamics of algal deposition and advective loss in ice pits over time are assessed. These investigations show that ice pits provide hitherto underestimated ecological subsidies of food and shelter for other benthic organisms. Further research is needed to better understand the role of ice pits in the overall functioning of Antarctic marine benthic ecosystems. Ice scouring is one of the strongest agents of disturbance in nearshore environments at high latitudes. In depths, less than 20 m, grounding icebergs reshape the soft-sediment seabed by gouging furrows called ice pits. Large amounts of drift algae (up to 5.6 kg/m(2)) that would otherwise be transported to deeper water accumulate inside these features, representing an underestimated subsidy. Our work documents the distribution and dimensions of ice pits in Fildes Bay, Antarctica, and evaluates their relationship to the biomass and species composition of algae found within them. It also assesses the rates of deposition and advective loss of algae in the pits. The 17 ice pits found in the study area covered only 4.2% of the seabed but contained 98% of drift algal biomass, i.e., 60 times the density (kg/m(2)) of the surrounding seabed. Larger ice pits had larger and denser algal accumulations than small pits and had different species compositions. The accumulations were stable over time: experimentally cleared pits regained initial biomass levels after one year, and advective loss was less than 15% annually. Further research is needed to understand the impacts of ice scouring and subsequent algal retention on ecosystem functioning in this rapidly changing polar environment.</t>
  </si>
  <si>
    <t>[Garrido, Ignacio; Hawk, Heather L. L.; Bruning, Paulina; Johnson, Ladd E. E.] Laval Univ, Dept Biol &amp; Quebec Ocean, Quebec City, PQ G1V 0A6, Canada; [Garrido, Ignacio; Bruning, Paulina; Pardo, Luis Miguel; Johnson, Ladd E. E.] Ctr FONDAP Invest Dinam Ecosistemas Marinos Altas, Valdivia 5090000, Chile; [Garrido, Ignacio; Pardo, Luis Miguel] Univ Austral Chile, Fac Ciencias, Lab Costero Recursos Acuat Calfuco LCRAC, Inst Ciencias Marinas &amp; Limnol ICML, Valdivia 5110566, Chile</t>
  </si>
  <si>
    <t>Laval University; Universidad Austral de Chile</t>
  </si>
  <si>
    <t>Garrido, I (corresponding author), Laval Univ, Dept Biol &amp; Quebec Ocean, Quebec City, PQ G1V 0A6, Canada.;Garrido, I (corresponding author), Ctr FONDAP Invest Dinam Ecosistemas Marinos Altas, Valdivia 5090000, Chile.;Garrido, I (corresponding author), Univ Austral Chile, Fac Ciencias, Lab Costero Recursos Acuat Calfuco LCRAC, Inst Ciencias Marinas &amp; Limnol ICML, Valdivia 5110566, Chile.</t>
  </si>
  <si>
    <t>ignacio.garrido@uach.cl</t>
  </si>
  <si>
    <t>Pardo, L M/A-3178-2008</t>
  </si>
  <si>
    <t>Garrido, Ignacio/0000-0002-9978-4487; Hawk, Heather/0000-0001-9855-9088; Pardo, Luis Miguel/0000-0002-8179-5057</t>
  </si>
  <si>
    <t>FONDAP IDEAL (Centro de Investigacion Dinamica de Ecosistemas Marinos de Altas Latitudes grant) [15150003]; Agencia Nacional de investigacion y Desarrollo (ANID). [72160109]</t>
  </si>
  <si>
    <t>FONDAP IDEAL (Centro de Investigacion Dinamica de Ecosistemas Marinos de Altas Latitudes grant); Agencia Nacional de investigacion y Desarrollo (ANID).</t>
  </si>
  <si>
    <t>This study was financially supported by FONDAP IDEAL (Centro de Investigacion Dinamica de Ecosistemas Marinos de Altas Latitudes grant #15150003,. IgG was financially supported by doctoral scholarship #72160109 (Becas Chile) granted by the Agencia Nacional de investigacion y Desarrollo (ANID).</t>
  </si>
  <si>
    <t>10.3390/biology12010128</t>
  </si>
  <si>
    <t>8B1TE</t>
  </si>
  <si>
    <t>WOS:000916712600001</t>
  </si>
  <si>
    <t>Robinson, CM; Hansen, LD; Xue, X; Adams, BJ</t>
  </si>
  <si>
    <t>Robinson, Colin Michael; Hansen, Lee D. D.; Xue, Xia; Adams, Byron J. J.</t>
  </si>
  <si>
    <t>Temperature Response of Metabolic Activity of an Antarctic Nematode</t>
  </si>
  <si>
    <t>Antarctica; carbon cycling; climate change; nematode; respiration rates; soil temperature</t>
  </si>
  <si>
    <t>MCMURDO DRY VALLEYS; CALORESPIROMETRIC DETERMINATION; CLIMATE-CHANGE; TAYLOR VALLEY; SOIL; COMMUNITIES; DIVERSITY; ECOSYSTEM; SURFACE; CARBON</t>
  </si>
  <si>
    <t>Simple Summary To understand how the McMurdo Dry Valleys of Antarctica (MCM) will respond to climate change, it is necessary to understand how dominant organisms in the ecosystem respond to fluctuations in temperature and water availability. We studied the effect of temperature on the metabolic activity of Plectus murrayi, a widespread nematode in the MCM. By analyzing heat produced by metabolism along with CO2 production and O-2 consumption, we found P. murrayi reaches peak metabolic activity at 40 degrees C, an unexpectedly high metabolic threshold for an Antarctic organism. As temperatures rise in the MCM, so too will the metabolic activity of P. murrayi. Such increases in energy demands have the potential to disrupt soil ecosystem structure and functioning, as the MCM system is carbon limited. Should P. murrayi experience heightened metabolic activity for extended periods of time, without additional carbon inputs the functioning of these soil ecosystems in the MCM may become significantly reduced. Because of climate change, the McMurdo Dry Valleys of Antarctica (MCM) have experienced an increase in the frequency and magnitude of summer pulse warming and surface ice and snow melting events. In response to these environmental changes, some nematode species in the MCM have experienced steady population declines over the last three decades, but Plectus murrayi, a mesophilic nematode species, has responded with a steady increase in range and abundance. To determine how P. murrayi responds to increasing temperatures, we measured metabolic heat and CO2 production rates and calculated O-2 consumption rates as a function of temperature at 5 degrees C intervals from 5 to 50 degrees C. Heat, CO2 production, and O-2 consumption rates increase approximately exponentially up to 40 degrees C, a temperature never experienced in their polar habitat. Metabolic rates decline rapidly above 40 degrees C and are irreversibly lost at 50 degrees C due to thermal stress and mortality. Caenorhabditis elegans, a much more widespread nematode that is found in more temperate environments reaches peak metabolic heat rate at just 27 degrees C, above which it experiences high mortality due to thermal stress. At temperatures from 10 to 40 degrees C, P. murrayi produces about 6 times more CO2 than the O-2 it consumes, a respiratory quotient indicative of either acetogenesis or de novo lipogenesis. No potential acetogenic microbes were identified in the P. murrayi microbiome, suggesting that P. murrayi is producing increased CO2 as a byproduct of de novo lipogenesis. This phenomenon, in conjunction with increased summer temperatures in their polar habitat, will likely lead to increased demand for carbon and subsequent increases in CO2 production, population abundance, and range expansion. If such changes are not concomitant with increased carbon inputs, we predict the MCM soil ecosystems will experience dramatic declines in functional and taxonomic diversity.</t>
  </si>
  <si>
    <t>[Robinson, Colin Michael; Xue, Xia; Adams, Byron J. J.] Brigham Young Univ, Dept Biol, Provo, UT 84602 USA; [Hansen, Lee D. D.] Brigham Young Univ, Dept Chem &amp; Biochem, Provo, UT 84602 USA; [Xue, Xia] Zhengzhou Univ, Affiliated Hosp Zhengzhou 5, Marshall Med Res Ctr, Henan Key Lab Helicobacter Pylori &amp; Microbiota &amp; G, Zhengzhou 450000, Peoples R China; [Adams, Byron J. J.] Monte L Bean Life Sci Museum, Provo, UT 84602 USA</t>
  </si>
  <si>
    <t>Brigham Young University; Brigham Young University; Zhengzhou University</t>
  </si>
  <si>
    <t>Robinson, CM (corresponding author), Brigham Young Univ, Dept Biol, Provo, UT 84602 USA.</t>
  </si>
  <si>
    <t>cr464@byu.edu</t>
  </si>
  <si>
    <t>XUE, XIA/HJZ-1573-2023; Adams, Byron/C-3808-2009</t>
  </si>
  <si>
    <t>Adams, Byron/0000-0002-7815-3352; Hansen, Lee/0000-0001-8581-9020; Robinson, Colin Michael/0000-0002-4226-6291; xue, xia/0000-0002-5783-1281</t>
  </si>
  <si>
    <t>National Science Foundation [OPP-1637708]</t>
  </si>
  <si>
    <t>National Science Foundation(National Science Foundation (NSF))</t>
  </si>
  <si>
    <t>This work was supported by the National Science Foundation Grant #OPP-1637708 for Long Term Ecological Research.</t>
  </si>
  <si>
    <t>10.3390/biology12010109</t>
  </si>
  <si>
    <t>8B5GX</t>
  </si>
  <si>
    <t>Green Published, gold, Green Submitted</t>
  </si>
  <si>
    <t>WOS:000916952300001</t>
  </si>
  <si>
    <t>Vendrami, DLJ; Hoffman, JI; Wilding, CS</t>
  </si>
  <si>
    <t>Vendrami, David L. J.; Hoffman, Joseph I.; Wilding, Craig S.</t>
  </si>
  <si>
    <t>Heterogeneous Genomic Divergence Landscape in Two Commercially Important European Scallop Species</t>
  </si>
  <si>
    <t>GENES</t>
  </si>
  <si>
    <t>Pecten; scallop; RAD sequencing; genome differentiation; speciation; chromosomal inversion; inversion</t>
  </si>
  <si>
    <t>PECTEN-MAXIMUS; CHROMOSOMAL INVERSIONS; REPRODUCTIVE ISOLATION; TOOL SET; EVOLUTION; SPECIATION; JACOBAEUS; DIVERSITY; ATLANTIC; SUGGESTS</t>
  </si>
  <si>
    <t>Two commercially important scallop species of the genus Pecten are found in Europe: the north Atlantic Pecten maximus and the Mediterranean Pecten jacobaeus whose distributions abut at the Almeria-Oran front. Whilst previous studies have quantified genetic divergence between these species, the pattern of differentiation along the Pecten genome is unknown. Here, we mapped RADseq data from 235 P. maximus and 27 P. jacobaeus to a chromosome-level reference genome, finding a heterogeneous landscape of genomic differentiation. Highly divergent genomic regions were identified across 14 chromosomes, while the remaining five showed little differentiation. Demographic and comparative genomics analyses suggest that this pattern resulted from an initial extended period of isolation, which promoted divergence, followed by differential gene flow across the genome during secondary contact. Single nucleotide polymorphisms present within highly divergent genomic regions were located in areas of low recombination and contrasting patterns of LD decay were found between the two species, hinting at the presence of chromosomal inversions in P. jacobaeus. Functional annotations revealed that highly differentiated regions were enriched for immune-related processes and mRNA modification. While future work is necessary to characterize structural differences, this study provides new insights into the speciation genomics of P. maximus and P. jacobaeus.</t>
  </si>
  <si>
    <t>[Vendrami, David L. J.; Hoffman, Joseph I.] Univ Bielefeld, Dept Anim Behav, POB 100131, D-33615 Bielefeld, Germany; [Hoffman, Joseph I.] British Antarctic Survey, High Cross,Madingley Rd, Cambridge CB3 OET, England; [Wilding, Craig S.] Liverpool John Moores Univ, Sch Biol &amp; Environm Sci, Byrom St, Liverpool L3 3AF, England</t>
  </si>
  <si>
    <t>University of Bielefeld; UK Research &amp; Innovation (UKRI); Natural Environment Research Council (NERC); NERC British Antarctic Survey; Liverpool John Moores University</t>
  </si>
  <si>
    <t>Vendrami, DLJ (corresponding author), Univ Bielefeld, Dept Anim Behav, POB 100131, D-33615 Bielefeld, Germany.</t>
  </si>
  <si>
    <t>david.vendrami@uni-bielefeld.de</t>
  </si>
  <si>
    <t>Hoffman, Joseph/K-7725-2012; Wilding, Craig/C-5500-2012</t>
  </si>
  <si>
    <t>Hoffman, Joseph/0000-0001-5895-8949; Vendrami, David L. J./0000-0001-9409-4084; Wilding, Craig/0000-0001-5818-2706</t>
  </si>
  <si>
    <t>2073-4425</t>
  </si>
  <si>
    <t>GENES-BASEL</t>
  </si>
  <si>
    <t>Genes</t>
  </si>
  <si>
    <t>10.3390/genes14010014</t>
  </si>
  <si>
    <t>Genetics &amp; Heredity</t>
  </si>
  <si>
    <t>7Y0RX</t>
  </si>
  <si>
    <t>gold, Green Published, Green Accepted</t>
  </si>
  <si>
    <t>WOS:000914598800001</t>
  </si>
  <si>
    <t>Pei, YM; Jin, JS; Wu, Q; Liang, XC; Lv, C; Guo, JY</t>
  </si>
  <si>
    <t>Pei, Yiming; Jin, Jisu; Wu, Qiang; Liang, Xiaocui; Lv, Chen; Guo, Jianying</t>
  </si>
  <si>
    <t>Cold Acclimation and Supercooling Capacity of Agasicles hygrophila Adults</t>
  </si>
  <si>
    <t>INSECTS</t>
  </si>
  <si>
    <t>cold acclimation; supercooling; biological control; Agasicles hygrophila; Alternanthera philoxeroides</t>
  </si>
  <si>
    <t>ANTARCTIC MIDGE; HARDENING INCREASES; BIOLOGICAL-CONTROL; TOLERANCE; PLASTICITY; BEETLE; COLEOPTERA; RESPONSES; SURVIVAL; HISTORY</t>
  </si>
  <si>
    <t>Simple Summary The chrysomelid beetle Agasicles hygrophila is an effective natural enemy used in the biocontrol of the invasive weed Alternanthera philoxeroides. However, few studies have focused on the cold acclimation of A. hygrophila. We investigated the effects of exposure to different sub-lethal low temperatures for different durations on biological indices of adult male and female A. hygrophila and subsequently selected an appropriate acclimation temperature to enhance low-temperature tolerance. We found that A. hygrophila can acclimate to the cold and that this acclimation can enhance the cold tolerance of this beetle at -10 degrees C. Moreover, an appropriate acclimation temperature and time were found to enhance the survival and longevity of captive-bred A. hygrophila adults, which has ecological relevance for the biological control of A. philoxeroides in cold areas of northern China. Agasicles hygrophila Selman and Vogt is used in the biological control of the invasive weed Alternanthera philoxeroides (Mart.) Griseb. However, with the northward establishment of A. philoxeroides in China, the weak adaptivity of A. hygrophila to cold weather has resulted in the ineffective control of A. philoxeroides in northern China. Cold acclimation can significantly enhance insect cold tolerance, enabling them to cope with more frequent climate fluctuations. To improve the biological control efficacy of A. hygrophila in cold climates, we compared the effects of rapid cold hardening and acclimation on A. hygrophila under laboratory conditions. On initially transferring adults from 26 to -10 degrees C for 2 h, mortality reached 80%. However, when pre-exposed to 0 degrees C for 2 h and then transferred to -10 degrees C for 2 h, adult mortality was reduced to 36.67%. These findings indicate that cold acclimation can enhance the cold tolerance of A. hygrophila under laboratory conditions. However, the beneficial cold acclimation effects waned after more than 15 min of recovery at 26 degrees C. Exposure to 15 degrees C for 24 h or gradual cooling from 0 to -10 degrees C at 1 degrees C center dot min(-1) also induced cold acclimation, indicating that long-term cold and fluctuating cold acclimation are also potentially effective strategies for enhancing low-temperature tolerance.</t>
  </si>
  <si>
    <t>[Pei, Yiming; Jin, Jisu; Wu, Qiang; Liang, Xiaocui; Lv, Chen; Guo, Jianying] Chinese Acad Agr Sci, Inst Plant Protect, State Key Lab Biol Plant Dis &amp; Insect Pests, Beijing 100193, Peoples R China; [Wu, Qiang] Chinese Acad Agr Sci, Agr Genom Inst Shenzhen, Shenzhen 518100, Peoples R China</t>
  </si>
  <si>
    <t>Chinese Academy of Agricultural Sciences; Institute of Plant Protection, CAAS; Chinese Academy of Agricultural Sciences; Agriculture Genomes Institute at Shenzhen, CAAS</t>
  </si>
  <si>
    <t>Guo, JY (corresponding author), Chinese Acad Agr Sci, Inst Plant Protect, State Key Lab Biol Plant Dis &amp; Insect Pests, Beijing 100193, Peoples R China.</t>
  </si>
  <si>
    <t>guojianying@caas.cn</t>
  </si>
  <si>
    <t>National Natural Science Foundation of China [32172486]; China Postdoctoral Science Foundation [2022M713426]</t>
  </si>
  <si>
    <t>National Natural Science Foundation of China(National Natural Science Foundation of China (NSFC)); China Postdoctoral Science Foundation(China Postdoctoral Science Foundation)</t>
  </si>
  <si>
    <t>This research was supported by the National Natural Science Foundation of China (32172486) and the China Postdoctoral Science Foundation (2022M713426).</t>
  </si>
  <si>
    <t>2075-4450</t>
  </si>
  <si>
    <t>Insects</t>
  </si>
  <si>
    <t>10.3390/insects14010058</t>
  </si>
  <si>
    <t>7Z2KM</t>
  </si>
  <si>
    <t>WOS:000915392700001</t>
  </si>
  <si>
    <t>Zhu, Z; Song, MR</t>
  </si>
  <si>
    <t>Zhu, Zhu; Song, Mirong</t>
  </si>
  <si>
    <t>Impacts of Observed Extreme Antarctic Sea Ice Conditions on the Southern Hemisphere Atmosphere</t>
  </si>
  <si>
    <t>model simulations; Antarctic sea ice; Southern Hemisphere climate</t>
  </si>
  <si>
    <t>DECLINE</t>
  </si>
  <si>
    <t>The Antarctic sea ice has undergone dramatic changes in recent years, with the highest recorded sea ice extent in 2014 and the lowest in 2017. We investigated the impacts of the observed changes in these two extremes of Antarctic sea ice conditions on the atmospheric circulation in the Southern Hemisphere. We conducted three numerical simulations with different seasonal cycles of Antarctic sea ice forcings using the Community Atmosphere Model Version 5: the maximum sea ice extent in 2014 (ICE_14), the minimum sea ice extent in 2017 (ICE_17), and the average sea ice extent between 1981 and 2010 (ICE_clm, reference simulation). Our results suggest that the atmospheric response in the Southern Hemisphere showed strong seasonal variations and the atmospheric circulation in winter was more sensitive to the decreased Antarctic sea ice in 2017 than the increased sea ice in 2014. In ICE_14, the westerlies over the polar region were enhanced in summer, but there was no significant change in the zonal-averaged wind in winter. In contrast, in ICE_17, there was a clear equatorward shift in the subtropical jet in winter, but no significant change in summer. The temperature responses were limited to the Antarctic coast, where there were changes in the sea ice in ICE_14 and ICE_17. The warming on the coast of the Amundsen Sea in summer led to a slight increase in precipitation in both simulations.</t>
  </si>
  <si>
    <t>[Zhu, Zhu; Song, Mirong] Chinese Acad Sci, Inst Atmospher Phys, State Key Lab Numer Modeling Atmospher Sci &amp; Geoph, Beijing 100029, Peoples R China; [Zhu, Zhu] Univ Chinese Acad Sci, Coll Earth &amp; Planetary Sci, Beijing 100049, Peoples R China; [Song, Mirong] Southern Marine Sci &amp; Engn Guangdong Lab Zhuhai, Zhuhai 519080, Peoples R China</t>
  </si>
  <si>
    <t>Chinese Academy of Sciences; Institute of Atmospheric Physics, CAS; Chinese Academy of Sciences; University of Chinese Academy of Sciences, CAS; Southern Marine Science &amp; Engineering Guangdong Laboratory; Southern Marine Science &amp; Engineering Guangdong Laboratory (Zhuhai)</t>
  </si>
  <si>
    <t>Song, MR (corresponding author), Chinese Acad Sci, Inst Atmospher Phys, State Key Lab Numer Modeling Atmospher Sci &amp; Geoph, Beijing 100029, Peoples R China.;Song, MR (corresponding author), Southern Marine Sci &amp; Engn Guangdong Lab Zhuhai, Zhuhai 519080, Peoples R China.</t>
  </si>
  <si>
    <t>songmirong@lasg.iap.ac.cn</t>
  </si>
  <si>
    <t>10.3390/atmos14010036</t>
  </si>
  <si>
    <t>7X7DU</t>
  </si>
  <si>
    <t>WOS:000914359200001</t>
  </si>
  <si>
    <t>Salinas, V; Marina, TI; Cordone, G; Momo, FR</t>
  </si>
  <si>
    <t>Salinas, Vanesa; Marina, Tomas I.; Cordone, Georgina; Momo, Fernando R.</t>
  </si>
  <si>
    <t>Ecological networks of an Antarctic ecosystem: a full description of non-trophic interactions</t>
  </si>
  <si>
    <t>MARINE BIOLOGY</t>
  </si>
  <si>
    <t>Non-trophic interactions; Ecological networks; Species-level properties; Network-level properties; Multiple interactions' network</t>
  </si>
  <si>
    <t>SOUTH SHETLAND ISLANDS; FOOD-WEB STRUCTURE; POTTER COVE; MUTUALISTIC NETWORKS; CLIMATE-CHANGE; COMMUNITY; ARCHITECTURE; ROBUSTNESS; MACROALGAE; COMPLEXITY</t>
  </si>
  <si>
    <t>Interactions between organisms are diverse and attend to multiple biological demands; hence, understanding ecological communities requires considering different types of species interactions beyond predation. In this work, we assembled the non-trophic networks of a marine Antarctic ecosystem for the first time. We report mutualistic (+ / +), competitive (- / -), commensalistic (+ /0) and amensalistic (- /0) interactions between species of the Potter Cove marine community (South Shetland Is., Antarctica). Based on a network approach, we present a full description of each type of interaction and analyze its distribution according to different species-level properties. Also, we constructed a multiple interactions network including trophic and non-trophic interactions and studied network-level properties. We found more than double non-trophic interactions than trophic mostly corresponding to competitive interactions that mainly involve mid-trophic level species. Low-trophic level species were mainly involved in mutualistic and amensalistic interactions. We observed that single-type interaction networks display differences in their topology. Finally, we highlight that including a description of species interactions in ecological network analyses provides a better understanding of ecosystems which it is crucial to comprehend and predict ecosystems responses to environmental changes.</t>
  </si>
  <si>
    <t>[Salinas, Vanesa; Momo, Fernando R.] Univ Nacl Gen Sarmiento, Inst Ciencias, Buenos Aires, Argentina; [Marina, Tomas I.] Ctr Austral Invest Cient CAD CONICET, Ushuaia, Argentina; [Cordone, Georgina] CCT CONICET CENPAT, Ctr Estudio Sistemas Marinos CESIMAR, Puerto Madryn, Argentina</t>
  </si>
  <si>
    <t>Centro Nacional Patagonico (CENPAT)</t>
  </si>
  <si>
    <t>Salinas, V (corresponding author), Univ Nacl Gen Sarmiento, Inst Ciencias, Buenos Aires, Argentina.</t>
  </si>
  <si>
    <t>vsalinas@campus.ungs.edu.ar</t>
  </si>
  <si>
    <t>Marina, Tomas Ignacio/U-3460-2018</t>
  </si>
  <si>
    <t>Salinas, Vanesa/0000-0002-2049-3450; Cordone, Georgina Florencia/0000-0003-2883-7964</t>
  </si>
  <si>
    <t>Consejo Nacional de Investigaciones Cientificas y Tecnicas [CONICET-PIO 14420140100035CO]</t>
  </si>
  <si>
    <t>Consejo Nacional de Investigaciones Cientificas y Tecnicas(Consejo Nacional de Investigaciones Cientificas y Tecnicas (CONICET))</t>
  </si>
  <si>
    <t>This work was partially funded by Consejo Nacional de Investigaciones Cientificas y Tecnicas (CONICET-PIO 14420140100035CO) Argentina and conducted in the frame of VS Ph.D. studies. There was no additional funding to carry on this study.</t>
  </si>
  <si>
    <t>0025-3162</t>
  </si>
  <si>
    <t>1432-1793</t>
  </si>
  <si>
    <t>MAR BIOL</t>
  </si>
  <si>
    <t>Mar. Biol.</t>
  </si>
  <si>
    <t>10.1007/s00227-022-04155-3</t>
  </si>
  <si>
    <t>7H5RO</t>
  </si>
  <si>
    <t>WOS:000903260700001</t>
  </si>
  <si>
    <t>Teng, XN; Wang, SC; Zeb, L; Dong, YS; Xiu, ZL</t>
  </si>
  <si>
    <t>Teng, Xin-Nan; Wang, Shu-Chang; Zeb, Liaqat; Dong, Yue-Sheng; Xiu, Zhi-Long</t>
  </si>
  <si>
    <t>Two-Step Enzymolysis of Antarctic Krill for Simultaneous Preparation of Value-Added Oil and Enzymolysate</t>
  </si>
  <si>
    <t>MARINE DRUGS</t>
  </si>
  <si>
    <t>Antarctic krill oil; enzymolysis; protease; chitinase; extraction</t>
  </si>
  <si>
    <t>EUPHAUSIA-SUPERBA; FATTY-ACIDS; LIPID YIELD; EXTRACTION; ENZYMES; MEAL</t>
  </si>
  <si>
    <t>Antarctic krill is a crucial marine resource containing plenty of high-valued nutrients. However, krill oil as a single product has been developed by the current solvent extraction with high cost. From the perspective of comprehensive utilization of Antarctic krill, this study proposed a novel two-step enzymolysis-assisted extraction in attempt to produce value-added oil and enzymolysate simultaneously. After two-step chitinase/protease hydrolysis, the lipid yield increased from 2.09% to 4.18%, reaching 112% of Soxhlet extraction. The method greatly improved the yields of main components while reducing the impurity content without further refining. After optimization, the oil contained 246.05 mg/g of phospholipid, 80.96 mg/g of free eicosapentaenoic acid (EPA) and docosahexaenoic acid (DHA), and 0.82 mg/g of astaxanthin. The by-product enzymolysate was abundant in water-soluble proteins (34.35 mg/g), oligopeptides (13.92 mg/g), amino acids (34.24 mg/g), and carbohydrates (5.79 mg/g), which was a good source of functional nutrients. In addition, both oil and enzymolysate showed high antioxidant capacity. This novel method could simultaneously provide oil and enzymolysate amounting for 58.61% of dried krill.</t>
  </si>
  <si>
    <t>[Teng, Xin-Nan; Wang, Shu-Chang; Zeb, Liaqat; Dong, Yue-Sheng; Xiu, Zhi-Long] Dalian Univ Technol, Sch Bioengn, Dalian 116024, Peoples R China</t>
  </si>
  <si>
    <t>Dalian University of Technology</t>
  </si>
  <si>
    <t>Xiu, ZL (corresponding author), Dalian Univ Technol, Sch Bioengn, Dalian 116024, Peoples R China.</t>
  </si>
  <si>
    <t>zhlxiu@dlut.edu.cn</t>
  </si>
  <si>
    <t>Zeb, Liaqat/AAZ-9953-2020</t>
  </si>
  <si>
    <t>Zeb, Liaqat/0000-0002-3657-5362; dong, yuesheng/0000-0001-5010-6426</t>
  </si>
  <si>
    <t>National Natural Science Foundation of China [22078042]</t>
  </si>
  <si>
    <t>This research was funded by the National Natural Science Foundation of China, 22078042.</t>
  </si>
  <si>
    <t>1660-3397</t>
  </si>
  <si>
    <t>MAR DRUGS</t>
  </si>
  <si>
    <t>Mar. Drugs</t>
  </si>
  <si>
    <t>10.3390/md21010047</t>
  </si>
  <si>
    <t>Chemistry, Medicinal; Pharmacology &amp; Pharmacy</t>
  </si>
  <si>
    <t>Pharmacology &amp; Pharmacy</t>
  </si>
  <si>
    <t>7Y8XP</t>
  </si>
  <si>
    <t>WOS:000915155000001</t>
  </si>
  <si>
    <t>Zhang, SK; Gong, L; Gao, WL; Zeng, Q; Xiao, F; Liu, ZZ; Lei, JT</t>
  </si>
  <si>
    <t>Zhang, Shengkai; Gong, Li; Gao, Wenliang; Zeng, Qi; Xiao, Feng; Liu, Zhizhao; Lei, Jintao</t>
  </si>
  <si>
    <t>A weighted mean temperature model using principal component analysis for Greenland</t>
  </si>
  <si>
    <t>GPS SOLUTIONS</t>
  </si>
  <si>
    <t>Weighted mean temperature; ERA5; PCA; Greenland</t>
  </si>
  <si>
    <t>GLOBAL EMPIRICAL-MODEL; ZENITH WET DELAYS; NETWORK</t>
  </si>
  <si>
    <t>The weighted mean temperature (T-m) is an important parameter to convert the tropospheric zenith wet delay (ZWD) extracted from the global navigation satellite system (GNSS) signal into precipitable water vapor (PWV). The computation of T-m requires vertical or ground meteorological parameters. However, most GNSS stations in Greenland lack in situ meteorological data, resulting in an accuracy degradation of the derived PWV. Using the most recent ERA5 reanalysis data provided by the European Centre for Medium-Range Weather Forecasts (ECMWF) from 1990 to 2018, we extract the principal components from a large amount of reanalysis data and then model T-m using a data-driven principal component analysis (PCA) method. In comparison with classic periodic modeling approaches, our PCA model uses fewer parameters and considers temperature fluctuation with height. The proposed model is validated using observations from 11 radiosonde stations in Greenland from 2015 to 2019. The model's bias and RMSE are - 0.110 and 4.447 K, respectively. The new model is also compared to the global pressure and temperature 3 (GPT3) and GTrop traditional grid models. The bias is reduced by 0.339 and 0.422 K, respectively, and the RMSE is reduced by 0.197 and 0.045 K, respectively.</t>
  </si>
  <si>
    <t>[Zhang, Shengkai; Gong, Li; Zeng, Qi; Xiao, Feng] Wuhan Univ, Chinese Antarctic Ctr Surveying &amp; Mapping, Wuhan 430079, Peoples R China; [Gao, Wenliang] China Univ Min &amp; Technol, Sch Environm Sci &amp; Spatial Informat, Xuzhou 221116, Peoples R China; [Liu, Zhizhao; Lei, Jintao] Hong Kong Polytech Univ, Dept Land Surveying &amp; Geoinformat, Kowloon, Hong Kong, Peoples R China</t>
  </si>
  <si>
    <t>Wuhan University; China University of Mining &amp; Technology; Hong Kong Polytechnic University</t>
  </si>
  <si>
    <t>Lei, JT (corresponding author), Hong Kong Polytech Univ, Dept Land Surveying &amp; Geoinformat, Kowloon, Hong Kong, Peoples R China.</t>
  </si>
  <si>
    <t>jintao.lei@gmail.com</t>
  </si>
  <si>
    <t>Liu, Zhizhao/C-7406-2012</t>
  </si>
  <si>
    <t>Liu, Zhizhao/0000-0001-6822-9248; Gao, Wenliang/0000-0002-2891-0693; Lei, Jintao/0000-0002-4497-5868</t>
  </si>
  <si>
    <t>National Key Research and Development Program of China [2017YFA0603104]; State Key Program of the National Natural Science Foundation of China [42074006]</t>
  </si>
  <si>
    <t>National Key Research and Development Program of China; State Key Program of the National Natural Science Foundation of China(National Natural Science Foundation of China (NSFC))</t>
  </si>
  <si>
    <t>AcknowledgementsThe authors are very grateful to the ECMWF for providing the ERA5 reanalysis data and to the University of Wyoming for providing the radiosonde data. This research was funded by the National Key Research and Development Program of China, grant number 2017YFA0603104, and the State Key Program of the National Natural Science Foundation of China, grant number 42074006.</t>
  </si>
  <si>
    <t>1080-5370</t>
  </si>
  <si>
    <t>1521-1886</t>
  </si>
  <si>
    <t>GPS SOLUT</t>
  </si>
  <si>
    <t>GPS Solut.</t>
  </si>
  <si>
    <t>10.1007/s10291-022-01392-3</t>
  </si>
  <si>
    <t>Remote Sensing</t>
  </si>
  <si>
    <t>7U8OC</t>
  </si>
  <si>
    <t>WOS:000912385200001</t>
  </si>
  <si>
    <t>Magazzù, A; Ciriza, DB; Musolino, A; Saidi, A; Polimeno, P; Donato, MG; Foti, A; Gucciardi, PG; Iatì, MA; Saija, R; Perchiazzi, N; Rotundi, A; Folco, L; Maragò, OM</t>
  </si>
  <si>
    <t>Magazzu, A.; Ciriza, D. Bronte; Musolino, A.; Saidi, A.; Polimeno, P.; Donato, M. G.; Foti, A.; Gucciardi, P. G.; Iati, M. A.; Saija, R.; Perchiazzi, N.; Rotundi, A.; Folco, L.; Marago, O. M.</t>
  </si>
  <si>
    <t>Investigation of Dust Grains by Optical Tweezers for Space Applications</t>
  </si>
  <si>
    <t>ASTROPHYSICAL JOURNAL</t>
  </si>
  <si>
    <t>Interplanetary dust; Meteoroid dust clouds; Solid matter physics</t>
  </si>
  <si>
    <t>INTERSTELLAR DUST; NONSPHERICAL PARTICLES; METAL GLASSES; RAMAN; FORCE; FIELD; IDENTIFICATION; COLLECTION; LEVITATION; EXPLOSION</t>
  </si>
  <si>
    <t>Cosmic dust plays a dominant role in the universe, especially in the formation of stars and planetary systems. Furthermore, the surface of cosmic dust grains is the benchwork where molecular hydrogen and simple organic compounds are formed. We manipulate individual dust particles in a water solution by contactless and noninvasive techniques such as standard optical and Raman tweezers, to characterize their response to mechanical effects of light (optical forces and torques) and to determine their mineral compositions. Moreover, we show accurate optical force calculations in the T-matrix formalism highlighting the key role of composition and complex morphology in the optical trapping of cosmic dust particles. This opens perspectives for future applications of optical tweezers in curation facilities for sample-return missions or in extraterrestrial environments.</t>
  </si>
  <si>
    <t>[Magazzu, A.; Ciriza, D. Bronte; Polimeno, P.; Donato, M. G.; Foti, A.; Gucciardi, P. G.; Iati, M. A.; Marago, O. M.] CNR IPCF, Ist &amp; Processi Chimicofis, Messina, Italy; [Ciriza, D. Bronte; Saidi, A.; Polimeno, P.; Saija, R.] Univ Messina, Dipartimento Sci Matemat &amp; Informat Sci Fis &amp; Sci, Messina, Italy; [Musolino, A.; Perchiazzi, N.; Folco, L.] Univ Pisa, Dipartimento Sci Terra, Pisa, Italy; [Musolino, A.] Ist Astrofis &amp; Planetol Spaziali, Ist Nazl Astrofis, INAF IAPS, Rome, Italy; [Rotundi, A.] Univ Napoli Parthenope, Dipartimento Sci &amp; Tecnol, Naples, Italy; [Folco, L.] Univ Pisa, Ctr Instrument Sharing Univ Pisa, CISUP, Pisa, Italy</t>
  </si>
  <si>
    <t>Consiglio Nazionale delle Ricerche (CNR); Istituto per i Processi Chimico-Fisici (IPCF-CNR); University of Messina; University of Pisa; Istituto Nazionale Astrofisica (INAF); Parthenope University Naples; University of Pisa</t>
  </si>
  <si>
    <t>Magazzù, A (corresponding author), CNR IPCF, Ist &amp; Processi Chimicofis, Messina, Italy.</t>
  </si>
  <si>
    <t>magazzu@ipcf.cnr.it</t>
  </si>
  <si>
    <t>Donato, Maria G/A-9645-2018; Foti, Antonino/AAC-9085-2021; gucciardi, pietro giuseppe/B-8188-2014</t>
  </si>
  <si>
    <t>Foti, Antonino/0000-0002-9824-3099; SAIJA, Rosalba/0000-0002-5823-9749; gucciardi, pietro giuseppe/0000-0003-1826-9174; Bronte Ciriza, David/0000-0002-5874-6601</t>
  </si>
  <si>
    <t>Agenzia Spaziale Italiana (ASI); Istituto Nazionale di Astrofisica (INAF) [2018-16-HH.0]; European Commission [812780]; ASI-INAF [I/024/12/0]; 2017 Antarctic Campaign of the Programma Nazionale delle Ricerche in Antartide (PNRA) within the Meteoriti Antartiche [PNRA16_00029]; Museo Nazionale dell'Antartide di Siena</t>
  </si>
  <si>
    <t>Agenzia Spaziale Italiana (ASI)(Agenzia Spaziale Italiana (ASI)); Istituto Nazionale di Astrofisica (INAF)(Istituto Nazionale Astrofisica (INAF)); European Commission(European Union (EU)European Commission Joint Research Centre); ASI-INAF(Istituto Nazionale Astrofisica (INAF)Agenzia Spaziale Italiana (ASI)); 2017 Antarctic Campaign of the Programma Nazionale delle Ricerche in Antartide (PNRA) within the Meteoriti Antartiche; Museo Nazionale dell'Antartide di Siena</t>
  </si>
  <si>
    <t>We acknowledge financial contribution from the agreement between Agenzia Spaziale Italiana (ASI) and Istituto Nazionale di Astrofisica (INAF) n.2018-16-HH.0, project SPACE Tweezers and from the MSCA innovative training network (ITN) project ActiveMatter sponsored by the European Commission (Horizon 2020, Project Number 812780). A. Musolino acknowledges support by ASI-INAF, Rosetta GIADA, I/024/12/0. The lunar regolith breccia was collected during the 2017 Antarctic Campaign of the Programma Nazionale delle Ricerche in Antartide (PNRA) within the Meteoriti Antartiche project (ID: PNRA16_00029), and the sample used in this study was provided by the Museo Nazionale dell'Antartide di Siena. SEM imaging was carried out at the ESEM-FEG facility of the Centro per la Integrazione della Strumentazione-Universita di Pisa (CISUP). A. Magazzu, D. Bronte Ciriza, and A. Musolino contributed equally to this work.</t>
  </si>
  <si>
    <t>IOP Publishing Ltd</t>
  </si>
  <si>
    <t>BRISTOL</t>
  </si>
  <si>
    <t>TEMPLE CIRCUS, TEMPLE WAY, BRISTOL BS1 6BE, ENGLAND</t>
  </si>
  <si>
    <t>0004-637X</t>
  </si>
  <si>
    <t>1538-4357</t>
  </si>
  <si>
    <t>ASTROPHYS J</t>
  </si>
  <si>
    <t>Astrophys. J.</t>
  </si>
  <si>
    <t>10.3847/1538-4357/ac9a45</t>
  </si>
  <si>
    <t>Astronomy &amp; Astrophysics</t>
  </si>
  <si>
    <t>7K4VA</t>
  </si>
  <si>
    <t>WOS:000905281000001</t>
  </si>
  <si>
    <t>Bargagli, R; Rota, E</t>
  </si>
  <si>
    <t>Bargagli, Roberto; Rota, Emilia</t>
  </si>
  <si>
    <t>Microplastic Interactions and Possible Combined Biological Effects in Antarctic Marine Ecosystems</t>
  </si>
  <si>
    <t>ANIMALS</t>
  </si>
  <si>
    <t>Antarctic marine biota; anthropogenic contaminants; climate change; cumulative stress; fish; krill; microplastics; penguins; polar skua; seals; zoobenthos</t>
  </si>
  <si>
    <t>HEAVY-METAL CONTAMINATION; FUR SEALS; OCEAN ACIDIFICATION; PLASTIC INGESTION; 1ST EVIDENCE; BIRD ISLAND; ROSS SEA; ACCUMULATION; DEBRIS; ORGANISMS</t>
  </si>
  <si>
    <t>Simple Summary Plastic pollution is spreading worldwide and a growing number of reports point to the presence of plastic waste and microplastics in Antarctic marine ecosystems. Although the available data do not yet allow us to define the distribution of microplastics in the biotic and abiotic components of the Southern Ocean, in discussing the possible interactions with other contaminants in wastewater from scientific stations and their possible combined effects on primary producers and food webs, this review emphasizes the urgent need for standardized protocols of sampling and analysis of microplastics. Considering the unique oceanographic and biological characteristics of the Southern Ocean, we also suggest evaluating the likely cumulative stresses in Antarctic marine organisms and ecosystems due to exposure to climate-induced environmental changes, such as the recent decrease in sea-ice formation and seawater acidification. Antarctica and the Southern Ocean are the most remote regions on Earth, and their quite pristine environmental conditions are increasingly threatened by local scientific, tourism and fishing activities and long-range transport of persistent anthropogenic contaminants from lower latitudes. Plastic debris has become one of the most pervasive and ubiquitous synthetic wastes in the global environment, and even at some coastal Antarctic sites it is the most common and enduring evidence of past and recent human activities. Despite the growing scientific interest in the occurrence of microplastics (MPs) in the Antarctic environment, the lack of standardized methodologies for the collection, analysis and assessment of sample contamination in the field and in the lab does not allow us to establish their bioavailability and potential impact. Overall, most of the Southern Ocean appears to be little-affected by plastic contamination, with the exception of some coastal marine ecosystems impacted by wastewater from scientific stations and tourist vessels or by local fishing activities. Microplastics have been detected in sediments, benthic organisms, Antarctic krill and fish, but there is no clear evidence of their transfer to seabirds and marine mammals. Therefore, we suggest directing future research towards standardization of methodologies, focusing attention on nanoplastics (which probably represent the greatest biological risks) and considering the interactions of MPs with macro- and microalgae (especially sea-ice algae) and the formation of epiplastic communities. In coastal ecosystems directly impacted by human activities, the combined exposure to paint chips, metals, persistent organic pollutants (POPs), contaminants of emerging interest (CEI) and pathogenic microorganisms represents a potential danger for marine organisms. Moreover, the Southern Ocean is very sensitive to water acidification and has shown a remarkable decrease in sea-ice formation in recent years. These climate-related stresses could reduce the resilience of Antarctic marine organisms, increasing the impact of anthropogenic contaminants and pathogenic microorganisms.</t>
  </si>
  <si>
    <t>[Bargagli, Roberto; Rota, Emilia] Univ Siena, Dept Phys Earth &amp; Environm Sci, Via PA Mattioli 4, IT-53100 Siena, Italy</t>
  </si>
  <si>
    <t>University of Siena</t>
  </si>
  <si>
    <t>Rota, E (corresponding author), Univ Siena, Dept Phys Earth &amp; Environm Sci, Via PA Mattioli 4, IT-53100 Siena, Italy.</t>
  </si>
  <si>
    <t>rota@unisi.it</t>
  </si>
  <si>
    <t>Rota, Emilia/0000-0002-8235-6419</t>
  </si>
  <si>
    <t>2076-2615</t>
  </si>
  <si>
    <t>ANIMALS-BASEL</t>
  </si>
  <si>
    <t>Animals</t>
  </si>
  <si>
    <t>10.3390/ani13010162</t>
  </si>
  <si>
    <t>Agriculture, Dairy &amp; Animal Science; Veterinary Sciences; Zoology</t>
  </si>
  <si>
    <t>Agriculture; Veterinary Sciences; Zoology</t>
  </si>
  <si>
    <t>7P1QS</t>
  </si>
  <si>
    <t>WOS:000908488900001</t>
  </si>
  <si>
    <t>Queirós, JP; Bartolomé, A; Piatkowski, U; Xavier, JC; Perales-Raya, C</t>
  </si>
  <si>
    <t>Queiros, Jose P.; Bartolome, Aurora; Piatkowski, Uwe; Xavier, Jose C.; Perales-Raya, Catalina</t>
  </si>
  <si>
    <t>Age and growth estimation of Southern Ocean squid Moroteuthopsis longimana: can we use beaks collected from predators' stomachs?</t>
  </si>
  <si>
    <t>Antarctica; Cephalopods; Growing; Onychoteuthidae; Reproduction; Sclerochronology</t>
  </si>
  <si>
    <t>OCTOPUS-VULGARIS; POPULATION-STRUCTURE; TROPHIC ECOLOGY; INDIAN-OCEAN; STATOLITH MICROSTRUCTURE; DOSIDICUS-GIGAS; LIFE-HISTORY; SCOTIA SEA; CEPHALOPODS; DIET</t>
  </si>
  <si>
    <t>Squid play a major role in the Southern Ocean food web. However, their age and growth remain poorly studied. Here, using upper and lower beaks of Moroteuthopsis longimana collected from the diet of Dissostichus mawsoni from Pacific and Atlantic sectors of the Southern Ocean, we studied: (1) Feasibility of using beaks collected from predators' stomachs to study the age of Southern Ocean oceanic squid; and (2) Age estimation and growth patterns of M. longimana. The rostrum sagittal section (RSS) of both beaks had micro-increments, with the lower beak being the best to observe and count a readable sequence of increments to estimate the age. Assuming a daily deposition of increments, our results suggest that M. longimana can live up to 820 days and may hatch throughout the year. Studied individuals presented a consistent growth rate from hatching to death but with, at least, one period of faster growth. A novel pattern of regular cycles, composed of 7-10 lighter increments followed by a darker one, was found in the medium-anterior region of the RSS. Differences were found in the growth rate and size reached at the same age between individuals from the Pacific and Atlantic sectors, which might be related with different environmental conditions between both capture sites. This study shows that lower beaks from predators' stomachs can be used to study the age of Southern Ocean squids and that M. longimana hatches in all seasons, being available year round to predators that feed of this species.</t>
  </si>
  <si>
    <t>[Queiros, Jose P.; Xavier, Jose C.] Univ Coimbra, MARE Marine &amp; Environm Sci Ctr ARNET Aquat Res Ne, Dept Life Sci, P-3000456 Coimbra, Portugal; [Bartolome, Aurora; Perales-Raya, Catalina] CSIC, Ctr Oceanog Canarias IEO, Calle Farola Mar 22, Santa Cruz De Tenerife 38180, Spain; [Piatkowski, Uwe] Helmholtz Ctr Ocean Res Kiel, GEOMAR, Dusternbrooker Weg 20, D-24105 Kiel, Germany; [Xavier, Jose C.] NERC, British Antarctic Survey, Madingley Rd, Cambridge CB3 0ET, England</t>
  </si>
  <si>
    <t>Universidade de Coimbra; Consejo Superior de Investigaciones Cientificas (CSIC); Helmholtz Association; GEOMAR Helmholtz Center for Ocean Research Kiel; UK Research &amp; Innovation (UKRI); Natural Environment Research Council (NERC); NERC British Antarctic Survey</t>
  </si>
  <si>
    <t>Queirós, JP (corresponding author), Univ Coimbra, MARE Marine &amp; Environm Sci Ctr ARNET Aquat Res Ne, Dept Life Sci, P-3000456 Coimbra, Portugal.</t>
  </si>
  <si>
    <t>jqueiros@student.uc.pt</t>
  </si>
  <si>
    <t>Xavier, José/KFB-6739-2024; Perales-Raya, Catalina/ABA-1332-2021; Piatkowski, Uwe/G-4161-2011</t>
  </si>
  <si>
    <t>Perales-Raya, Catalina/0000-0001-7782-2561; Piatkowski, Uwe/0000-0003-1558-5817; /0000-0002-9621-6660; Queiros, Jose Pedro/0000-0003-2763-2529</t>
  </si>
  <si>
    <t>FCT/MCTES through national funds (PIDDAC); Portuguese Polar Program (PROPOLAR); FCT [SFRH/BD/144320/2019, UIDB/704292/2020]</t>
  </si>
  <si>
    <t>FCT/MCTES through national funds (PIDDAC)(Fundacao para a Ciencia e a Tecnologia (FCT)); Portuguese Polar Program (PROPOLAR); FCT(Fundacao para a Ciencia e a Tecnologia (FCT))</t>
  </si>
  <si>
    <t>Authors would like to thank to the crew onboard the FV Antarctic Discovery during the Antarctic toothfish fishing season 2016/17 for the help given to JPQ during the sampling of the Ross and Amundsen Sea's beaks. We also thanks to Dr Jim Roberts by the beaks sampled at South Sandwich Islands. JPQ was supported by a FCT/MCTES through national funds (PIDDAC) and Portuguese Polar Program (PROPOLAR) and by FCT PhD scholarship co-financed by FSE (SFRH/BD/144320/2019). This study benefited from the strategic program of Marine and Environmental Sciences Centre (MARE), financed by the FCT (UIDB/704292/2020). Authors would like to thank the reviewers by their suggestions to improve the manuscript.</t>
  </si>
  <si>
    <t>10.1007/s00227-022-04156-2</t>
  </si>
  <si>
    <t>7K1CU</t>
  </si>
  <si>
    <t>Green Accepted, hybrid, Green Published</t>
  </si>
  <si>
    <t>WOS:000905023900001</t>
  </si>
  <si>
    <t>van der Merwe, S; Greve, M; Skowno, AL; Hoffman, MT; Cramer, MD</t>
  </si>
  <si>
    <t>van der Merwe, Stephni; Greve, Michelle; Skowno, Andrew Luke; Hoffman, Michael Timm; Cramer, Michael Denis</t>
  </si>
  <si>
    <t>Can vegetation be discretely classified in species-poor environments? Testing plant community concepts for vegetation monitoring on sub-Antarctic Marion Island</t>
  </si>
  <si>
    <t>ECOLOGY AND EVOLUTION</t>
  </si>
  <si>
    <t>cluster analysis; discrete vegetation; plant community; species-poor environments; sub-Antarctic Marion Island; vegetation classification</t>
  </si>
  <si>
    <t>PLOT-BASED VEGETATION; TERRESTRIAL HABITATS; R-PACKAGE; CLIMATE; CLASSIFICATIONS; VALIDATION; CLUSTERS; INDEXES; NUMBER; MICE</t>
  </si>
  <si>
    <t>The updating and rethinking of vegetation classifications is important for ecosystem monitoring in a rapidly changing world, where the distribution of vegetation is changing. The general assumption that discrete and persistent plant communities exist that can be monitored efficiently, is rarely tested before undertaking a classification. Marion Island (MI) is comprised of species-poor vegetation undergoing rapid environmental change. It presents a unique opportunity to test the ability to discretely classify species-poor vegetation with recently developed objective classification techniques and relate it to previous classifications. We classified vascular species data of 476 plots sampled across MI, using Ward hierarchical clustering, divisive analysis clustering, non-hierarchical kmeans and partitioning around medoids. Internal cluster validation was performed using silhouette widths, Dunn index, connectivity of clusters and gap statistic. Indicator species analyses were also conducted on the best performing clustering methods. We evaluated the outputs against previously classified units. Ward clustering performed the best, with the highest average silhouette width and Dunn index, as well as the lowest connectivity. The number of clusters differed amongst the clustering methods, but most validation measures, including for Ward clustering, indicated that two and three clusters are the best fit for the data. However, all classification methods produced weakly separated, highly connected clusters with low compactness and low fidelity and specificity to clusters. There was no particularly robust and effective classification outcome that could group plots into previously suggested vegetation units based on species composition alone. The relatively recent age (c. 450,000 years B.P.), glaciation history (last glacial maximum 34,500 years B.P.) and isolation of the sub-Antarctic islands may have hindered the development of strong vascular plant species assemblages with discrete boundaries. Discrete classification at the community-level using species composition may not be suitable in such species-poor environments. Species-level, rather than community-level, monitoring may thus be more appropriate in species-poor environments, aligning with continuum theory rather than community theory.</t>
  </si>
  <si>
    <t>[van der Merwe, Stephni; Skowno, Andrew Luke; Hoffman, Michael Timm; Cramer, Michael Denis] Univ Cape Town, Dept Biol Sci, Cape Town, South Africa; [van der Merwe, Stephni; Skowno, Andrew Luke] South African Natl Biodivers Inst, Kirstenbosch Res Ctr, Cape Town, South Africa; [Greve, Michelle] Univ Pretoria, Dept Plant &amp; Soil Sci, Pretoria, South Africa; [van der Merwe, Stephni] Univ Cape Town, Dept Biol Sci, HW Pearson Bldg, Cape Town, South Africa</t>
  </si>
  <si>
    <t>University of Cape Town; South African National Biodiversity Institute; University of Pretoria; University of Cape Town</t>
  </si>
  <si>
    <t>van der Merwe, S (corresponding author), Univ Cape Town, Dept Biol Sci, HW Pearson Bldg, Cape Town, South Africa.</t>
  </si>
  <si>
    <t>stephni.vdm@gmail.com</t>
  </si>
  <si>
    <t>Skowno, Andrew/M-5196-2019; Cramer, Michael D/A-3213-2013; Hoffman, Michael Timm/K-4937-2016</t>
  </si>
  <si>
    <t>Skowno, Andrew/0000-0002-2726-7886; van der Merwe, Stephni/0000-0002-6385-8536; Cramer, Michael/0000-0003-0989-3266; Greve, Michelle/0000-0002-6229-8506; Hoffman, Michael Timm/0000-0002-5843-2397</t>
  </si>
  <si>
    <t>South African National Antarctic Programme; South African National Biodiversity Institute Joan Wrench Scholarship Fund [110734]; University of Cape Town</t>
  </si>
  <si>
    <t>South African National Antarctic Programme; South African National Biodiversity Institute Joan Wrench Scholarship Fund; University of Cape Town</t>
  </si>
  <si>
    <t>South African National Antarctic Programme, Grant/Award Number: 110734; South African National Biodiversity Institute Joan Wrench Scholarship Fund; University of Cape Town</t>
  </si>
  <si>
    <t>2045-7758</t>
  </si>
  <si>
    <t>ECOL EVOL</t>
  </si>
  <si>
    <t>Ecol. Evol.</t>
  </si>
  <si>
    <t>e9681</t>
  </si>
  <si>
    <t>10.1002/ece3.9681</t>
  </si>
  <si>
    <t>Ecology; Evolutionary Biology</t>
  </si>
  <si>
    <t>Environmental Sciences &amp; Ecology; Evolutionary Biology</t>
  </si>
  <si>
    <t>7N1EG</t>
  </si>
  <si>
    <t>WOS:000907088500001</t>
  </si>
  <si>
    <t>Faust, JC; Ascough, P; Hilton, RG; Stevenson, MA; Hendry, KR; März, C</t>
  </si>
  <si>
    <t>Faust, Johan C.; Ascough, Philippa; Hilton, Robert G.; Stevenson, Mark A.; Hendry, Katharine R.; Maerz, Christian</t>
  </si>
  <si>
    <t>New evidence for preservation of contemporary marine organic carbon by iron in Arctic shelf sediments</t>
  </si>
  <si>
    <t>ENVIRONMENTAL RESEARCH LETTERS</t>
  </si>
  <si>
    <t>Barents Sea; OC-Fe; marine shelf sediments; radiocarbon; carbon isotopes; carbon sequestration</t>
  </si>
  <si>
    <t>NORTHERN BARENTS SEA; REACTIVE IRON; ISOTOPIC COMPOSITION; FE(III) REDUCTION; SURFACE SEDIMENTS; MATTER; TERRESTRIAL; VARIABILITY; BURIAL; COPRECIPITATION</t>
  </si>
  <si>
    <t>The protection of organic carbon through association with iron minerals (Fe-R) is an important factor in its stabilisation, long-term storage, and burial efficiency in marine sediments. However, large uncertainties still exist concerning the sources, lability, age, and composition of the organic matter associated with Fe-R in natural sediments. Therefore, the timing and environmental setting of the carbon-iron bonding process remain elusive. Here we use radiocarbon (Delta C-14) and stable isotopes (delta C-13) of downcore bulk sedimentary organic matter, benthic foraminifera and the organic carbon fraction bound to Fe-R to interrogate the source and age of the organic carbon pool associated with Fe-R in Arctic marine sediments. In the Barents Sea, we find that the organic carbon associated with Fe-R is younger overall than the bulk organic matter and is probably marine derived. The comparison to other investigations of OC-Fe-R origins reveals that in large parts of Arctic shelf regions Fe-R associated organic carbon is radiocarbon enriched and has a higher delta C-13(org) value compared to the bulk sediment, irrespective of sediment depth/age. Our findings suggest a rapid and preferential binding of fresh and marine organic matter with Fe-R. Hence, labile organic matter prone to decomposition is protected and stabilised, underlining the potential of the organic carbon-iron association as an efficient carbon burial mechanism.</t>
  </si>
  <si>
    <t>[Faust, Johan C.] Univ Bremen, MARUM Ctr Marine Environm Sci, Leobener Str 8, D-28359 Bremen, Germany; [Ascough, Philippa] SUERC, NEIF Radiocarbon Lab, Rankine Ave, E Kilbride G75 0QF, Lanark, Scotland; [Hilton, Robert G.] Univ Oxford, Dept Earth Sci, South Parks Rd, Oxford OX1 3AN, England; [Stevenson, Mark A.] Univ Durham, Dept Geog, Durham DH1 3LE, England; [Hendry, Katharine R.] British Antarctic Survey, Polar Oceans Team, Madingley Rd, Cambridge CB3 0ET, England; [Hendry, Katharine R.] Univ Bristol, Sch Earth Sci, Wills Mem Bldg,Queens Rd, Bristol BS8 1RJ, Avon, England; [Maerz, Christian] Univ Bonn, Inst Geosci, Nussallee 8, D-53115 Bonn, Germany; [Maerz, Christian] Univ Leeds, Sch Earth &amp; Environm, Leeds LS2 9JT, W Yorkshire, England</t>
  </si>
  <si>
    <t>University of Bremen; Scottish Universities Research &amp; Reactor Center; University of Oxford; Durham University; UK Research &amp; Innovation (UKRI); Natural Environment Research Council (NERC); NERC British Antarctic Survey; University of Bristol; University of Bonn; University of Leeds</t>
  </si>
  <si>
    <t>Faust, JC (corresponding author), Univ Bremen, MARUM Ctr Marine Environm Sci, Leobener Str 8, D-28359 Bremen, Germany.</t>
  </si>
  <si>
    <t>JFaust@marum.de</t>
  </si>
  <si>
    <t>Hendry, Katharine R/E-4793-2011; Hilton, Robert G/C-4890-2013</t>
  </si>
  <si>
    <t>Stevenson, Mark/0000-0002-8955-0855; Faust, Johan C./0000-0001-8177-7097</t>
  </si>
  <si>
    <t>UKRI Natural Environment Research Council (NERC) [NE/P006493/1]; German Federal Ministry of Education and Research (BMBF); NERC Environmental Isotope Facility, NEIF [NE/S011587/1, 2095.0218]; Deutsche Forschungsgemeinschaft (DFG, German Research Foundation) [EXC-2077, 390741603]</t>
  </si>
  <si>
    <t>UKRI Natural Environment Research Council (NERC)(UK Research &amp; Innovation (UKRI)Natural Environment Research Council (NERC)); German Federal Ministry of Education and Research (BMBF)(Federal Ministry of Education &amp; Research (BMBF)); NERC Environmental Isotope Facility, NEIF; Deutsche Forschungsgemeinschaft (DFG, German Research Foundation)(German Research Foundation (DFG))</t>
  </si>
  <si>
    <t>We thank the crew of the RRS James Clark Ross for their professional support during our expedition. Further, we would like to express our gratitude to Sonia Papadaki and Timothy Knowles for their help with the laboratory work at BRAMS. This work resulted from the ChAOS project (NE/P006493/1), part of the Changing Arctic Ocean programme, jointly funded by the UKRI Natural Environment Research Council (NERC) and the German Federal Ministry of Education and Research (BMBF). Furthermore, this work was supported by the NERC Environmental Isotope Facility, NEIF, under Grant NE/S011587/1 (allocation number 2095.0218) and by the Deutsche Forschungsgemeinschaft (DFG, German Research Foundation) through Germany's Excellence Strategy to the Cluster of Excellence 'The Ocean Floor-Earth's Uncharted Interface' (EXC-2077 (Grant No. 390741603).</t>
  </si>
  <si>
    <t>1748-9326</t>
  </si>
  <si>
    <t>ENVIRON RES LETT</t>
  </si>
  <si>
    <t>Environ. Res. Lett.</t>
  </si>
  <si>
    <t>10.1088/1748-9326/aca780</t>
  </si>
  <si>
    <t>7B1KN</t>
  </si>
  <si>
    <t>Green Accepted, Green Published, gold</t>
  </si>
  <si>
    <t>WOS:000898901400001</t>
  </si>
  <si>
    <t>Ban, W; Zheng, NS; Zhang, KF; Yu, KG; Chen, S; Lu, Q</t>
  </si>
  <si>
    <t>Ban, Wei; Zheng, Nanshan; Zhang, Kefei; Yu, Kegen; Chen, Shuo; Lu, Qi</t>
  </si>
  <si>
    <t>Green algae monitoring via ground-based GNSS-R observations</t>
  </si>
  <si>
    <t>GNSS-R; Brightness temperature; Mixture dielectric constant; Green algae monitoring</t>
  </si>
  <si>
    <t>BAND BRIGHTNESS TEMPERATURE; RED TIDE DETECTION; SEA-SURFACE; SCATTERING; SALINITY; SIGNALS; AVHRR; MODEL; OCEAN</t>
  </si>
  <si>
    <t>Outbreaks of harmful algal blooms (HABs) exhibit high frequency, large range and damage aggravation characteristics, but existing monitoring methods, such as artificial and optical near-infrared remote sensing, cannot accommodate these characteristics. We propose a new method for monitoring green algae using Global Navigation Satellite System Reflectometry (GNSS-R) observations. The basic principle states that changes in the seawater dielectric constant and sea surface roughness due to the emergence of green algae lead to an increase in brightness temperature, which can be inverted based on the reflection time delay waveform. Shipboard reflection waveform data collected during an Enteromorpha prolifera outbreak in the Qingdao sea area were used for model development and validation of the detection and estimation performance. The results indicated that the root mean square error of GNSS-R-based inversion of the green algae density was 6.74%, indicating the potential of GNSS-R technology for rapid preliminary monitoring of green algae. Moreover, the advantages of a low cost, short return time and no climatic limitations support GNSS-R technology as a new and efficient means of green algae monitoring.</t>
  </si>
  <si>
    <t>[Ban, Wei] Wuhan Univ, Chinese Antarctic Ctr Surveying &amp; Mapping, Wuhan, Hubei, Peoples R China; [Zheng, Nanshan; Zhang, Kefei; Yu, Kegen; Chen, Shuo] China Univ Min &amp; Technol, Sch Environm Sci &amp; Spatial Informat, Xuzhou, Jiangsu, Peoples R China; [Lu, Qi] Tianjin Inst Surveying &amp; Mapping Co Ltd, Tianjin, Peoples R China</t>
  </si>
  <si>
    <t>Wuhan University; China University of Mining &amp; Technology</t>
  </si>
  <si>
    <t>Ban, W (corresponding author), Wuhan Univ, Chinese Antarctic Ctr Surveying &amp; Mapping, Wuhan, Hubei, Peoples R China.</t>
  </si>
  <si>
    <t>banwei@whu.edu.cn</t>
  </si>
  <si>
    <t>lu, qi/HHS-2115-2022</t>
  </si>
  <si>
    <t>National Natural Science Foundation of China; Natural Science Foundation of Jiangsu Province; Chinese Postdoctoral Science Foundation; [42004015]; [42174022]; [41974039]; [BK20190644]; [2019M65209]</t>
  </si>
  <si>
    <t>National Natural Science Foundation of China(National Natural Science Foundation of China (NSFC)); Natural Science Foundation of Jiangsu Province(Natural Science Foundation of Jiangsu Province); Chinese Postdoctoral Science Foundation(China Postdoctoral Science Foundation); ; ; ; ;</t>
  </si>
  <si>
    <t>AcknowledgementsThis work was supported in part by the National Natural Science Foundation of China under Grant 42004015, in part by Grant 42174022 and Grant 41974039, in part by the Natural Science Foundation of Jiangsu Province under Grant BK20190644, in part by Chinese Postdoctoral Science Foundation under Grant 2019M65209.</t>
  </si>
  <si>
    <t>10.1007/s10291-022-01373-6</t>
  </si>
  <si>
    <t>6V3IP</t>
  </si>
  <si>
    <t>WOS:000894946300001</t>
  </si>
  <si>
    <t>Hossain, F</t>
  </si>
  <si>
    <t>Hossain, Fahim</t>
  </si>
  <si>
    <t>Fate and Transport of Stack Emissions in the Environment and Potential Reduction of Pollutants in the Context of Global Warming</t>
  </si>
  <si>
    <t>JOURNAL OF ENVIRONMENTAL ENGINEERING</t>
  </si>
  <si>
    <t>Ozone depletion; Greenhouse gases (GHGs); Dispersion modeling; Stability condition; Temperature gradient; Resource recovery</t>
  </si>
  <si>
    <t>ANTARCTIC OZONE; DISPERSION; DIOXIDE</t>
  </si>
  <si>
    <t>Stack emissions have increased the carbon footprint by devastating impacts on human lives and vegetation as well as reducing the ozone layer to amplify the possibility of global warming. So the extent of emitted gases in the atmosphere or on the ground and possible conversion pathways of gases are of interest to understand the advection, diffusion and dispersion patterns, acid rain precursor formation, ozone layer depletor generation, and scopes of air pollution regulation development. A number of factors such as atmospheric stability conditions, wind velocity, stack height, downwind distance from the stack, vertical distance from ground level, and ambient temperature of the surrounding environment of the plume were studied to depict the advection, diffusion, and dispersion pattern of gases and particles in the atmosphere. The plume could travel downwind distances of 10.5 and 1,720 km in stability conditions A and D, respectively, for high mass emission (HME), although wind velocity and stack height had significant impacts on dispersion and deposition pattern. Ambient temperature, turbulence, and density gradient could similarly play important roles in mixing and the ultimate fate and transport of plume elements. The magnitude of vertical dispersion of the plume might influence the formation of acid rain precursors and depletion of the ozone layer in the troposphere and stratosphere. Ozone layer stability depends not only on atmospheric chlorine and nitrogen elements but also on increasing temperature due to the presence of heat-trapping elements where about 0.0011%/day and 0.00035%/day of the ozone layer may change at -25? and -50? in the atmosphere, respectively. Currently available scientific literature has not discussed the influence of all these factors on the advection and dispersion of pollutants and ozone depletion by heat-trapping elements.</t>
  </si>
  <si>
    <t>[Hossain, Fahim] Imam Abdulrahman Bin Faisal Univ, Dept Environm Engn, Dammam, Saudi Arabia</t>
  </si>
  <si>
    <t>Imam Abdulrahman Bin Faisal University</t>
  </si>
  <si>
    <t>Hossain, F (corresponding author), Imam Abdulrahman Bin Faisal Univ, Dept Environm Engn, Dammam, Saudi Arabia.</t>
  </si>
  <si>
    <t>nipun1999@yahoo.com</t>
  </si>
  <si>
    <t>ASCE-AMER SOC CIVIL ENGINEERS</t>
  </si>
  <si>
    <t>RESTON</t>
  </si>
  <si>
    <t>1801 ALEXANDER BELL DR, RESTON, VA 20191-4400 USA</t>
  </si>
  <si>
    <t>0733-9372</t>
  </si>
  <si>
    <t>1943-7870</t>
  </si>
  <si>
    <t>J ENVIRON ENG</t>
  </si>
  <si>
    <t>J. Environ. Eng.-ASCE</t>
  </si>
  <si>
    <t>10.1061/(ASCE)EE.1943-7870.0002078</t>
  </si>
  <si>
    <t>Engineering, Environmental; Engineering, Civil; Environmental Sciences</t>
  </si>
  <si>
    <t>Engineering; Environmental Sciences &amp; Ecology</t>
  </si>
  <si>
    <t>6I1VI</t>
  </si>
  <si>
    <t>WOS:000885918300002</t>
  </si>
  <si>
    <t>Xia, PF; Tong, MX; Ye, SR; Qian, JY; Hu, FX</t>
  </si>
  <si>
    <t>Xia, Pengfei; Tong, Mengxiang; Ye, Shirong; Qian, Jingye; Hu Fangxin</t>
  </si>
  <si>
    <t>Establishing a high-precision real-time ZTD model of China with GPS and ERA5 historical data and its application in PPP</t>
  </si>
  <si>
    <t>ZTD model; PPP; ERA5; Elevation normalization factor model</t>
  </si>
  <si>
    <t>TROPOSPHERIC WET DELAYS; WATER-VAPOR TOMOGRAPHY; GLOBAL-MODEL; NETWORK; ECMWF</t>
  </si>
  <si>
    <t>A high-precision real-time troposphere model is constructed by combining ground-based GNSS observation data and the latest European Centre for Medium-Range Weather Forecasts (ECMWF) reanalysis (ERA5). First, the zenith tropospheric delay (ZTD) is extracted in real time with high accuracy by combining the data of more than 500 GNSS stations in the Crustal Movement Observation Network of China (CMONOC) and national reference station network (NRSN); second, a grid model of the elevation normalization model (ENM) in China using ERA5 data is constructed, which takes into account the annual, semiannual and daily cycles. The ZTD estimated by GNSS stations at different heights based on precise point positioning (PPP) is normalized to a uniform height based on ENM; in addition, the optimal smoothing factors of the Gauss distance weighting function in different seasons are determined based on ERA5, which contributes to improved accuracy of ZTD interpolated from GNSS-derived ZTD to ZTD at grid points; finally, a real-time 1 degrees x 1 degrees ZTD grid model of China is created; the broadcast interval is extended to 6 min from few seconds. The new ZTD model has been evaluated using the data of 15 GNSS stations in China in 2020. The test results show that the new ZTD model deviates from the reference value with a mean value better than - 0.09 cm and RMSE, better than 1.44 cm compared with the ZTD estimated by post-processing GNSS, while the mean value of the deviation is -0.13 cm, and the RMSE is approximately 3.11 cm compared with radiosonde-derived ZTD. The new ZTD grid model can be used to enhance GNSS/PPP. Two weeks of GNSS observations, one week in winter and another in summer, were randomly collected for PPP processing. The statistical results show the convergence time in the vertical directions is shortened by 37.4% and 38.6% at the 95% and 68% confidence levels after ZTD constraints are applied to the float PPP solution, respectively.</t>
  </si>
  <si>
    <t>[Xia, Pengfei; Tong, Mengxiang; Ye, Shirong; Qian, Jingye; Hu Fangxin] Wuhan Univ, GNSS Res Ctr, Wuhan 430079, Peoples R China; [Qian, Jingye] Wuhan Univ, Chinese Antarctic Ctr Surveying &amp; Mapping, Wuhan 430079, Peoples R China</t>
  </si>
  <si>
    <t>Ye, SR (corresponding author), Wuhan Univ, GNSS Res Ctr, Wuhan 430079, Peoples R China.</t>
  </si>
  <si>
    <t>srye@whu.edu.cn</t>
  </si>
  <si>
    <t>10.1007/s10291-022-01338-9</t>
  </si>
  <si>
    <t>5D6MX</t>
  </si>
  <si>
    <t>WOS:000865054300001</t>
  </si>
  <si>
    <t>Kozlov, AV; Slyunyaev, NN; Ilin, NV; Sarafanov, FG; Frank-Kamenetsky, AV</t>
  </si>
  <si>
    <t>Kozlov, Alexander V.; Slyunyaev, Nikolay N.; Ilin, Nikolay V.; Sarafanov, Fedor G.; Frank-Kamenetsky, Alexander V.</t>
  </si>
  <si>
    <t>The effect of the Madden-Julian Oscillation on the global electric circuit</t>
  </si>
  <si>
    <t>ATMOSPHERIC RESEARCH</t>
  </si>
  <si>
    <t>Global electric circuit; Ionospheric potential; Fair-weather electric field; Madden-Julian Oscillation; Convection; Modelling</t>
  </si>
  <si>
    <t>CONVECTION; FIELD; WIND; MJO</t>
  </si>
  <si>
    <t>The Madden-Julian Oscillation (MJO) is the most dominant component of the climate variability in the tropics on the timescale of tens of days. Occurring irregularly, the MJO consists of an eastward propagation of certain large-scale coupled structures in atmospheric circulation and deep convection. Here we investigate the effect of the MJO on the direct current global electric circuit (GEC), using both numerical simulations and the results of electric field measurements. We have reproduced the atmospheric dynamics for 1980-2020 with the help of the Weather Research and Forecasting model and meteorological reanalysis data; this allowed us to simulate 41 years of the GEC variation by parameterising contributions to the ionospheric potential (IP) in terms of pre-cipitation and convection. Besides, we have analysed the results of surface potential gradient (PG) measurements at the Vostok station in Antarctica during 2006-2020. When averaged over many days, both the simulated IP and measured fair-weather PG show sinewave-like variations with the MJO phase, which manifest a statistically significant correlation with the MJO cycle. A more elaborate investigation involving an application of empirical orthogonal functions shows that the dynamics of contributions to the IP follows the patterns of variability of deep convection typical for the MJO. The variation of the IP on the MJO scale can largely be represented as a su-perposition of two basic oscillating patterns of convection, one of which is located over the Maritime Continent and its surrounding seas and the other is located over the Indian Ocean and part of South-East Asia. These oscillating patterns together describe the eastward progression of perturbations and can be naturally associated with the two components of the Real-time Multivariate MJO index, widely used to describe the MJO. Together with earlier results about links between the GEC and the El Nin tilde o-Southern Oscillation, the results concerning the MJO obtained in this study indicate that the GEC is an important part of the Earth system, which reflects climate variability on different timescales.</t>
  </si>
  <si>
    <t>[Kozlov, Alexander V.; Slyunyaev, Nikolay N.; Ilin, Nikolay V.; Sarafanov, Fedor G.] Lobachevsky State Univ Nizhny Novgorod, 23 Gagarina Ave, Nizhnii Novgorod 603950, Russia; [Kozlov, Alexander V.; Slyunyaev, Nikolay N.; Ilin, Nikolay V.; Sarafanov, Fedor G.] Russian Acad Sci, Inst Appl Phys, 46 Ulyanova St, Nizhnii Novgorod 603950, Russia; [Frank-Kamenetsky, Alexander V.] Arctic &amp; Antarctic Res Inst, 38 Beringa St, St Petersburg 199397, Russia</t>
  </si>
  <si>
    <t>Lobachevsky State University of Nizhni Novgorod; Russian Academy of Sciences; Institute of Applied Physics of the Russian Academy of Sciences; Arctic &amp; Antarctic Research Institute</t>
  </si>
  <si>
    <t>Slyunyaev, NN (corresponding author), Lobachevsky State Univ Nizhny Novgorod, 23 Gagarina Ave, Nizhnii Novgorod 603950, Russia.</t>
  </si>
  <si>
    <t>slyunyaev.n@ipfran.ru</t>
  </si>
  <si>
    <t>Ilin, Nikolay/HHZ-9770-2022; Slyunyaev, Nikolay N/F-1080-2017</t>
  </si>
  <si>
    <t>Slyunyaev, Nikolay N/0000-0002-7384-2116</t>
  </si>
  <si>
    <t>University of Nizhny Novgorod development programme 'Priority-2030' within the strategic project 'Comfortable environment'; Government of the Russian Federation [075-15-2019-1892]</t>
  </si>
  <si>
    <t>University of Nizhny Novgorod development programme 'Priority-2030' within the strategic project 'Comfortable environment'; Government of the Russian Federation</t>
  </si>
  <si>
    <t>The authors thank Evgeny Mareev for a helpful discussion of the material presented in this paper. The authors also thank Earle Williams and an anonymous reviewer of this paper for valuable comments and recommendations. This work was supported by the University of Nizhny Novgorod development programme 'Priority-2030' within the strategic project 'Comfortable environment' and by a grant from the Government of the Russian Federation (contract No. 075-15-2019-1892). The authors are grateful to the Australian Antarctic Division and to Gary Burns, the chief investigator of the project 'Atmospheric electrical circuits, weather and climate research', for their contribution to the development of instruments and software for collecting the electric field data at Vostok station. Continuous registration and collection of the electric field data at Vostok station is carried out by the specialists of the Russian Antarctic Expedition within the framework of the project 'Integrated oceanological, climatic, glaciological, and geophysical studies of Antarctica and the Southern Ocean'. PG data from Vostok, source codes and scripts used to analyse the results and plot the images are available at https://git260.ipfran.ru/eee/mjo-gec-2022. The WRF-ARW model can be downloaded from https://www2.mmm.ucar.edu/wrf/users. Simulations with the WRF model used the ERA5 data (Hersbach et al., 2018), downloaded from the Copernicus Climate Change Service (C3S) Climate Data Store, so that their results contain modified C3S information 2021; neither the European Commission nor ECMWF is responsible for any use that may be made of the Copernicus information or data it contains. A time series of RMM1 and RMM2 values by the Australian Bureau of Meteorology is available online at http:// www.bom.gov.au/cl imate/mjo. The NOAA's OLR-Daily CDR (Climate Data Record) : PSL Interpolated Version data set (Lee, 2014) is provided by the NOAA PSL, Boulder, Colorado, USA, and can be found at https://psl.noaa.gov/mdd b2/showDataset.html?datasetID = 37. The online sunspot number catalogue of the World Data Center SILSO, Royal Observatory of Belgium, Brussels, is available at https:// www.sidc.be/silso/datafiles.</t>
  </si>
  <si>
    <t>ELSEVIER SCIENCE INC</t>
  </si>
  <si>
    <t>STE 800, 230 PARK AVE, NEW YORK, NY 10169 USA</t>
  </si>
  <si>
    <t>0169-8095</t>
  </si>
  <si>
    <t>1873-2895</t>
  </si>
  <si>
    <t>ATMOS RES</t>
  </si>
  <si>
    <t>Atmos. Res.</t>
  </si>
  <si>
    <t>10.1016/j.atmosres.2022.106585</t>
  </si>
  <si>
    <t>DEC 2022</t>
  </si>
  <si>
    <t>8C0FL</t>
  </si>
  <si>
    <t>WOS:000917293300001</t>
  </si>
  <si>
    <t>Lysa, A; Jennings, A; Morigi, C; Stokes, CR; Winsborrow, MCM</t>
  </si>
  <si>
    <t>Lysa, Astrid; Jennings, Anne; Morigi, Caterina; Stokes, Chris R.; Winsborrow, Monica C. M.</t>
  </si>
  <si>
    <t>Introduction: Processes and Palaeo-Environmental Changes in the Arctic from Past to Present (PalaeoArc) special issue</t>
  </si>
  <si>
    <t>ARCTIC ANTARCTIC AND ALPINE RESEARCH</t>
  </si>
  <si>
    <t>ICE-SHEET; LATE QUATERNARY; SEA-ICE; HISTORY; NORTH; GLACIATION; SEDIMENTS; SVALBARD; RECORDS; OCEAN</t>
  </si>
  <si>
    <t>[Lysa, Astrid] Quaternary Geol, Geol Survey Norway, Trondheim, Norway; [Jennings, Anne] Univ Colorado, Inst Arctic &amp; Alpine Res, Boulder, CO USA; [Morigi, Caterina] Univ Pisa, Dept Earth Sci, Pisa, Italy; [Stokes, Chris R.] Univ Durham, Dept Geog, Durham, Durham, England; [Winsborrow, Monica C. M.] UiT Arctic Univ Tromso Norway, Dept Geosci, Tromso, Norway; [Lysa, Astrid] Geol Survey Norway, Le Erikssons Vei 39, N-7040 Trondheim, Norway</t>
  </si>
  <si>
    <t>Geological Survey of Norway; University of Colorado System; University of Colorado Boulder; University of Pisa; Durham University; Geological Survey of Norway</t>
  </si>
  <si>
    <t>Lysa, A (corresponding author), Geol Survey Norway, Le Erikssons Vei 39, N-7040 Trondheim, Norway.</t>
  </si>
  <si>
    <t>astrid.lysa@ngu.no</t>
  </si>
  <si>
    <t>Morigi, Caterina/B-3316-2012; Stokes, Chris R/A-1957-2011</t>
  </si>
  <si>
    <t>Morigi, Caterina/0000-0003-1340-9932;</t>
  </si>
  <si>
    <t>IASC (International Arctic Science Council); SGI (Italian Geological Society); AIQUA (Italian Association for the Study of the Quaternary)</t>
  </si>
  <si>
    <t>We thank IASC (International Arctic Science Council), SGI (Italian Geological Society), and AIQUA (Italian Association for the Study of the Quaternary) for their contribution to the funding of the Second International PalaeoArc conference hosted in Pisa.</t>
  </si>
  <si>
    <t>1523-0430</t>
  </si>
  <si>
    <t>1938-4246</t>
  </si>
  <si>
    <t>ARCT ANTARCT ALP RES</t>
  </si>
  <si>
    <t>Arct. Antarct. Alp. Res.</t>
  </si>
  <si>
    <t>DEC 31</t>
  </si>
  <si>
    <t>10.1080/15230430.2022.2154985</t>
  </si>
  <si>
    <t>Environmental Sciences; Geography, Physical</t>
  </si>
  <si>
    <t>Environmental Sciences &amp; Ecology; Physical Geography</t>
  </si>
  <si>
    <t>7O3IX</t>
  </si>
  <si>
    <t>WOS:000907922500001</t>
  </si>
  <si>
    <t>Alatarvas, R; Strand, K; Hyttinen, O; Kotilainen, A</t>
  </si>
  <si>
    <t>Alatarvas, Raisa; Strand, Kari; Hyttinen, Outi; Kotilainen, Aarno</t>
  </si>
  <si>
    <t>Sedimentary facies and clay mineralogy of the late Pleistocene Landsort Deep sediments, Baltic Sea - Implications for the Baltic Ice Lake development</t>
  </si>
  <si>
    <t>Baltic Ice Lake; Landsort Deep; Baltic Sea; Fennoscandian Ice Sheet; facies analysis; clay minerals; grain size analysis</t>
  </si>
  <si>
    <t>KYR BP; DEGLACIATION; BASIN; SHEET; RECORD; PALEOGEOGRAPHY; STRATIGRAPHY; SCANDINAVIA; DRAINAGE; HISTORY</t>
  </si>
  <si>
    <t>The Landsort Deep is the deepest part of the Baltic Sea and contains an excellent high-resolution late Pleistocene sediment record suitable to study the retreat history of the southern margin of the Fennoscandian Ice Sheet and the development of the ice-marginal Baltic Ice Lake (BIL) from similar to 13.5 to 10.5 ka BP. The studied cores are from the lithostratigraphic Units V and VI of Hole M0063C that were recovered during the Integrated Ocean Drilling Program (IODP) Expedition 347. The subdivision and interpretation of the studied BIL record are based on the identification of seven distinct sedimentary facies, grain size characteristics, detrital clay minerals, water and carbon content, and physical properties. The ice-rafted debris (IRD) in the lowermost part of Unit VI indicates a proximal glaciolacustrine environment. The onset of the Fennoscandian Ice Sheet deglaciation during the warm Bolling/Allerod interstadial caused a rise of the proglacial lake water level and the transition from ice-proximal (IRD-containing sediments) to ice-distal varved sediments (rhythmically laminated silty clays) detected within the middle part of Unit VI. This depositional unit of constant sedimentation was followed by the first drainage event of the BIL, which led to the deposition of a distinct clay-rich interval representing erosion and redeposition of the emerged lake bottom sediments. The reduced grain size of the overlying sediments is associated to the onset of cooler climate conditions and a possible ice sheet readvance during the Younger Dryas that resulted in a decrease of meltwater release and sediment availability. The higher sand content and kaolinite peak are associated to a rapid ice retreat and the release of abundant sediment laden meltwater plumes at the end of the Younger Dryas. The final drainage of the BIL enabled the erosion of coastal clay sediments, and the termination of the ice lake stage led to enhanced clay sedimentation to the Landsort Deep.</t>
  </si>
  <si>
    <t>[Alatarvas, Raisa; Strand, Kari] Univ Oulu, Oulu Min Sch, POB 4000, FI-90014 Oulu, Finland; [Hyttinen, Outi] Sitowise, Tampere, Finland; [Kotilainen, Aarno] Geol Survey Finland, Environm Solut, Espoo, Finland</t>
  </si>
  <si>
    <t>University of Oulu; Geological Survey of Finland (GTK)</t>
  </si>
  <si>
    <t>Alatarvas, R (corresponding author), Univ Oulu, Oulu Min Sch, POB 4000, FI-90014 Oulu, Finland.</t>
  </si>
  <si>
    <t>raisa.alatarvas@oulu.fi</t>
  </si>
  <si>
    <t>Finnish Cultural Foundation; Academy of Finland; Russian Foundation for Basic Research (CISU project); University of Oulu</t>
  </si>
  <si>
    <t>Finnish Cultural Foundation(Finnish Cultural FoundationFinnish IT center for science); Academy of Finland(Research Council of Finland); Russian Foundation for Basic Research (CISU project); University of Oulu</t>
  </si>
  <si>
    <t>This work was partially supported by the Finnish Cultural Foundation, the Academy of Finland, and the Russian Foundation for Basic Research (CISU project). This research is part of the University of Oulu funded project Loss of Ice in the Arctic System (LIAS): Geological perspective of global environmental change.</t>
  </si>
  <si>
    <t>10.1080/15230430.2022.2155352</t>
  </si>
  <si>
    <t>7H0FU</t>
  </si>
  <si>
    <t>WOS:000902888800001</t>
  </si>
  <si>
    <t>Liang, D; Guo, HD; Cheng, Q; Zhang, L; Kong, LY</t>
  </si>
  <si>
    <t>Liang, Dong; Guo, Huadong; Cheng, Qing; Zhang, Lu; Kong, Lingyi</t>
  </si>
  <si>
    <t>Correlation and interaction between temperature and freeze-thaw in representative regions of Antarctica</t>
  </si>
  <si>
    <t>INTERNATIONAL JOURNAL OF DIGITAL EARTH</t>
  </si>
  <si>
    <t>Antarctic ice sheet; Big Earth Data; freeze-thaw; microwave remote sensing; snowmelt temperature</t>
  </si>
  <si>
    <t>ICE; VARIABILITY; MELT</t>
  </si>
  <si>
    <t>As the most sensitive and direct indicator of global climate change, the freezing and thawing of the Antarctic ice sheet is of great significance for research on surface mass and energy balance. In this study, four representative regions in Antarctica were selected and correlation analysis, Granger causality testing, and cluster analysis were applied to comprehensively analyze the correlation and response of spatiotemporal variation in freeze-thaw and temperature. The conclusions are as follows. (1) In the Antarctic Peninsula, a phenomenon was demonstrated that the summer shifts rearward. Hotter December and colder March temperatures were observed in the Amery Ice Shelf and Queen Maud Land. (2) The Antarctic Peninsula featured the most severe degree of melting among the four regions, with the largest melt area in the past 30 years appearing during the 2015/2016 season. However, the number of melt days in most areas of the Antarctic Peninsula was observed to have decreased. (3) There is a strong correlation between the freeze-thaw state of the Antarctic ice sheet and temperature, as well as spatial differences among regions, but the data were clustered at different time scales.</t>
  </si>
  <si>
    <t>[Liang, Dong; Guo, Huadong; Zhang, Lu; Kong, Lingyi] Chinese Acad Sci, Aerosp Informat Res Inst, Beijing, Peoples R China; [Liang, Dong; Guo, Huadong; Zhang, Lu] Univ Chinese Acad Sci, Beijing, Peoples R China; [Liang, Dong; Guo, Huadong; Zhang, Lu; Kong, Lingyi] Int Res Ctr Big Data Sustainable Dev Goals, Beijing, Peoples R China; [Cheng, Qing] China Univ Geosci, Sch Comp Sci, Wuhan, Peoples R China; [Cheng, Qing] China Univ Geosci, Sch Comp Sci, Wuhan 430074, Peoples R China</t>
  </si>
  <si>
    <t>Chinese Academy of Sciences; Aerospace Information Research Institute, CAS; Chinese Academy of Sciences; University of Chinese Academy of Sciences, CAS; China University of Geosciences; China University of Geosciences</t>
  </si>
  <si>
    <t>qingcheng@whu.edu.cn</t>
  </si>
  <si>
    <t>Dong, Liang/JZD-4605-2024; Wang, Xiaobing/H-5927-2019; Liang, Dong/F-8081-2014; Guo, Huadong/G-9388-2017</t>
  </si>
  <si>
    <t>Wang, Xiaobing/0000-0001-5044-3721; Liang, Dong/0000-0001-9147-7792; Guo, Huadong/0000-0003-0337-1862</t>
  </si>
  <si>
    <t>Chinese Academy of Sciences Strategic Priority Research Program of the Big Earth Data Science Engineering Program (CASEarth); National Natural Science Foundation of China [XDA19030000, XDA19090000]; Informatization Plan of Chinese Academy of Sciences [41876226, 42171383]; [CAS-WX2021PY-0107-02]</t>
  </si>
  <si>
    <t>Chinese Academy of Sciences Strategic Priority Research Program of the Big Earth Data Science Engineering Program (CASEarth); National Natural Science Foundation of China(National Natural Science Foundation of China (NSFC)); Informatization Plan of Chinese Academy of Sciences;</t>
  </si>
  <si>
    <t>The research was funded by the Chinese Academy of Sciences Strategic Priority Research Program of the Big Earth Data Science Engineering Program (CASEarth) [grant numbers XDA19030000, XDA19090000], and National Natural Science Foundation of China [grant number 41876226, 42171383], and the Informatization Plan of Chinese Academy of Sciences [grant number CAS-WX2021PY-0107-02].</t>
  </si>
  <si>
    <t>1753-8947</t>
  </si>
  <si>
    <t>1753-8955</t>
  </si>
  <si>
    <t>INT J DIGIT EARTH</t>
  </si>
  <si>
    <t>Int. J. Digit. Earth</t>
  </si>
  <si>
    <t>10.1080/17538947.2022.2158242</t>
  </si>
  <si>
    <t>Geography, Physical; Remote Sensing</t>
  </si>
  <si>
    <t>Physical Geography; Remote Sensing</t>
  </si>
  <si>
    <t>7D1RP</t>
  </si>
  <si>
    <t>WOS:000900276800001</t>
  </si>
  <si>
    <t>Terekhov, AV; Verkulich, S; Borisik, A; Demidov, V; Prokhorova, U; Romashova, K; Anisimov, M; Sidorova, O; Tarasov, G</t>
  </si>
  <si>
    <t>Terekhov, Anton V. V.; Verkulich, Sergei; Borisik, Alexander; Demidov, Vasiliy; Prokhorova, Uliana; Romashova, Kseniia; Anisimov, Mikhail; Sidorova, Olga; Tarasov, Gleb</t>
  </si>
  <si>
    <t>Mass balance, ice volume, and flow velocity of the Vestre Gronfjordbreen (Svalbard) from 2013/14 to 2019/20</t>
  </si>
  <si>
    <t>Arctic glacier; glacier mass balance; ground-penetrating radar; snow survey; polythermal glacier</t>
  </si>
  <si>
    <t>NORDENSKIOLD LAND; GLACIERS; REANALYSIS; CAP; SPITSBERGEN; ACCURACY; WATER</t>
  </si>
  <si>
    <t>The first seven years (2013/14-2019/20) of annual and seasonal mass-balance monitoring on the glacier Vestre Gronfjordbreen (16.4 km(2)), located south of the town of Barentsburg on Spitsbergen, Svalbard, are presented. This part of the archipelago is one of the least glaciated on Svalbard and at the same time it experiences the most prominent glacier retreat within the last few decades. The annual mass balance of Vestre Gronfjordbreen is negative, ranging from -0.60 +/- 0.18 to -2.01 +/- 0.26 m w.e. The results of direct observations are compared with the geodetic mass balance for the same period (July 2015 through end of summer 2019) to identify systematic bias in the record. As the mismatch between cumulative mass balances, defined by the glaciological method (-5.66 +/- 0.47 m w.e.) and computed from geodetic differencing (-5.52 +/- 0.40 m w.e.), lies within the uncertainty limits, no calibration of the mass-balance series is needed. From the results of a ground-penetrating radar (GPR) survey (spring 2019), which confirmed the polythermal glacier structure, a total glacier volume of 1.987 +/- 0.139 km(3) was found, meaning that the cumulative mass loss during the reported seven-year period equals 8 +/- 1% of the total glacier mass. Observed annual ice-flow velocities, varying from 0.50 +/- 0.10 to 4.50 +/- 0.10 m year(-1), are consistent with low mean bed and surface slopes (5 degrees and 8 degrees, respectively). Correlations of mass-balance values with meteorological observations at the Barentsburg weather station are mediocre, possibly due to anomalous values recorded for 2015/16: the negative mass-balance peak reported for the other land-terminating Svalbard glaciers was not observed at Vestre Gronfjordbreen.</t>
  </si>
  <si>
    <t>[Terekhov, Anton V. V.; Verkulich, Sergei; Borisik, Alexander; Demidov, Vasiliy; Anisimov, Mikhail; Tarasov, Gleb] Arctic &amp; Antarctic Res Inst, Geog Polar Reg, St Petersburg, Russia; [Prokhorova, Uliana; Sidorova, Olga] Atmosphere Ocean Interact Arctic &amp; Antarctic Res I, St Petersburg, Russia; [Romashova, Kseniia] Arctic &amp; Antarctic Res Inst, Hydrol Arctic River Mouths &amp; Water Resources, St Petersburg, Russia; [Terekhov, Anton V. V.] Arctic &amp; Antarctic Res Inst, Bering Str 38, St Petersburg 199397, Russia</t>
  </si>
  <si>
    <t>Arctic &amp; Antarctic Research Institute; Arctic &amp; Antarctic Research Institute; Arctic &amp; Antarctic Research Institute</t>
  </si>
  <si>
    <t>Terekhov, AV (corresponding author), Arctic &amp; Antarctic Res Inst, Bering Str 38, St Petersburg 199397, Russia.</t>
  </si>
  <si>
    <t>Terekhov, Anton/0000-0002-8300-6883; Prokhorova, Uliana/0000-0002-7600-4089; Demidov, Vasiliy/0000-0002-6109-910X</t>
  </si>
  <si>
    <t>10.1080/15230430.2022.2150122</t>
  </si>
  <si>
    <t>7A5KA</t>
  </si>
  <si>
    <t>WOS:000898493600001</t>
  </si>
  <si>
    <t>Whipple, AL; Ray, C; Varner, J; Kitchens, JN; Hove, AA; Vardaro, JAC; Wilkening, JL</t>
  </si>
  <si>
    <t>Whipple, A. L.; Ray, C.; Varner, J.; Kitchens, J. N.; Hove, A. A.; Castillo Vardaro, J. A.; Wilkening, J. L.</t>
  </si>
  <si>
    <t>Stress-associated metabolites vary with both season and habitat across populations of a climate sentinel species</t>
  </si>
  <si>
    <t>Ochotona princeps saxatilis; habitat quality; stress-associated hormone; glucocorticoid metabolite; rock glacier; American pika</t>
  </si>
  <si>
    <t>PIKAS OCHOTONA-PRINCEPS; AMERICAN PIKA; SIERRA-NEVADA; ROCK GLACIERS; GREAT-BASIN; PERIGLACIAL LANDFORMS; GENERALIST HERBIVORE; FORAGING BEHAVIOR; GENE FLOW; PATTERNS</t>
  </si>
  <si>
    <t>Relating physiological stress to habitat quality could refine conservation efforts. Habitat quality, which is often inferred from patch occupancy or demographic rates, might be measured in a more timely and nuanced way using metrics of physiological stress. To understand whether stress-associated hormones vary with metrics of habitat quality, we measured fecal glucocorticoid metabolite (FGM) levels in the American pika (Ochotona princeps), a small mammal with well-defined habitat (talus), which can vary in quality depending on the presence of subsurface ice features. In spring and fall 2018, we collected feces noninvasively from pika territories in taluses with or without subsurface ice to capture seasonal variation in FGM between habitat types. We used linear mixed effects models to explore the interactions among season, habitat metrics (including subsurface ice status), and subsurface temperature as predictors of FGM. We found support for interacting effects on FGM levels, which covaried with season, elevation, putative ice presence, graminoid to forb ratio, graminoid cover, and measures of acute subsurface heat exposure. However, only one subsurface temperature metric differed according to putative presence of subsurface ice. Our results contribute to the growing evidence that FGMs might be developed as a tool to assess habitat quality.</t>
  </si>
  <si>
    <t>[Whipple, A. L.; Ray, C.] Univ Colorado, Dept Ecol &amp; Evolutionary Biol, Boulder, CO USA; [Whipple, A. L.; Ray, C.] Univ Colorado, Inst Arctic &amp; Alpine Res, Boulder, CO USA; [Varner, J.] Colorado Mesa Univ, Dept Biol Sci, Grand Junction, CO USA; [Kitchens, J. N.; Hove, A. A.] Warren Wilson Coll, Dept Biol, Asheville, NC USA; [Castillo Vardaro, J. A.] Princeton Univ, Dept Ecol &amp; Evolutionary Biol, Princeton, NJ USA; [Castillo Vardaro, J. A.] San Jose State Univ, Dept Biol Sci, San Jose, CA USA; [Wilkening, J. L.] Nat Resource Program Ctr, US Fish &amp; Wildlife Serv, Natl Wildlife Refuge Syst, Ft Collins, CO USA; [Whipple, A. L.] Univ Colorado Boulder, Dept Ecol &amp; Evolutionary Biol, Ramaley N122,Campus Box 334, Boulder, CO 80309 USA</t>
  </si>
  <si>
    <t>University of Colorado System; University of Colorado Boulder; University of Colorado System; University of Colorado Boulder; Princeton University; California State University System; San Jose State University; United States Department of the Interior; US Fish &amp; Wildlife Service; University of Colorado System; University of Colorado Boulder</t>
  </si>
  <si>
    <t>Whipple, AL (corresponding author), Univ Colorado Boulder, Dept Ecol &amp; Evolutionary Biol, Ramaley N122,Campus Box 334, Boulder, CO 80309 USA.</t>
  </si>
  <si>
    <t>ashley.whipple@colorado.edu</t>
  </si>
  <si>
    <t>Whipple, Ashley/JOL-5809-2023; Ray, Chris/AAI-1002-2019</t>
  </si>
  <si>
    <t>Ray, Chris/0000-0002-7963-9637; Whipple, Ashley/0000-0002-0304-7643; Castillo Vardaro, Jessica/0000-0001-9580-6987; Hove, Alisa/0000-0002-3754-3979; Kitchens, James/0000-0003-4084-1288; Wilkening, Jennifer/0000-0001-8748-4578; Varner, Johanna/0000-0001-9431-0760</t>
  </si>
  <si>
    <t>10.1080/15230430.2022.2146633</t>
  </si>
  <si>
    <t>7C0YC</t>
  </si>
  <si>
    <t>WOS:000899546900001</t>
  </si>
  <si>
    <t>Torricella, F; Sojo, VMG; Gariboldi, K; Douss, N; Musco, ME; Caricchi, C; Lucchi, RG; Carbonara, K; Morigi, C</t>
  </si>
  <si>
    <t>Torricella, Fiorenza; Gamboa Sojo, Viviana Maria; Gariboldi, Karen; Douss, Nessim; Musco, Maria Elena; Caricchi, Chiara; Lucchi, Renata Giulia; Carbonara, Katia; Morigi, Caterina</t>
  </si>
  <si>
    <t>Multiproxy investigation of the last 2,000 years BP marine paleoenvironmental record along the western Spitsbergen margin</t>
  </si>
  <si>
    <t>Micropaleontology; Sedimentology; Arctic; Svalbard</t>
  </si>
  <si>
    <t>SEA-SURFACE TEMPERATURES; MODERN BENTHIC FORAMINIFERA; NORTH-ATLANTIC OSCILLATION; EASTERN FRAM STRAIT; NEOGLOBOQUADRINA-PACHYDERMA; ARCTIC AMPLIFICATION; DIATOM DISTRIBUTION; NORDIC SEAS; 2 MILLENNIA; ICE</t>
  </si>
  <si>
    <t>A reconstruction of the last 2,000 years BP of environmental and oceanographic changes on the western margin of Spitsbergen was performed using a multidisciplinary approach including the fossil assemblages of diatoms, planktic and benthic foraminifera and calcareous nannofossils and the use of geochemistry (X-ray fluorescence spectroscopy, X-ray diffraction). We identified two warm periods (2,000-1,600 years BP and 1,300-700 years BP) that were associated with the Roman Warm Period and the Medieval Warm Period that alternate with colder oceanic conditions and sea ice coverage occurred during the Dark Ages (1,600-1,300 years BP) and the beginning of the Little Ice Age. During the Medieval Warm Period the occurrence of ice-rafted debris and Aulocoseira spp., a specific diatom genus commonly associated with continental freshwater, suggests significant runoff of meltwaters from local glaciers.</t>
  </si>
  <si>
    <t>[Torricella, Fiorenza; Gamboa Sojo, Viviana Maria; Gariboldi, Karen; Morigi, Caterina] Univ Pisa, Dept Earth Sci, Via Santa Maria 53, I-56126 Pisa, Italy; [Gamboa Sojo, Viviana Maria] Univ Florence, Dept Earth Sci, Florence, Italy; [Gamboa Sojo, Viviana Maria] Univ Costa Rica, Escuela Ctr Amer Geol, San Jose, Costa Rica; [Douss, Nessim] Univ Trieste, Dept Math &amp; Geosci, Trieste, Italy; [Douss, Nessim; Musco, Maria Elena; Lucchi, Renata Giulia] Natl Inst Oceanog &amp; Appl Geophys OGS, Geophys Div, Trieste, Italy; [Caricchi, Chiara] Ist Nazl Geofis &amp; Vulcanol INGV, Rome, Italy; [Lucchi, Renata Giulia] UiT Arctic Univ Norway, Ctr Arctic Gas Hydrate Environm &amp; Climate CAGE, Tromso, Norway; [Carbonara, Katia] Univ Parma, Dept Chem Life Sci &amp; Environm Sustainabil, Parma, Italy</t>
  </si>
  <si>
    <t>University of Pisa; University of Florence; Universidad Costa Rica; University of Trieste; Istituto Nazionale di Oceanografia e di Geofisica Sperimentale; Istituto Nazionale Geofisica e Vulcanologia (INGV); UiT The Arctic University of Tromso; University of Parma</t>
  </si>
  <si>
    <t>Torricella, F; Morigi, C (corresponding author), Univ Pisa, Dept Earth Sci, Via Santa Maria 53, I-56126 Pisa, Italy.</t>
  </si>
  <si>
    <t>fiorenza.torricella@phd.unipi.it; caterina.morigi@unipi.it</t>
  </si>
  <si>
    <t>Morigi, Caterina/B-3316-2012</t>
  </si>
  <si>
    <t>Morigi, Caterina/0000-0003-1340-9932; Gamboa-Sojo, Viviana M./0000-0002-0261-6939; Torricella, Fiorenza/0000-0002-4286-1699; Lucchi, Renata Giulia/0000-0001-5111-6968</t>
  </si>
  <si>
    <t>project PREPARED [312762]; Italian project PNRA-CORIBARIT [PdR 2013/C2.01]; Italian project Premiale ARCA [25_11_2013_973]; Spanish project DEGLABAR - Ministerio de Economia y Competitividad [CTM2010-17386]; AAAR [UAAR-2022C6073]</t>
  </si>
  <si>
    <t>project PREPARED; Italian project PNRA-CORIBARIT; Italian project Premiale ARCA; Spanish project DEGLABAR - Ministerio de Economia y Competitividad; AAAR</t>
  </si>
  <si>
    <t>The authors thank Eurofleets2 for giving to the project PREPARED (Grant Agreement No. 312762) ten days' ship time on the R/V G.O. Sars, equipped with the Calypso piston corer. The sedimentological analyses were funded by the Italian projects PNRA-CORIBARIT (PdR 2013/C2.01) and Premiale ARCA (grant n.25_11_2013_973); and by the Spanish project DEGLABAR (CTM2010-17386) funded by the Ministerio de Economia y Competitividad. The authors also thank AAAR for the publication Grant No. UAAR-2022C6073 for the present special issue.</t>
  </si>
  <si>
    <t>10.1080/15230430.2022.2123859</t>
  </si>
  <si>
    <t>5V6JW</t>
  </si>
  <si>
    <t>WOS:000877334900001</t>
  </si>
  <si>
    <t>Kuentz, L; Levy, J; Salvatore, M</t>
  </si>
  <si>
    <t>Kuentz, Lily; Levy, Joseph; Salvatore, Mark</t>
  </si>
  <si>
    <t>Timing and duration of ephemeral Antarctic water tracks and wetlands using high temporal-resolution satellite imagery, high spatial-resolution satellite imagery, and ground-based sensors in the McMurdo Dry Valleys</t>
  </si>
  <si>
    <t>Antarctica; water track; wetland; hydroperiod; remote sensing</t>
  </si>
  <si>
    <t>TAYLOR VALLEY; ICE; SOILS; PERMAFROST; PATTERNS; STREAMS; MOUNTAINS; DYNAMICS; STORAGE; SEEPS</t>
  </si>
  <si>
    <t>Antarctic water tracks and ephemeral wetlands are a primary location for biogeochemical soil processes driving cold desert soil formation. Though the spatial extent of water tracks and wetted soils has been mapped in the McMurdo Dry Valleys (MDV) on the basis of mapping darkened pixels in high-resolution commercial satellite imagery, the timescale over which water tracks and wetlands form and the duration of these biogeochemically active environments remain unknown. Here, we determine the start date and end dates and the duration of wetted soils at ten sites located across the MDV using a combination of in situ soil sensors and two complementary remote imaging platforms (Planet and WorldView) to understand the hydroclimatic processes that drive water track and wetland formation. Our remote sensing employs a terrain correction workflow that removes the contribution of differential direct illumination and small-scale shadowing on pixel brightness, reducing false positives (soils identified as wetted when in fact they are shadowed or darkened as a consequence of high phase angle). Our findings extend the water track and wetland hydroperiod by over a month, showing darkening occurring from November to March, suggesting hydrological contributions from ground ice thaw, snowmelt, and salt deliquescence and soil brine growth.</t>
  </si>
  <si>
    <t>[Kuentz, Lily; Levy, Joseph] Colgate Univ, Dept Earth &amp; Environm Geosci, 13 Oak Dr, Hamilton, NY 13346 USA; [Kuentz, Lily] Univ Oregon, Dept Geog, Eugene, OR 97403 USA; [Salvatore, Mark] No Arizona Univ, Dept Astron &amp; Planetary Sci, Flagstaff, AZ 86011 USA</t>
  </si>
  <si>
    <t>Colgate University; University of Oregon; Northern Arizona University</t>
  </si>
  <si>
    <t>Levy, J (corresponding author), Colgate Univ, Dept Earth &amp; Environm Geosci, 13 Oak Dr, Hamilton, NY 13346 USA.</t>
  </si>
  <si>
    <t>jlevy@colgate.edu</t>
  </si>
  <si>
    <t>National Science Foundation [OPP-1847067, OPP-2046260]; Polar Geospatial Center under NSF-OPP [1043681, 1559691]</t>
  </si>
  <si>
    <t>National Science Foundation(National Science Foundation (NSF)); Polar Geospatial Center under NSF-OPP</t>
  </si>
  <si>
    <t>This work was supported by the National Science Foundation under grants OPP-1847067 to JSL and OPP-2046260 to MRS. Any opinions, findings, and conclusions or recommendations expressed in this material are those of the authors and do not necessarily reflect the views of the National Science Foundation. Geospatial support for this work was provided by the Polar Geospatial Center under NSF-OPP awards 1043681 and 1559691. Access to Planet data was provided under the Commercial Smallsat Data Acquisition (CSDA) Program.</t>
  </si>
  <si>
    <t>10.1080/15230430.2022.2123858</t>
  </si>
  <si>
    <t>5U8OH</t>
  </si>
  <si>
    <t>WOS:000876800200001</t>
  </si>
  <si>
    <t>Kolchev, I; Marshall, IPG; Jones, E; Yde, JC; Nornberg, P; Mateos-Rivera, A; Hodson, AJ; Bak, EN; Finster, K</t>
  </si>
  <si>
    <t>Kolchev, Ivaylo; Marshall, Ian P. G.; Jones, Eleanor; Yde, Jacob C.; Nornberg, Per; Mateos-Rivera, Alejandro; Hodson, Andy J.; Bak, Ebbe N.; Finster, Kai</t>
  </si>
  <si>
    <t>Microbial iron reduction and greenhouse gas production in response to organic matter amendment and temperature increase of periglacial sediments, Bolterdalen, Svalbard (vol 54, pg 314, 2022)</t>
  </si>
  <si>
    <t>Correction</t>
  </si>
  <si>
    <t>Marshall, Ian P.G./ABB-3940-2020; Finster, Kai W/I-7475-2013</t>
  </si>
  <si>
    <t>10.1080/15230430.2022.2135289</t>
  </si>
  <si>
    <t>5S8BU</t>
  </si>
  <si>
    <t>WOS:000875408900001</t>
  </si>
  <si>
    <t>Baillargeon, N; Pold, G; Natali, SM; Sistla, SA</t>
  </si>
  <si>
    <t>Baillargeon, Natalie; Pold, Grace; Natali, Susan M.; Sistla, Seeta A.</t>
  </si>
  <si>
    <t>Lowland tundra plant stoichiometry is somewhat resilient decades following fire despite substantial and sustained shifts in community structure</t>
  </si>
  <si>
    <t>Arctic; tundra; fire; vegetation; stoichiometry</t>
  </si>
  <si>
    <t>ARCTIC TUNDRA; SEWARD PENINSULA; CLIMATE-CHANGE; CARBON; PERMAFROST; VEGETATION; ALASKA; FREQUENCY; ECOSYSTEM; NITROGEN</t>
  </si>
  <si>
    <t>The Arctic is experiencing the greatest increase in average surface temperature globally, which is projected to amplify wildfire frequency and severity. Wildfire alters the biogeochemical characteristics of arctic ecosystems. However, the extent of these changes over time-particularly with regard to plant stoichiometries relative to community structure-is not well documented. Four years after the Yukon-Kuskokwim Delta, Alaska, experienced its largest fire season, aboveground plant and lichen biomass was harvested across a gradient of burn history: unburned (reference), 2015 burn (recent burn), and 1972 burn (historic burn) to assess the resilience of tundra plant communities to fire disturbance. Fire reduced aboveground biomass in the recent burn; early recovery was characterized by evergreen shrub and graminoid dominance. In the historic burn, aboveground biomass approached reference conditions despite a sustained reduction of lichen biomass. Although total plant and lichen carbon (C) and nitrogen (N) were reduced immediately following fire, N stocks recovered to a greater degree-reducing community-level C:N. Notably, at the species level, N enrichment was observed only in the recent burn. Yet, community restructuring persisted for decades following fire, reflecting a sustained reduction in N-poor lichens relative to more N-rich vascular plant species.</t>
  </si>
  <si>
    <t>[Baillargeon, Natalie; Natali, Susan M.] Woodwell Climate Res Ctr, Arctic Program, Falmouth, MA 02540 USA; [Pold, Grace] Swedish Univ Agr Sci, Uppsala, Sweden; [Pold, Grace; Sistla, Seeta A.] Calif Polytech State Univ San Luis Obispo, Dept Nat Resources &amp; Environm Sci, San Luis Obispo, CA 93407 USA</t>
  </si>
  <si>
    <t>Swedish University of Agricultural Sciences; California State University System; California Polytechnic State University San Luis Obispo</t>
  </si>
  <si>
    <t>Baillargeon, N (corresponding author), Woodwell Climate Res Ctr, 149 Woods Hole Rd, Falmouth, MA 02540 USA.</t>
  </si>
  <si>
    <t>nbaillargeon@woodwellclimate.org</t>
  </si>
  <si>
    <t>Baillargeon, Natalie/0000-0002-0201-775X; Pold, Grace/0000-0002-7536-3944</t>
  </si>
  <si>
    <t>NSF [2218742, 2034323, 1915307, 1561437]; Hampshire and Smith College; Division Of Chemistry; Direct For Mathematical &amp; Physical Scien [2034323] Funding Source: National Science Foundation; Office of Polar Programs (OPP); Directorate For Geosciences [1915307] Funding Source: National Science Foundation; Office of Polar Programs (OPP); Directorate For Geosciences [1561437] Funding Source: National Science Foundation</t>
  </si>
  <si>
    <t>NSF(National Science Foundation (NSF)); Hampshire and Smith College; Division Of Chemistry; Direct For Mathematical &amp; Physical Scien(National Science Foundation (NSF)NSF - Directorate for Mathematical &amp; Physical Sciences (MPS)); Office of Polar Programs (OPP); Directorate For Geosciences(National Science Foundation (NSF)NSF - Directorate for Geosciences (GEO)); Office of Polar Programs (OPP); Directorate For Geosciences(National Science Foundation (NSF)NSF - Directorate for Geosciences (GEO))</t>
  </si>
  <si>
    <t>This work was supported by NSF grants 1915307 and 1561437 to SMN and NSF grants 2218742 and 2034323 to SAS. Additional funding from Hampshire and Smith College supported lab analysis and travel.</t>
  </si>
  <si>
    <t>10.1080/15230430.2022.2121246</t>
  </si>
  <si>
    <t>5L6FL</t>
  </si>
  <si>
    <t>WOS:000870507100001</t>
  </si>
  <si>
    <t>Upadhyay, A; Sharma, R; Mahajan, P</t>
  </si>
  <si>
    <t>Upadhyay, Agraj; Sharma, Rajneesh; Mahajan, Puneet</t>
  </si>
  <si>
    <t>Modeling weak snow layer fracture in propagation saw test using an ice column model</t>
  </si>
  <si>
    <t>Propagation saw test; weak snow layer model; finite element analysis; critical crack length; fracture propagation speed</t>
  </si>
  <si>
    <t>FAILURE; TOUGHNESS; HETEROGENEITY; PROPENSITY; CRITERION; MECHANISM; STRENGTH; MODULUS; ENERGY; SPEED</t>
  </si>
  <si>
    <t>Fracture initiation and propagation in a weak snow layer are two primary processes of the slab avalanche formation process. This study proposes a model for the weak snow layer and investigates the fracture propagation process. The weak snow layer is conceptualized as columns of ice sandwiched between two strong layers of snow. The strong layers are modeled as linear elastic, whereas the ice is characterized as a damaging elastoplastic material. The effective mechanical properties of the model weak layer are examined using finite element analysis and are close to the snow properties reported in the literature. This model is used in numerical propagation saw tests (PSTs) to investigate the fracture propagation process in the weak snow layer. Critical crack length (CCL) and fracture propagation speed (FPS) in PST simulations are obtained by tracking the crack tip and are in good agreement with the previously reported results. An insight into the fracture propagation process in the weak snow layer is presented through energy variation analysis in PST simulations and shown that the FPS during dynamic fracture propagation varies with the top slab's elastic modulus, the weak layer's fracture energy, and inertia of the overlying slab.</t>
  </si>
  <si>
    <t>[Upadhyay, Agraj] Def Geoinformat Res Estab, Avalanche Dynam Div, Chandigarh, India; [Upadhyay, Agraj; Mahajan, Puneet] IIT, Dept Appl Mech, Delhi, India; [Sharma, Rajneesh] IIT, Sch Engn, Mandi, Himachal Prades, India</t>
  </si>
  <si>
    <t>Indian Institute of Technology System (IIT System); Indian Institute of Technology (IIT) - Delhi; Indian Institute of Technology System (IIT System); Indian Institute of Technology (IIT) - Mandi</t>
  </si>
  <si>
    <t>Upadhyay, A (corresponding author), DRDO, Avalanche Dynam Div, Def Geoinformat Res Estab, DGRE, Sect 37A, Chandigarh 160036, India.</t>
  </si>
  <si>
    <t>agraj123@rediffmail.com</t>
  </si>
  <si>
    <t>Defence Geoinformatics Research Establishment, DRDO</t>
  </si>
  <si>
    <t>This work was supported by the Defence Geoinformatics Research Establishment, DRDO.</t>
  </si>
  <si>
    <t>10.1080/15230430.2022.2123254</t>
  </si>
  <si>
    <t>5K5FU</t>
  </si>
  <si>
    <t>WOS:000869752600001</t>
  </si>
  <si>
    <t>Seider, JH; Lantz, TC; Bone, C</t>
  </si>
  <si>
    <t>Seider, Jordan H.; Lantz, Trevor C.; Bone, Christopher</t>
  </si>
  <si>
    <t>Tundra shrub expansion in a warming climate and the influence of data type on models of habitat suitability</t>
  </si>
  <si>
    <t>Tundra; shrubs; climate change; species distribution modeling; pseudo-absence</t>
  </si>
  <si>
    <t>SPECIES DISTRIBUTION MODELS; PLANT FUNCTIONAL TYPES; VACCINIUM-VITIS-IDAEA; VEGETATION DYNAMICS; PRESENCE-ABSENCE; GROWTH; DISTRIBUTIONS; FEEDBACKS; INFORMATION; ENVIRONMENT</t>
  </si>
  <si>
    <t>Warming across the low Arctic is increasing tundra vegetation productivity and facilitating the expansion of upright shrubs. We modeled the effects of warming on habitat suitability in green alder, dwarf birch, Labrador tea, bog bilberry, and lingonberry and assessed the influence of data type (true absence or pseudo-absence) on species distribution models (SDMs). We generated SDMs using the two absence data types under current (1970-2000) and future (2061-2080) climate projections. Our results show that warming leads to range expansion of all shrubs, though responses vary in magnitude and extent, with mean increases in suitability ranging from 0.080 (Labrador tea) to 0.369 (lingonberry) with true absences. Differences in driving variables and suitability projections suggest that physiological and ecological variability between species mediate responses to warming. Between data types, we observed inconsistencies in model performance, suitability projections, and variable importance. Bog bilberry and lingonberry exhibited larger differences in suitability (0.201 and 0.288, respectively), whereas alder showed similar responses (difference of 0.01). These results are important to consider when assessing changes in habitat suitability or identifying environmental or climatic determinants of species' distributions. We suggest further development of open data repositories, facilitating access to true absence data to support conservation and land use planning.</t>
  </si>
  <si>
    <t>[Seider, Jordan H.; Lantz, Trevor C.] Univ Victoria, Sch Environm Studies, POB 1700 STN CSC, Victoria, BC V8W 2Y2, Canada; [Bone, Christopher] Univ Victoria, Dept Geog, Victoria, BC, Canada</t>
  </si>
  <si>
    <t>University of Victoria; University of Victoria</t>
  </si>
  <si>
    <t>Lantz, TC (corresponding author), Univ Victoria, Sch Environm Studies, POB 1700 STN CSC, Victoria, BC V8W 2Y2, Canada.</t>
  </si>
  <si>
    <t>tlantz@uvic.ca</t>
  </si>
  <si>
    <t>Seider, Jordan/0000-0002-6329-5833</t>
  </si>
  <si>
    <t>Natural Sciences and Engineering Research Council of Canada [06210-2018]; Northern Scientific Training Program; Polar Continental Shelf Program; University of Victoria; Aurora Research Institute</t>
  </si>
  <si>
    <t>Natural Sciences and Engineering Research Council of Canada(Natural Sciences and Engineering Research Council of Canada (NSERC)CGIAR); Northern Scientific Training Program; Polar Continental Shelf Program; University of Victoria; Aurora Research Institute</t>
  </si>
  <si>
    <t>Funding for this research was provided by the Natural Sciences and Engineering Research Council of Canada (Discovery Grant 06210-2018 to TCL and a Canada Graduate Scholarship Award to JHS), the Northern Scientific Training Program, the Polar Continental Shelf Program, the Aurora Research Institute, and the University of Victoria.</t>
  </si>
  <si>
    <t>10.1080/15230430.2022.2121243</t>
  </si>
  <si>
    <t>5F3TY</t>
  </si>
  <si>
    <t>WOS:000866242600001</t>
  </si>
  <si>
    <t>Peterson, AT; Berthiaume, K; Klett, M; Munroe, JS</t>
  </si>
  <si>
    <t>Peterson, A. Townsend; Berthiaume, Kevin; Klett, Mark; Munroe, Jeffrey S.</t>
  </si>
  <si>
    <t>Linking repeat photography and remote sensing to assess treeline rise with climate warming: Mount of the Holy Cross, Colorado</t>
  </si>
  <si>
    <t>Treeline; climate change; remote sensing; repeat photography</t>
  </si>
  <si>
    <t>GLACIER-NATIONAL-PARK; ALPINE TREELINE; ROCKY-MOUNTAINS; SWEDISH SCANDES; SLOPE ASPECT; DYNAMICS; MONTANA; ECOTONE; SHIFTS; REGENERATION</t>
  </si>
  <si>
    <t>Most ecological studies are by necessity cast on rather short timescales, such that documenting change in phenomena that occur slowly (e.g., over decades to centuries) is quite difficult. Here, we explore variation in and covariation of two sources of information to address rates of treeline change on one mountain face in the central Rocky Mountains: repeat photography and remote sensing. The repeat photography work involved assembling and quantitatively comparing four photographs that span 148 years. The remote sensing analyses covered a shorter period (35 years) but provided quantitative measurements and fuller landscape coverage. The repeat photography results demonstrated pronounced elevational advance of erect forest, at a rate 1.8 m/year during 2004-2020. The remote sensing analyses reflected similar processes but also reflected considerable infilling of tree cover near treeline; consequent increases in Normalized Difference Vegetation Index (NDVI) values in the upper forested areas may thus indicate treeline advance or changes in forest characteristics below treeline. Overall, these results document (1) acceleration in rise of treeline at this site in recent decades and (2) elevational compression of vegetation zones above treeline, with important implications for conservation of nonforested alpine ecosystems. Integrating multiple streams of evidence offers complementary views and insights in analyzing this phenomenon.</t>
  </si>
  <si>
    <t>[Peterson, A. Townsend] Univ Kansas, Biodivers Inst, 1345 Jayhawk Blvd, Lawrence, KS 66045 USA; [Berthiaume, Kevin] Mary Rowlandson Elementary Sch, Lancaster, MA USA; [Klett, Mark] Arizona State Univ, Sch Art, Herberger Inst Arts, Tempe, AZ USA; [Munroe, Jeffrey S.] Middlebury Coll, Dept Geol, Middlebury, VT 05753 USA</t>
  </si>
  <si>
    <t>University of Kansas; Arizona State University; Arizona State University-Tempe</t>
  </si>
  <si>
    <t>Peterson, AT (corresponding author), Univ Kansas, Biodivers Inst, 1345 Jayhawk Blvd, Lawrence, KS 66045 USA.</t>
  </si>
  <si>
    <t>town@ku.edu</t>
  </si>
  <si>
    <t>Peterson, A. Townsend/I-5697-2013</t>
  </si>
  <si>
    <t>Peterson, A. Townsend/0000-0003-0243-2379</t>
  </si>
  <si>
    <t>Office of the Provost of the University of Kansas</t>
  </si>
  <si>
    <t>We thank the Office of the Provost of the University of Kansas for financial support for these research efforts.</t>
  </si>
  <si>
    <t>10.1080/15230430.2022.2121245</t>
  </si>
  <si>
    <t>5E8OC</t>
  </si>
  <si>
    <t>WOS:000865880600001</t>
  </si>
  <si>
    <t>Gamboa-Sojo, VM; Husum, K; Morigi, C; Divine, D; Miettinen, A</t>
  </si>
  <si>
    <t>Gamboa-Sojo, Viviana M.; Husum, Katrine; Morigi, Caterina; Divine, Dmitry; Miettinen, Arto</t>
  </si>
  <si>
    <t>Environmental changes in Krossfjorden, Svalbard, since 1950: Benthic foraminiferal and stable isotope evidence</t>
  </si>
  <si>
    <t>Fjord; foraminifera; glaciomarine; turbidity; Lilliehook glacier</t>
  </si>
  <si>
    <t>KONGSFJORDEN-KROSSFJORDEN; TIDEWATER GLACIERS; ARCTIC FJORDS; DYNAMICS; CLIMATE; SHELF; SEA; ASSEMBLAGES; CIRCULATION; CASSIDULINA</t>
  </si>
  <si>
    <t>Environmental changes for the past ca. 50 years were studied in a short sediment core from inner Krossfjorden, Svalbard, investigating benthic foraminifera and stable isotopes (delta O-18, delta C-13). A depth-age model based on anthropogenic Cs-137 time markers indicates that record covers the period from 1955 to 2007 and has sediment accumulation rates of ca. 0.3 to 1 cm/year. The benthic foraminifera are arctic and/or common in glaciomarine environments. Six fauna assemblages were identified using stratigraphically constrained cluster analysis. Benthic foraminiferal fauna assemblages are mainly dominated by Cassidulina reniforme. Elphidium clavatum is dominant from 1973 to 1986 and 2002 to 2007, likely due to greater turbidity in the water column. We interpret the increased percentages of Spiroplectammina biformis over the same intervals to reflect a slightly lower salinity probably caused by meltwater. During a short time period, 1970 to 1973, Stainforthia concava dominates the benthic foraminiferal fauna interpreted to reflect increased productivity within a marginal ice zone. Other species as Islandiella norcrossi, Nonionellina labradorica, Islandiella helenae, and Melonis barleanus also indicate more nutrient-rich waters are present but not very abundant throughout the record probably due to the glacier proximal position of the study site. The stable isotope record (delta O-18) shows lighter values from 2001 to 2007, which seem to correlate well with oceanographic monitoring data showing increasing core temperatures of West Spitsbergen Current.</t>
  </si>
  <si>
    <t>[Gamboa-Sojo, Viviana M.; Morigi, Caterina] Univ Pisa, Dept Earth Sci, Pisa, Italy; [Gamboa-Sojo, Viviana M.] Univ Costa Rica, Escuela Centroamer Geol, San Jose, Costa Rica; [Husum, Katrine; Divine, Dmitry; Miettinen, Arto] Norwegian Polar Res Inst, Tromso, Norway; [Miettinen, Arto] Univ Helsinki, Ecosyst &amp; Environm Res Programme, Helsinki, Finland</t>
  </si>
  <si>
    <t>University of Pisa; Universidad Costa Rica; Norwegian Polar Institute; University of Helsinki</t>
  </si>
  <si>
    <t>Husum, K (corresponding author), Norwegian Polar Res Inst, Fram Ctr, Post Box 6606, N-9296 Tromso, Norway.</t>
  </si>
  <si>
    <t>katrine.husum@npolar.no</t>
  </si>
  <si>
    <t>Husum, Katrine/HGD-4711-2022; Morigi, Caterina/B-3316-2012; Miettinen, Arto/E-2458-2013</t>
  </si>
  <si>
    <t>Husum, Katrine/0000-0003-1380-5900; Morigi, Caterina/0000-0003-1340-9932; Gamboa-Sojo, Viviana M./0000-0002-0261-6939; Miettinen, Arto/0000-0003-4537-2556</t>
  </si>
  <si>
    <t>University of Costa Rica; University of Pisa; Norwegian Polar Institute; Research Council of Norway [248776/E10]; Ministry of Earth Science, Earth System Science Organization [MoES/Indo-Nor/PS-2/2015]</t>
  </si>
  <si>
    <t>University of Costa Rica; University of Pisa; Norwegian Polar Institute; Research Council of Norway(Research Council of Norway); Ministry of Earth Science, Earth System Science Organization</t>
  </si>
  <si>
    <t>VMGS was funded by the University of Costa Rica. CM was funded by the University of Pisa. KH, DD, and AM were funded through the Norwegian Polar Institute, Research Council of Norway (Grant No. 248776/E10) and Ministry of Earth Science, Earth System Science Organization (MoES/Indo-Nor/PS-2/2015) through the OCTEL (ocean-sea iceatmosphere teleconnections between the Southern Ocean and North Atlantic during the Holocene) project.</t>
  </si>
  <si>
    <t>10.1080/15230430.2022.2120246</t>
  </si>
  <si>
    <t>5B3ZU</t>
  </si>
  <si>
    <t>WOS:000863511600001</t>
  </si>
  <si>
    <t>Rodenhizer, H; Belshe, F; Celis, G; Ledman, J; Mauritz, M; Goetz, S; Sankey, T; Schuur, EAG</t>
  </si>
  <si>
    <t>Rodenhizer, Heidi; Belshe, Fay; Celis, Gerardo; Ledman, Justin; Mauritz, Marguerite; Goetz, Scott; Sankey, Temuulen; Schuur, Edward A. G.</t>
  </si>
  <si>
    <t>Abrupt permafrost thaw accelerates carbon dioxide and methane release at a tussock tundra site</t>
  </si>
  <si>
    <t>Arctic; permafrost; thermokarst; carbon dioxide; methane</t>
  </si>
  <si>
    <t>POLYGONAL TUNDRA; EDDY COVARIANCE; CLIMATE-CHANGE; UPLAND TUNDRA; THERMOKARST; SOIL; RESPIRATION; EMISSIONS; FLUXES; ECOSYSTEMS</t>
  </si>
  <si>
    <t>Abrupt thaw could cause permafrost ecosystems to release more carbon than is predicted from gradual thaw alone. However, thermokarst feature mapping is limited in scope, and observed responses of carbon fluxes to abrupt thaw are variable. We developed a thermokarst detection algorithm that identifies thermokarst features from a single elevation dataset with 71.5 percent accuracy and applied it in Healy, Alaska. Additionally, we investigated the landscape-level variation in carbon dioxide and methane fluxes by extent of abrupt thaw using eddy covariance. Seven percent of the site was classified as thermokarst. Water tracks were the most extensive form of thermokarst, although small pits were much more numerous. Abrupt thaw was positively correlated with carbon uptake during the growing season, when increases in gross primary productivity outpaced increases in ecosystem respiration in vegetation-dense water tracks. However, this was outweighed by higher carbon release in thermokarst features during the nongrowing season. Additionally, abrupt thaw was positively correlated with methane production nearly year-round. Our findings support the hypothesis that abrupt thaw of permafrost carbon will contribute to the permafrost climate feedback above and beyond that associated with gradual thaw and highlights the need to map thermokarst and incorporate abrupt thaw into Earth System Models.</t>
  </si>
  <si>
    <t>[Rodenhizer, Heidi; Goetz, Scott; Schuur, Edward A. G.] No Arizona Univ, Ctr Ecosyst Sci &amp; Soc, Flagstaff, AZ 86011 USA; [Belshe, Fay] Univ Florida, Soil &amp; Water Sci Dept, Gainesville, FL USA; [Celis, Gerardo] Univ Florida, Dept Agron, Gainesville, FL 32611 USA; [Ledman, Justin] Univ Alaska Fairbanks, Bonanza Creek Long Term Ecol Res Site, Fairbanks, AK USA; [Mauritz, Marguerite] Univ Texas El Paso, Biol Sci, El Paso, TX 79968 USA; [Goetz, Scott; Sankey, Temuulen] No Arizona Univ, Sch Informat Comp &amp; Cyber Syst, Flagstaff, AZ 86011 USA</t>
  </si>
  <si>
    <t>Northern Arizona University; State University System of Florida; University of Florida; State University System of Florida; University of Florida; University of Alaska System; University of Alaska Fairbanks; University of Texas System; University of Texas El Paso; Northern Arizona University</t>
  </si>
  <si>
    <t>Rodenhizer, H (corresponding author), No Arizona Univ, Sci Lab Facil, 600 S Knowles Dr,Bldg 17,Rm 309, Flagstaff, AZ 86011 USA.</t>
  </si>
  <si>
    <t>hgr7@nau.edu</t>
  </si>
  <si>
    <t>Goetz, Scott J/A-3393-2015</t>
  </si>
  <si>
    <t>Goetz, Scott J/0000-0002-6326-4308; Rodenhizer, Heidi/0000-0001-5824-3302; Mauritz, Marguerite/0000-0001-8733-9119; Sankey, Temuulen/0000-0002-6919-8428; Celis, Gerardo/0000-0003-1265-4063</t>
  </si>
  <si>
    <t>National Science Foundation (NSF) Navigating the New Arctic: Long Term Research in Environmental Biology: The Arctic Carbon and Climate (ACCLIMATE) Observatory: Tundra Ecosystem Carbon Balance and Old Carbon Loss as a Consequence of Permafrost Degradation [1754839]; University of Alaska Fairbanks; U.S. Forest Service; National Science Foundation (NSF) [DEB-1636476, DEB-1026415, DEB-0620579, DEB-0423442, DEB-0080609, DEB-9810217, DEB-9211769, DEB-8702629]; U.S. Forest Service, Pacific Northwest Research Station [RJVA-PNW-01-JV-11261952-231]; Direct For Biological Sciences; Division Of Environmental Biology [1754839] Funding Source: National Science Foundation</t>
  </si>
  <si>
    <t>National Science Foundation (NSF) Navigating the New Arctic: Long Term Research in Environmental Biology: The Arctic Carbon and Climate (ACCLIMATE) Observatory: Tundra Ecosystem Carbon Balance and Old Carbon Loss as a Consequence of Permafrost Degradation(National Science Foundation (NSF)); University of Alaska Fairbanks; U.S. Forest Service(United States Department of Agriculture (USDA)United States Forest Service); National Science Foundation (NSF)(National Science Foundation (NSF)); U.S. Forest Service, Pacific Northwest Research Station(United States Department of Agriculture (USDA)United States Forest Service); Direct For Biological Sciences; Division Of Environmental Biology(National Science Foundation (NSF)NSF - Directorate for Biological Sciences (BIO))</t>
  </si>
  <si>
    <t>This work was supported by the National Science Foundation (NSF) Navigating the New Arctic: Long Term Research in Environmental Biology: The Arctic Carbon and Climate (ACCLIMATE) Observatory: Tundra Ecosystem Carbon Balance and Old Carbon Loss as a Consequence of Permafrost Degradation (Award No. 1754839). Supplemental funding was provided by the Bonanza Creek LTER, a partnership between the University of Alaska Fairbanks and the U.S. Forest Service. Significant funding for collection of these data was provided by the National Science Foundation Long-Term Ecological Research program (NSF Grant Nos. DEB-1636476, DEB-1026415, DEB-0620579, DEB-0423442, DEB-0080609, DEB-9810217, DEB-9211769, DEB-8702629) and by the U.S. Forest Service, Pacific Northwest Research Station (Agreement No. RJVA-PNW-01-JV-11261952-231).</t>
  </si>
  <si>
    <t>10.1080/15230430.2022.2118639</t>
  </si>
  <si>
    <t>4Y7RG</t>
  </si>
  <si>
    <t>WOS:000861720400001</t>
  </si>
  <si>
    <t>Kelleher, R; Jennings, A; Andrews, J; Brooks, NKS; Marchitto, T; Feng, ST; Woelders, L; Normandeau, A; Jenner, K; Bennett, R; Brookins, S</t>
  </si>
  <si>
    <t>Kelleher, Robert; Jennings, Anne; Andrews, John; Brooks, Nicole K. S.; Marchitto, Tom; Feng, Shaoting; Woelders, Lineke; Normandeau, Alexandre; Jenner, Kimberley; Bennett, Robbie; Brookins, Sarah</t>
  </si>
  <si>
    <t>Late glacial retreat of the Lancaster Sound Ice Stream and early Holocene onset of Arctic/Atlantic throughflow in the Arctic island channels</t>
  </si>
  <si>
    <t>Deglaciation; Parry Channel; BBDC events; Baffin Bay; foraminifera</t>
  </si>
  <si>
    <t>MODERN BENTHIC FORAMINIFERA; SURFACE SEA-FLOOR; INNUITIAN ICE; BAFFIN-BAY; WEST GREENLAND; NARES STRAIT; DEPOSITIONAL PROCESSES; SEDIMENT MINERALOGY; HEINRICH EVENTS; PARRY CHANNEL</t>
  </si>
  <si>
    <t>Multiple proxies in three sediment cores from Northwestern Baffin Bay document the timing of Lancaster Sound Ice Stream (LSIS) retreat that led to Arctic-Atlantic throughflow in Parry Channel, an important source of freshwater that can impact the Atlantic Meridional Overturning Circulation. The Late Glacial to Holocene timing of ice retreat and channel opening and the responses of the regional ocean environment to these events are presented. We use quantitative mineral composition, foraminiferal assemblages, biogenic silica, ice-rafted debris (IRD), and C-14-based age models to document and date the events and environmental changes occurring during deglaciation of this major marine channel. Findings show that retreat of the LSIS into Lancaster Sound occurred before similar to 15.3 cal ka BP, about 800 years before the onset of major iceberg calving events from the LSIS, named the Baffin Bay Detrital Carbonate events (BBDC 1 and BBDC 0). The end of BBDC 0 occurred at similar to 10.6 cal ka BP, which coincides with the opening of Parry Channel. A marine environment productive of calcareous benthic and planktic foraminifera, with diminished meltwater, seasonal sea ice, warmer summer temperatures, and inflowing, nutrient-rich Arctic surface water characterizes the interval between the opening of Parry Channel and the opening of Nares Strait. Paired planktic and benthic C-14 ages over this 2,200-year interval show diminishing age offsets suggesting progressive mixing of the upper similar to 850-900 m of the water column. The opening of Nares Strait by similar to 8.2 cal ka BP coincides with increased biogenic silica in the form of abundant, large centric diatoms and dissolution of CaCO3. The paucity of calcareous organisms after 8.2 cal ka BP resulted in poor chronological control in the cores to interpret changing environments after 8.2 cal ka BP.</t>
  </si>
  <si>
    <t>[Kelleher, Robert; Jennings, Anne; Andrews, John; Brooks, Nicole K. S.; Marchitto, Tom; Feng, Shaoting; Woelders, Lineke; Brookins, Sarah] Univ Colorado, INSTAAR, Boulder, CO 80309 USA; [Kelleher, Robert; Andrews, John; Marchitto, Tom; Brookins, Sarah] Univ Colorado, Dept Geol Sci, UCB 399, Boulder, CO 80309 USA; [Normandeau, Alexandre; Jenner, Kimberley; Bennett, Robbie] Nat Resources Canada, Geol Survey Canada Atlantic, Dartmouth, NS, Canada</t>
  </si>
  <si>
    <t>University of Colorado System; University of Colorado Boulder; University of Colorado System; University of Colorado Boulder; Natural Resources Canada; Lands &amp; Minerals Sector - Natural Resources Canada; Geological Survey of Canada</t>
  </si>
  <si>
    <t>Kelleher, R (corresponding author), Univ Colorado, INSTAAR, Boulder, CO 80309 USA.</t>
  </si>
  <si>
    <t>robert.kelleher@colorado.edu</t>
  </si>
  <si>
    <t>Feng, Shaoting/AAJ-9181-2020</t>
  </si>
  <si>
    <t>Feng, Shaoting/0000-0002-2122-5749; MARCHITTO, THOMAS/0000-0003-2397-8768; Kelleher, Robert/0000-0001-8238-5220</t>
  </si>
  <si>
    <t>U.S. National Science Foundation [OPP P2C2 1804504]</t>
  </si>
  <si>
    <t>U.S. National Science Foundation(National Science Foundation (NSF))</t>
  </si>
  <si>
    <t>This work was funded by the U.S. National Science Foundation grant OPP P2C2 1804504.</t>
  </si>
  <si>
    <t>10.1080/15230430.2022.2110689</t>
  </si>
  <si>
    <t>4X6OJ</t>
  </si>
  <si>
    <t>WOS:000860959100001</t>
  </si>
  <si>
    <t>Sarala, P; Lunkka, JP; Sarajarvi, V; Sarala, O; Filzmoser, P</t>
  </si>
  <si>
    <t>Sarala, P.; Lunkka, J. P.; Sarajarvi, V; Sarala, O.; Filzmoser, P.</t>
  </si>
  <si>
    <t>Timing of glacial-non-glacial stages in Finland: An exploratory analysis of the OSL data</t>
  </si>
  <si>
    <t>Optically Stimulated Luminescence; database; interglacial; interstadial; clustering; statistical analysis</t>
  </si>
  <si>
    <t>MARINE ISOTOPE STAGE-3; ICE-FREE CONDITIONS; SHEET HISTORY; FENNOSCANDIA; SEDIMENTS; AGE; OSTROBOTHNIA; CHRONOLOGY; AREA; LITHOSTRATIGRAPHY</t>
  </si>
  <si>
    <t>The Optically Stimulated Luminescence (OSL) age database of Finland was established, and it includes all of the published OSL age results from different sediment sequences in Finland. The OSL database includes similar to 180 published OSL ages ranging from 235,000 years to 300 years; that is, from the Middle Saalian interstadial to the present. Two statistical clustering methods, K-means and model-based clustering with the package mclust, were used to analyze the internal structure of the assembled OSL data. The results of these analyses were also compared to the established Northwest European (Fennoscandian) chronostratigraphical stages. When the data were analyzed by the K-means method, the right number of clusters (K) was seven. The model-based clustering method (K = five) created bigger clusters for the youngest and the oldest ages compared to the K-means clusters. Both methods show that the ages followed the increasing trend from the youngest to the oldest, and the standard error of ages was constantly increasing except in the age group 70-115 ka, where the standard errors were exceptionally high. Seven clusters obtained from the age data corresponded relatively well with the number of stratigraphically established interglacials and interstadials in the late Middle and Late Pleistocene in Fennoscandia. The exceptionally large standard error of ages in the Early Weichselian age group 70-115 ka might result from mixing of heterogeneous and poorly or partly bleached mineral material from both Eemian and Early Weichselian sediment layers. The OSL-dated Middle Saalian interstadial sediments in the data support a strong stadial and interstadial variation also before the Late Pleistocene.</t>
  </si>
  <si>
    <t>[Sarala, P.; Lunkka, J. P.; Sarajarvi, V] Univ Oulu, Oulu Min Sch, POB 3000, Oulu 90014, Finland; [Sarala, P.] Geol Survey Finland, Mineral Econ Solut, Rovaniemi, Finland; [Sarala, O.] Univ Oulu, Res Unit Math Sci, Oulu, Finland; [Filzmoser, P.] Vienna Univ Technol, Inst Stat &amp; Math Methods Econ, Vienna, Austria</t>
  </si>
  <si>
    <t>University of Oulu; Geological Survey of Finland (GTK); University of Oulu; Technische Universitat Wien</t>
  </si>
  <si>
    <t>Sarala, P (corresponding author), Univ Oulu, Oulu Min Sch, POB 3000, Oulu 90014, Finland.</t>
  </si>
  <si>
    <t>pertti.sarala@oulu.fi</t>
  </si>
  <si>
    <t>Sarala, Pertti/0000-0002-8234-4186</t>
  </si>
  <si>
    <t>10.1080/15230430.2022.2117765</t>
  </si>
  <si>
    <t>4W7UC</t>
  </si>
  <si>
    <t>WOS:000860362300001</t>
  </si>
  <si>
    <t>Cheng, MY; Zhang, MC; Van Veldhuizen, RM; Knight, CW</t>
  </si>
  <si>
    <t>Cheng, Mingyuan; Zhang, Mingchu; Van Veldhuizen, Robert M.; Knight, Charles W.</t>
  </si>
  <si>
    <t>Temperature and precipitation changes impact the yields of small grain cultivars from 1978 to 2018 in Fairbanks and Delta Junction, Alaska</t>
  </si>
  <si>
    <t>Climate change; yield loss; barley; oat; wheat</t>
  </si>
  <si>
    <t>CLIMATE-CHANGE; BARLEY; WEATHER; TRENDS</t>
  </si>
  <si>
    <t>Regions in high latitudes are experiencing greater climate change than other regions. In this study, the impact of temperature and precipitation on the yield of fifteen cultivars (eight barley [Hordeum vulgare], four oat [Avena sativa], and three wheat [Triticum aestivum]) from a small grain field experiment in Fairbanks and Delta Junction, Alaska, from 1978 to 2018 were analyzed to evaluate their sensitivity to variation in climate that occurred during this period. Using first-difference time series of log yield change and the changes of determinant weather (maximum and minimum temperatures and precipitation) as variables, linear regression and Bayesian simulation models were fitted for analysis. Results showed that of fifteen cultivars, two barley and one wheat had a consistent yield reduction (p &lt; .05) in both locations over the test period. The remaining cultivars, though they experienced a yield reduction, the degree of the change varied by individual cultivar depending on the location (from -10.3 to 4.1 percent). For impact of temperature and precipitation, the majority of cultivars of three small grains decreased in yield (2.4-22.5 percent per degree) with elevated temperature but increased in yield (2.4-6.0 percent per centimeter) with higher precipitation. Over the growing season, increased temperatures and reduced total precipitation in June and July reduced the yields of cultivars. The results suggest that cultivar response to climate change differed by location. Nevertheless, elevated temperature and lower precipitation appear to be the variables causing a decrease in yield. Therefore, selection of cultivars under climate change scenarios in different locations is imperative, and this study provides insight for future small grain cultivar selections in Alaska.</t>
  </si>
  <si>
    <t>[Cheng, Mingyuan; Zhang, Mingchu; Van Veldhuizen, Robert M.] Univ Alaska Fairbanks, Inst Agr Nat Resources &amp; Extens, Agr &amp; Forestry Expt Stn, POB 756180, Fairbanks, AK 99775 USA; [Knight, Charles W.] Alaska Dept Nat Resources, Div Agr, Fairbanks, AK USA</t>
  </si>
  <si>
    <t>University of Alaska System; University of Alaska Fairbanks</t>
  </si>
  <si>
    <t>Cheng, MY (corresponding author), Univ Alaska Fairbanks, Inst Agr Nat Resources &amp; Extens, Agr &amp; Forestry Expt Stn, POB 756180, Fairbanks, AK 99775 USA.</t>
  </si>
  <si>
    <t>mzhang3@alaska.edu</t>
  </si>
  <si>
    <t>USDA Hatch project [ALK 19-04]; Multi-State Project [ALK 15-03]</t>
  </si>
  <si>
    <t>USDA Hatch project; Multi-State Project</t>
  </si>
  <si>
    <t>This research was supported by the USDA Hatch project (ALK 19-04) and Multi-State Project (ALK 15-03).</t>
  </si>
  <si>
    <t>10.1080/15230430.2022.2109785</t>
  </si>
  <si>
    <t>4F4KV</t>
  </si>
  <si>
    <t>WOS:000848482800001</t>
  </si>
  <si>
    <t>Pintaldi, E; Pittarello, M; Viglietti, D; Quaglia, E; D'Amico, ME; Lombardi, G; Colombo, N; Lonati, M; Freppaz, M</t>
  </si>
  <si>
    <t>Pintaldi, Emanuele; Pittarello, Marco; Viglietti, Davide; Quaglia, Elena; D'Amico, Michele Eugenio; Lombardi, Giampiero; Colombo, Nicola; Lonati, Michele; Freppaz, Michele</t>
  </si>
  <si>
    <t>Snowbed communities and soil C and N dynamics during a four-year investigation in the NW-Italian Alps</t>
  </si>
  <si>
    <t>LTER; standard monitoring variables; Salix herbacea; topsoil; phenology; carbon and nitrogen; alpine tundra</t>
  </si>
  <si>
    <t>ELLENBERG INDICATOR VALUES; ALPINE PLANT-COMMUNITIES; FREEZE-THAW CYCLES; SUB-ALPINE; LONG-TERM; PHENOLOGICAL RESPONSES; NITROGEN AVAILABILITY; MICROBIAL BIOMASS; SPECIES RICHNESS; GROWING-SEASON</t>
  </si>
  <si>
    <t>The snowbed habitats represent a relevant component of the alpine tundra biome, developing in areas characterized by a long-lasting snow cover. Such areas are particularly sensitive to climate changes, because small variations in air temperature, rain, and snowfall may considerably affect the pedoclimate and plant phenology, which control the soil C and N cycling. Therefore, it is fundamental to identify the most sensitive abiotic and biotic variables affecting soil nutrient cycling. This work was performed at seven permanent snowbed sites belonging to Salicetum herbaceae vegetation community in the northwestern Italian Alps, at elevations between 2,686 and 2,840 m.a.s.l. During a four-year study, we investigated climate, pedoclimate, floristic composition, phenology, and soil C and N dynamics. We found that lower soil water content and earlier melt-out day decreased soil N-NH4 (+), N-NO3 (-), dissolved organic carbon (DOC), dissolved organic nitrogen (DON), total dissolved nitrogen (TDN), microbial nitrogen (Nmicr), microbial carbon (Cmicr), and C:Nmicr ratio. The progression of the phenological stages of Salix herbacea reduced soil N-NH4 (+) and increased DOC. Our results showed that the snow melt-out day, soil temperature, soil water content, and plant phenological stages were the most important factors affecting soil biogeochemical cycles, and they should be taken into account when assessing the effects of climate change in alpine tundra ecosystems, in the framework of long-term ecological research.</t>
  </si>
  <si>
    <t>[Pintaldi, Emanuele; Viglietti, Davide; Lombardi, Giampiero; Colombo, Nicola; Lonati, Michele; Freppaz, Michele] Univ Torino, Dept Agr Forest &amp; Food Sci DiSAFA, Largo Paolo Braccini 2, I-10095 Grugliasco, TO, Italy; [Pittarello, Marco] Univ Torino, Dept Vet Sci DSV, Grugliasco, Italy; [D'Amico, Michele Eugenio] Univ Milan, DISAA, Milan, Italy; [Lombardi, Giampiero; Freppaz, Michele] Univ Torino, Res Ctr Nat Risks Mt &amp; Hilly Environm, NATRISK, Grugliasco, Italy</t>
  </si>
  <si>
    <t>University of Turin; University of Turin; University of Milan; University of Turin</t>
  </si>
  <si>
    <t>Pittarello, M (corresponding author), Univ Torino, Dept Agr Forest &amp; Food Sci DiSAFA, Largo Paolo Braccini 2, I-10095 Grugliasco, TO, Italy.</t>
  </si>
  <si>
    <t>marco.pittarello@unito.it</t>
  </si>
  <si>
    <t>PITTARELLO, MARCO/IUM-9653-2023; Colombo, Nicola/J-9426-2016; Lonati, Michele/HJH-1916-2023; Lombardi, Giampiero/G-3714-2012</t>
  </si>
  <si>
    <t>PITTARELLO, MARCO/0000-0001-6748-8790; Colombo, Nicola/0000-0003-2244-3147; Pintaldi, Emanuele/0000-0001-8345-4283; Lonati, Michele/0000-0001-8886-0328; Quaglia, Elena/0000-0001-9087-3152; Freppaz, Michele/0000-0002-4290-6850; D'Amico, Michele/0000-0002-8660-7238; Lombardi, Giampiero/0000-0003-3787-2374</t>
  </si>
  <si>
    <t>Monterosa 2000 SpA</t>
  </si>
  <si>
    <t>This work was supported by the Monterosa 2000 SpA.</t>
  </si>
  <si>
    <t>10.1080/15230430.2022.2104001</t>
  </si>
  <si>
    <t>3Y4UM</t>
  </si>
  <si>
    <t>WOS:000843721800001</t>
  </si>
  <si>
    <t>Iz, HB</t>
  </si>
  <si>
    <t>Iz, H. Baki</t>
  </si>
  <si>
    <t>The global mean sea level rise predicted by its causative budget components during 2018-2050</t>
  </si>
  <si>
    <t>ALL EARTH</t>
  </si>
  <si>
    <t>Climate change; global mean sea level budget; luni-solar forcing; prediction of global mean sea level rise</t>
  </si>
  <si>
    <t>This study establishes a predictive empirical model, the first of its kind, which is innately a cause-and-effect representation of the observed global mean sea level over time. The model uses the trends of its observed budget components, including the temporal variations in mass of glaciers, Greenland, Antarctic ice sheets, terrestrial water storage, steric effect, and astronomical forcings of luni-solar origin, as independent variables in representing global mean sea level anomalies, namely, the dependent variable. The model parameters are estimated using monthly globally averaged satellite altimetry measurements and the yearly rates of the budget components during 1993-2018 as a priori information. Prospective monthly global mean sea level anomalies are then quantified and tabulated together with their root mean square error of prediction at 5% significance level for the period 2018-2050.</t>
  </si>
  <si>
    <t>[Iz, H. Baki] Ohio State Univ, Sch Earth Sci, Div Geodet Sci, Columbus, OH 43210 USA</t>
  </si>
  <si>
    <t>University System of Ohio; Ohio State University</t>
  </si>
  <si>
    <t>Iz, HB (corresponding author), Ohio State Univ, Sch Earth Sci, Div Geodet Sci, Columbus, OH 43210 USA.</t>
  </si>
  <si>
    <t>h.baki.iz@gmail.com</t>
  </si>
  <si>
    <t>Iz, Huseyin Baki/C-9988-2009</t>
  </si>
  <si>
    <t>Iz, Huseyin Baki/0000-0001-6709-0475</t>
  </si>
  <si>
    <t>Natural Science Foundation of China [41974040]</t>
  </si>
  <si>
    <t>Natural Science Foundation of China(National Natural Science Foundation of China (NSFC))</t>
  </si>
  <si>
    <t>This work was supported by the Natural Science Foundation of China [41974040].</t>
  </si>
  <si>
    <t>2766-9645</t>
  </si>
  <si>
    <t>All Earth</t>
  </si>
  <si>
    <t>10.1080/27669645.2022.2109299</t>
  </si>
  <si>
    <t>3T8FP</t>
  </si>
  <si>
    <t>WOS:000840505800001</t>
  </si>
  <si>
    <t>Swärd, H; Andersson, P; Hilton, R; Vogt, C; O'Regan, M</t>
  </si>
  <si>
    <t>Sward, Henrik; Andersson, Per; Hilton, Robert; Vogt, Christoph; O'Regan, Matt</t>
  </si>
  <si>
    <t>Mineral and isotopic (Nd, Sr) signature of fine-grained deglacial and Holocene sediments from the Mackenzie Trough, Arctic Canada</t>
  </si>
  <si>
    <t>Arctic Ocean; Mackenzie River; Canadian Beaufort Sea; dolomite; neodynium; strontium</t>
  </si>
  <si>
    <t>LAURENTIDE ICE-SHEET; SURFACE SEDIMENTS; OCEAN SEDIMENTS; LATE QUATERNARY; SEA-ICE; CLAY-MINERALS; SM-ND; GEOCHEMICAL CHARACTERISTICS; NORTHWEST-TERRITORIES; DISPERSAL PATTERNS</t>
  </si>
  <si>
    <t>Dolomites in Arctic Ocean sediments are widely attributed to erosion and transport of sediments from northern Canada and Greenland. Coarse-grained dolomite-rich ice-rafted debris is often linked to iceberg transport, but the origin of fine-grained dolomite is less well constrained. A presumed source is the Mackenzie River. In this article, we fingerprint the minerogenic and isotopic (Nd and Sr) composition of deglacial and Holocene fine-grained sediments (&lt;38 mu m) from the shallow Mackenzie Trough. Sediments from an 81.5-m borehole (MTW01) were analyzed. The borehole is composed of a progradational (deltaic), transitional (transgressive), and marine unit (&lt;9.4 cal. ka BP). The average dolomite content (similar to 7 percent) and epsilon(Nd) signals (-13.3) are surprisingly constant in the progradational and marine units. The isotopic signature is inherited from the Interior Platform, the major underlying bedrock region of the Mackenzie River mainstream. The transitional unit contains fluctuations in epsilon(Nd) (-11.0 and -14.6), reflecting enhanced input from the North American Cordillera and Canadian Shield that are not associated with elevated amounts of dolomite. Additional studies combining minerogenic and detrital epsilon(Nd) analyses from sites proximal to the paleo-icestreams draining the Canadian Arctic are required to ascertain the origin of dolomite enrichment in central Arctic Ocean sediments.</t>
  </si>
  <si>
    <t>[Sward, Henrik; O'Regan, Matt] Stockholm Univ, Dept Geol Sci, Svante Arrhenius Vag 8, SE-10691 Stockholm, Sweden; [Andersson, Per] Swedish Museum Nat Hist, Dept Geosci, Stockholm, Sweden; [Hilton, Robert] Univ Oxford, Dept Earth Sci, Oxford, England; [Vogt, Christoph] Univ Bremen, FB05 Geosci, Crystallog &amp; Geomat Res, Bremen, Germany; [Vogt, Christoph] Univ Bremen, MARUM, Crystallog &amp; Geomat Res, Bremen, Germany</t>
  </si>
  <si>
    <t>Stockholm University; Swedish Museum of Natural History; University of Oxford; University of Bremen; University of Bremen</t>
  </si>
  <si>
    <t>O'Regan, M (corresponding author), Stockholm Univ, Dept Geol Sci, Svante Arrhenius Vag 8, SE-10691 Stockholm, Sweden.</t>
  </si>
  <si>
    <t>matt.oregan@geo.su.se</t>
  </si>
  <si>
    <t>O'Regan, Matt/P-6277-2019</t>
  </si>
  <si>
    <t>O'Regan, Matt/0000-0002-6046-1488; Vogt, Christoph Martin/0000-0002-5376-9011</t>
  </si>
  <si>
    <t>Swedish Research Council [DNR-2016-05092, DNR-2020-04379]</t>
  </si>
  <si>
    <t>Swedish Research Council(Swedish Research Council)</t>
  </si>
  <si>
    <t>This research was supported by the Swedish Research Council grants DNR-2016-05092 and DNR-2020-04379.</t>
  </si>
  <si>
    <t>10.1080/15230430.2022.2096425</t>
  </si>
  <si>
    <t>3S1KE</t>
  </si>
  <si>
    <t>WOS:000839360700001</t>
  </si>
  <si>
    <t>Kolchev, I; Marshall, IPG; Jones, E; Yde, JC; Nornberg, P; Rivera, AM; Hodson, AJ; Bak, EN; Finster, K</t>
  </si>
  <si>
    <t>Kolchev, Ivaylo; Marshall, Ian P. G.; Jones, Eleanor; Yde, Jacob C.; Nornberg, Per; Rivera, Alejandro M.; Hodson, Andy J.; Bak, Ebbe N.; Finster, Kai</t>
  </si>
  <si>
    <t>Microbial iron reduction and greenhouse gas production in response to organic matter amendment and temperature increase of periglacial sediments, Bolterdalen, Svalbard</t>
  </si>
  <si>
    <t>Greenhouse gas emission; competition; organic matter quality; biogeochemistry; iron reduction</t>
  </si>
  <si>
    <t>PERMAFROST-AFFECTED SOILS; COMMUNITY COMPOSITION; ACTIVE LAYER; METHANOTROPHIC DIVERSITY; BACTERIAL COMMUNITY; METHANE PRODUCTION; SULFATE REDUCTION; RECEDING GLACIER; CLIMATE-CHANGE; ARCTIC TUNDRA</t>
  </si>
  <si>
    <t>Arctic permafrost soils store substantial reserves of organic matter (OM) from which microbial transformation contributes significantly to greenhouse gas emissions of CH4 and CO2. However, many younger sediments exposed by glacier retreat and sea level change in fjord landscapes lack significant organic carbon resources, so their capacity to promote greenhouse gas emissions is unclear. We therefore studied the effects of increased temperatures (4 degrees C and 21 degrees C) and OM on rates of Fe(III) reduction, CO2 production, and methanogenesis in three different Holocene sedimentary units from a single site within the former marine limit of Adventdalen, Svalbard. Higher temperature and OM addition generally stimulated CH4 production and CO2 production and an increase in Bacteria and Archaea abundance in all units, whereas an equal stimulation of Fe(II) production by OM amendment and an increase in temperature to 21 degrees C was only observed in a diamicton. We observed an accumulation of Fe(II) in beach and delta deposits as well but saw no stimulating effect of additional OM or increased temperature. Interestingly, we observed a small but significant production of CH4 in all units despite the presence of large reservoirs of Fe(III), sulfate, and nitrate, indicating either the availability of substrates that are primarily used by methanogens or a tight physical coupling between fermentation and methanogenesis by direct electron transfer. Our study clearly illustrates a significant challenge that comes with the large heterogeneity on a narrow spatial scale that one encounters when studying soils that have complex histories.</t>
  </si>
  <si>
    <t>[Kolchev, Ivaylo; Marshall, Ian P. G.; Nornberg, Per; Bak, Ebbe N.; Finster, Kai] Aarhus Univ, Dept Biol, Aarhus, Denmark; [Jones, Eleanor; Hodson, Andy J.] Univ Ctr Svalbard, Dept Arctic Geol, Longyearbyen, Norway; [Yde, Jacob C.; Rivera, Alejandro M.; Hodson, Andy J.; Bak, Ebbe N.] Western Norway Univ Appl Sci, Dept Environm Sci, Royrgata 6, N-6856 Sogndal, Norway; [Rivera, Alejandro M.] Univ Bergen, Dept Biol, Bergen, Norway; [Finster, Kai] Aarhus Univ, Fac Sci &amp; Technol, Arctic Ctr, Aarhus, Denmark</t>
  </si>
  <si>
    <t>Aarhus University; University Centre Svalbard (UNIS); Western Norway University of Applied Sciences; University of Bergen; Aarhus University</t>
  </si>
  <si>
    <t>Yde, JC (corresponding author), Western Norway Univ Appl Sci, Dept Environm Sci, Royrgata 6, N-6856 Sogndal, Norway.</t>
  </si>
  <si>
    <t>jacob.yde@hvl.no</t>
  </si>
  <si>
    <t>Marshall, Ian P.G./ABB-3940-2020; Finster, Kai/I-7475-2013</t>
  </si>
  <si>
    <t>Finster, Kai/0000-0002-9132-5542; Hodson, Andrew/0000-0002-1255-7987; Mateos-Rivera, Alejandro/0000-0003-1408-1895; Jones, Eleanor/0000-0002-5556-7915; Marshall, Ian/0000-0001-9264-4687</t>
  </si>
  <si>
    <t>Innovation Fund Denmark [4194-00002B]; Natural Environment Research Council (UK) [NE/M019829/1]; Norges Forskningsrad [244906]; [71126]</t>
  </si>
  <si>
    <t>Innovation Fund Denmark; Natural Environment Research Council (UK)(UK Research &amp; Innovation (UKRI)Natural Environment Research Council (NERC)); Norges Forskningsrad(Research Council of Norway);</t>
  </si>
  <si>
    <t>Our study is directly related to the JPI-Climate (Topic 2: Russian Arctic and Boreal Systems) Award No. 71126, More Than Methane: Quantifying Melt-Driven Biogas Production and Nutrient Export from Eurasian Arctic Lowland Permafrost (abbreviated LowPerm). LowPerm was financially supported via Innovation Fund Denmark (LowPerm-JPI Climate-4194-00002B), the Natural Environment Research Council (UK: NE/M019829/1), and Norges Forskningsrad (244906).</t>
  </si>
  <si>
    <t>10.1080/15230430.2022.2097757</t>
  </si>
  <si>
    <t>3Q0GH</t>
  </si>
  <si>
    <t>WOS:000837911000001</t>
  </si>
  <si>
    <t>Gardner, CB; Diaz, MA; Smith, DF; Fountain, AG; Levy, JS; Lyons, WB</t>
  </si>
  <si>
    <t>Gardner, Christopher B.; Diaz, Melisa A.; Smith, Devin F.; Fountain, Andrew G.; Levy, Joseph S.; Lyons, W. Berry</t>
  </si>
  <si>
    <t>Isotopic signature of massive, buried ice in eastern Taylor Valley, Antarctica: Implications for its origin</t>
  </si>
  <si>
    <t>Buried ice; McMurdo Dry Valleys; Last Glacial Maximum; ice-cored moraine</t>
  </si>
  <si>
    <t>MCMURDO DRY VALLEYS; MIOCENE GLACIER ICE; WESTERN ROSS SEA; GROUND ICE; UNIVERSITY VALLEY; VICTORIA LAND; SHEET; PERMAFROST; WATER; GEOCHEMISTRY</t>
  </si>
  <si>
    <t>The coastal regions of the McMurdo Dry Valleys, Antarctica, contain deposits of the Ross Sea Drift, sedimentary material left from the Ross Sea ice sheet from the advance of the West Antarctic ice sheet during the Last Glacial Maximum. Much of this deposit is ice-cored, but data on the stable isotopic composition of water from this ice, which may contain a valuable climate archive, are sparse or incomplete. Widespread thermokarstic ground subsidence in this coastal thaw zone of the McMurdo Dry Valleys suggests that these potential records are rapidly being lost due to the melting of ground ice and permafrost. We collected samples of massive buried ice from the Ross Sea Drift in eastern Taylor Valley for delta O-18-H2O and delta H-2-H2O and measured a broad range of values (delta O-18 = -27.7 to -37.3 parts per thousand; delta H-2 = -210 to -295 parts per thousand). These buried ice deposits do not show evidence of alteration through sublimation or evaporation, plot along the local meteoric water line, and have values that indicate ice deposition under a colder climate than present conditions. We propose that this ice was sourced from the Ross Sea ice sheet during the Last Glacial Maximum and contains a valuable and accessible climate record.</t>
  </si>
  <si>
    <t>[Gardner, Christopher B.; Diaz, Melisa A.; Smith, Devin F.; Lyons, W. Berry] Ohio State Univ, Sch Earth Sci, 275 Mendenhall Lab,125 S Oval Mall, Columbus, OH 43210 USA; [Gardner, Christopher B.; Diaz, Melisa A.; Lyons, W. Berry] Ohio State Univ, Byrd Polar &amp; Climate Res Ctr, Columbus, OH 43210 USA; [Fountain, Andrew G.] Portland State Univ, Dept Geol, Portland, OR 97207 USA; [Levy, Joseph S.] Colgate Univ, Dept Geol, Hamilton, NY 13346 USA</t>
  </si>
  <si>
    <t>University System of Ohio; Ohio State University; University System of Ohio; Ohio State University; Portland State University; Colgate University</t>
  </si>
  <si>
    <t>Gardner, CB (corresponding author), Ohio State Univ, Sch Earth Sci, 275 Mendenhall Lab,125 S Oval Mall, Columbus, OH 43210 USA.</t>
  </si>
  <si>
    <t>Gardner.177@osu.edu</t>
  </si>
  <si>
    <t>Diaz, Melisa/0000-0001-6657-358X; Smith, Devin/0000-0001-6945-7306; Gardner, Christopher/0000-0003-0400-3754</t>
  </si>
  <si>
    <t>National Science Foundation Office of Polar Programs [OPP-1841228]; National Science Foundation [NSF EAR-1707989]</t>
  </si>
  <si>
    <t>National Science Foundation Office of Polar Programs(National Science Foundation (NSF)NSF - Directorate for Geosciences (GEO)); National Science Foundation(National Science Foundation (NSF))</t>
  </si>
  <si>
    <t>This work was supported by the National Science Foundation Office of Polar Programs award OPP-1841228 to CBG and WBL. Support for acquisition of laboratory instrumentation used for geochemical analyses came from the National Science Foundation Grant NSF EAR-1707989.</t>
  </si>
  <si>
    <t>10.1080/15230430.2022.2102510</t>
  </si>
  <si>
    <t>3Q6NV</t>
  </si>
  <si>
    <t>WOS:000838346400001</t>
  </si>
  <si>
    <t>Nedzarek, A; Stepanowska, K</t>
  </si>
  <si>
    <t>Nedzarek, A.; Stepanowska, K.</t>
  </si>
  <si>
    <t>The excretion of nitrogen and phosphorus and changes in nitrogen content in the Antarctic amphipod Waldeckia obesa and isopod Glyptonotus antarcticus during long-term starvation</t>
  </si>
  <si>
    <t>EUROPEAN ZOOLOGICAL JOURNAL</t>
  </si>
  <si>
    <t>Southern Ocean; invertebrates; protein; primary production; nutrient regeneration</t>
  </si>
  <si>
    <t>KING-GEORGE-ISLAND; ADMIRALTY BAY; BIOCHEMICAL-COMPOSITION; METABOLIC-RATE; MARINE; WATER; PHYSIOLOGY; ECOLOGY; REGION</t>
  </si>
  <si>
    <t>Seasonal food availability for benthic feeders in Antarctica can influence the level of excreted metabolites, which may then be a source of N and P for autotrophs. In this study, we examined the effects of starvation of Waldeckia obesa and Glyptonotus antarcticus on the excretion of both N and P, and the chemical composition of their bodies. N-NH4 (+) dominated in the pool of excreted nitrogen (93% and 77% of inorganic nitrogen, and 76% and 67% of total nitrogen, for W. obesa and G. antarcticus, respectively). Reactive phosphorus dominated in the pool of excreted phosphorus (72% and 65% of total phosphorus for G. antarcticus and W. obesa, respectively). The excretion of N-NH4 (+) (in mu mol N h(-1) 100 g(-1)) dropped from 3,687 (W. obesa) and 1,336 (G. antarcticus) in the first day to about 0.6 after 10 days of starvation (for both species). Phosphorus excretion was generally lower than that of nitrogen (on average 0.046 and 0.017 mu mol P h(-1) 100 g(-1) for G. antarcticus and W. obesa, respectively), but no clear trend appeared with N as a result of starvation. The greatest decrease in nitrogen and protein content in W. obesa was recorded on the 3rd day of starvation (nitrogen: from 1.30% to 0.93%; protein: 8.15% to 5.80%) and in G. antarcticus on the 5th day of starvation (nitrogen: from 2.22% to 1.43%; protein: from 13.86% to 8.94%). Conclusions: (i) nitrogen and phosphorus compounds released by crustaceans may be a supplementary source of biogenic salts for autotrophs, (ii) nitrates constituting approx. 20% nitrogen may be used by phytoplankton in the period of new production, (iii) starvation reduces the excretion of N and P and the content of nitrogen and protein in crustaceans.</t>
  </si>
  <si>
    <t>[Nedzarek, A.; Stepanowska, K.] West Pomeranian Univ Technol Szczecin, Dept Aquat Bioengn &amp; Aquaculture, Fac Food Sci &amp; Fisheries, Szczecin, Poland</t>
  </si>
  <si>
    <t>West Pomeranian University of Technology</t>
  </si>
  <si>
    <t>Nedzarek, A (corresponding author), West Pomeranian Univ Technol Szczecin, Dept Aquat Bioengn &amp; Aquaculture, Fac Food Sci &amp; Fisheries, Szczecin, Poland.</t>
  </si>
  <si>
    <t>anedzarek@zut.edu.pl</t>
  </si>
  <si>
    <t>Stepanowska, Katarzyna Ewa/AAI-4470-2021; Nędzarek, Arkadiusz/F-3959-2016</t>
  </si>
  <si>
    <t>Stepanowska, Katarzyna Ewa/0000-0003-2359-4844; Nędzarek, Arkadiusz/0000-0002-6094-3647</t>
  </si>
  <si>
    <t>Polish government; Polish Ministry of Science in Poland</t>
  </si>
  <si>
    <t>The research was financed by a Polish government through subsidy for the Department of Antarctic Biology of the Polish Academy of Sciences and by the Polish Ministry of Science in Poland through subsidy for West Pomeranian University of Technology Szczecin, Faculty of Food Sciences and Fisheries.</t>
  </si>
  <si>
    <t>2475-0263</t>
  </si>
  <si>
    <t>EUR ZOOL J</t>
  </si>
  <si>
    <t>Eur. Zool. J.</t>
  </si>
  <si>
    <t>10.1080/24750263.2022.2107721</t>
  </si>
  <si>
    <t>3P9UE</t>
  </si>
  <si>
    <t>WOS:000837878600001</t>
  </si>
  <si>
    <t>Larsen, NK; Sondergaard, AS; Levy, LB; Strunk, A; Skov, DS; Bjork, A; Khan, SA; Olsen, J</t>
  </si>
  <si>
    <t>Larsen, Nicolaj K.; Sondergaard, Anne Sofie; Levy, Laura B.; Strunk, Astrid; Skov, Daniel S.; Bjork, Anders; Khan, Shfaqat A.; Olsen, Jesper</t>
  </si>
  <si>
    <t>Late glacial and Holocene glaciation history of North and Northeast Greenland</t>
  </si>
  <si>
    <t>Greenland Ice Sheet; cosmogenic exposure dating; deglaciation</t>
  </si>
  <si>
    <t>LATE QUATERNARY HISTORY; CENTRAL EAST GREENLAND; RELATIVE SEA-LEVEL; ICE-SHEET; STORE-KOLDEWEY; SCORESBY SUND; JAMESON LAND; ENVIRONMENTAL HISTORY; BE-10 CHRONOLOGY; LATE PLEISTOCENE</t>
  </si>
  <si>
    <t>Northeast Greenland is the place where the Greenland Ice Sheet (GrIS) experienced the largest areal changes since the Last Glacial Maximum. However, the age constraints of the last deglaciation are in some areas sparse. In this study, we use forty-seven new Be-10 cosmogenic exposure ages to constrain the deglaciation of the present-day ice-free areas in Northeast Greenland. Our results show that the outer coast region was deglaciated between 12.8 +/- 0.6 and 11.5 +/- 0.2 ka and the region close to the present ice margin was deglaciated 2 to 4 ka later between 9.2 +/- 0.3 to 8.6 +/- 0.3 ka. By combining our new results with previously published data from North and Northeast Greenland, we find that the ice sheet advanced to the shelf edge between 26 and 20 cal. ka BP. The outer coast was deglaciated between 12.8 and 9.7 ka and the present ice extent was reached between 10.8 to 5.8 ka. The ice margin continued to retreat farther inland during the Middle Holocene before it readvanced toward its Little Ice Age position. The deglaciation was probably forced by a combination of increased atmospheric and ocean temperatures, but local topography also played an important role. These results add to the growing knowledge about the glaciation history of the GrIS and add useful constraints for future ice sheet models.</t>
  </si>
  <si>
    <t>[Larsen, Nicolaj K.] Univ Copenhagen, Globe Inst, Copenhagen K, Denmark; [Sondergaard, Anne Sofie; Skov, Daniel S.] Aarhus Univ, Dept Geosci, Aarhus C, Denmark; [Levy, Laura B.] Cal Poly Humboldt, Dept Geol, Arcata, CA USA; [Strunk, Astrid] Natl Museum Denmark, Environm Archaeol &amp; Mat Sci, Lyngby, Denmark; [Bjork, Anders] Univ Copenhagen, Dept Geosci &amp; Nat Resource Management, Copenhagen K, Denmark; [Khan, Shfaqat A.] Tech Univ Denmark, DTU Space, Lyngby, Denmark; [Olsen, Jesper] Aarhus Univ, Dept Phys &amp; Astron, Aarhus C, Denmark</t>
  </si>
  <si>
    <t>University of Copenhagen; Aarhus University; University of Copenhagen; Technical University of Denmark; Aarhus University</t>
  </si>
  <si>
    <t>Larsen, NK (corresponding author), Univ Copenhagen, GLOBE Inst, Ctr GeoGenet, Oster Voldgade 5-7, DK-1350 Copenhagen K, Denmark.</t>
  </si>
  <si>
    <t>nicl@sund.ku.dk</t>
  </si>
  <si>
    <t>Larsen, Nicolaj Krog/ABE-4327-2021; Olsen, Jesper/F-1656-2013; Khan, Shfaqat Abbas/B-2664-2012</t>
  </si>
  <si>
    <t>Larsen, Nicolaj Krog/0000-0002-0117-1106; Olsen, Jesper/0000-0002-4445-5520; Khan, Shfaqat Abbas/0000-0002-2689-8563; Sondergaard, Anne Sofie/0000-0002-3846-0374; Strunk, Astrid/0000-0002-3785-2405</t>
  </si>
  <si>
    <t>Arctic Research Centre (ARC), Aarhus University; Villum Young Investigator Programme</t>
  </si>
  <si>
    <t>This study was supported by Arctic Research Centre (ARC), Aarhus University. NKL was supported by a Villum Young Investigator Programme.</t>
  </si>
  <si>
    <t>10.1080/15230430.2022.2094607</t>
  </si>
  <si>
    <t>3P4FV</t>
  </si>
  <si>
    <t>WOS:000837495800001</t>
  </si>
  <si>
    <t>Román, A; Navarro, G; Caballero, I; Tovar-Sánchez, A</t>
  </si>
  <si>
    <t>Roman, Alejandro; Navarro, Gabriel; Caballero, Isabel; Tovar-Sanchez, Antonio</t>
  </si>
  <si>
    <t>High-spatial resolution UAV multispectral data complementing satellite imagery to characterize a chinstrap penguin colony ecosystem on deception island (Antarctica)</t>
  </si>
  <si>
    <t>GISCIENCE &amp; REMOTE SENSING</t>
  </si>
  <si>
    <t>Micasense; UAV; Sentinel-2; Landsat 8; penguin colony; remote sensing</t>
  </si>
  <si>
    <t>SOUTH-SHETLAND ISLANDS; AERIAL VEHICLE UAV; PYGOSCELIS-ANTARCTICA; IMAGING SPECTROSCOPY; RANDOM FOREST; SENTINEL-2; HEALTH; GUANO; SIZE; AREA</t>
  </si>
  <si>
    <t>Remote sensing has evolved as an alternative to traditional techniques in the spatio-temporal monitoring of the Antarctic ecosystem, especially with the rapid expansion of the use of Unmanned Aerial Vehicles (UAVs), providing a centimeter-scale spatial resolution. In this study, the potential of a high-spatial resolution multispectral sensor embedded in a UAV is compared to medium resolution satellite remote sensing (Sentinel-2 and Landsat 8) to monitor the characteristics of the Vapor Col Chinstrap penguin (Pygoscelis antarcticus) colony ecosystem (Deception Island, South Shetlands Islands, Antarctica). Our main objective is to generate precise thematic maps of the typical ecosystem of penguin colonies derived from the supervised analysis of the spectral information obtained with these remote sensors. For this, two parametric classification algorithms (Maximum Likelihood, MLC, and Spectral Angle, SAC) and two non-parametric machine learning classifiers (Support Vector Machine, SVM, and Random Forest, RFC) are tested with UAV imagery, obtaining the best results with the SVM classifier (93.19% OA). Our study shows that the use of UAV outperforms satellite imagery (87.26% OA with Sentinel-2 Level 2 (S2L2) and 70.77% OA with Landsat 8 Level 2 (L8L2) in SVM classification) in the characterization of the substrate due to a higher spatial resolution, although differences between UAV and S2L2 are minimal. Thus, both sensors used in tandem could provide a broader and more precise view of how the area covered by the different elements of these ecosystems can change over time in a global climate change scenario. In addition, this study represents a precise UAV monitoring that takes place in this Chinstrap penguin colony, estimating a total coverage of approximately 20,000 m(2) of guano areas in the study period.</t>
  </si>
  <si>
    <t>[Roman, Alejandro; Navarro, Gabriel; Caballero, Isabel; Tovar-Sanchez, Antonio] CSIC, Inst Marine Sci Andalusia ICMAN, Dept Ecol &amp; Coastal Management, Puerto Real, Spain</t>
  </si>
  <si>
    <t>Consejo Superior de Investigaciones Cientificas (CSIC); CSIC - Instituto de Ciencias Marinas de Andalucia (ICMAN)</t>
  </si>
  <si>
    <t>Román, A (corresponding author), CSIC, Inst Marine Sci Andalusia ICMAN, Dept Ecol &amp; Coastal Management, Puerto Real, Spain.</t>
  </si>
  <si>
    <t>a.roman@csic.es</t>
  </si>
  <si>
    <t>Navarro, Gabriel/AAA-9528-2020; Tovar-Sánchez, Antonio/B-8003-2010; Caballero, Isabel/AFK-8726-2022; Román, Alejandro/IQX-1825-2023</t>
  </si>
  <si>
    <t>Navarro, Gabriel/0000-0002-8919-0060; Caballero, Isabel/0000-0001-7485-0989; Tovar-Sanchez, Antonio/0000-0003-4375-1982; Roman, Alejandro/0000-0002-8868-9302</t>
  </si>
  <si>
    <t>MCIN/AEI [RTI2018-098048B-100, EQC2018-004275-P, EQC2019-005721, RTI2018-098784-J-I00, IJC2019-039382-I]; ERDF A way of making Europe; Ministry of Universities of the Spanish Government [FPU19/04557]</t>
  </si>
  <si>
    <t>MCIN/AEI; ERDF A way of making Europe; Ministry of Universities of the Spanish Government</t>
  </si>
  <si>
    <t>This research was funded by grants/projects RTI2018-098048B-100 (PiMetAn), EQC2018-004275-P, EQC2019-005721, RTI2018-098784-J-I00 and IJC2019-039382-I funded by MCIN/AEI/10.13039/501100011033 and by ERDF A way of making Europe. A. Roman is supported by grant FPU19/04557 funded by Ministry of Universities of the Spanish Government. This work represents a contribution to CSIC Thematic Interdisciplinary Platforms POLARCSIC and PTI TELEDETECT.</t>
  </si>
  <si>
    <t>1548-1603</t>
  </si>
  <si>
    <t>1943-7226</t>
  </si>
  <si>
    <t>GISCI REMOTE SENS</t>
  </si>
  <si>
    <t>GISci. Remote Sens.</t>
  </si>
  <si>
    <t>10.1080/15481603.2022.2101702</t>
  </si>
  <si>
    <t>3N9JB</t>
  </si>
  <si>
    <t>WOS:000836459700001</t>
  </si>
  <si>
    <t>Zhu, JH; Zou, H; Kong, LL; Zhou, LB; Li, P; Cheng, W; Bian, SS</t>
  </si>
  <si>
    <t>Zhu, Jinhuan; Zou, Han; Kong, Linlin; Zhou, Libo; Li, Peng; Cheng, Wei; Bian, Shuangshuang</t>
  </si>
  <si>
    <t>Surface atmospheric duct over Svalbard, Arctic, related to atmospheric and ocean conditions in winter</t>
  </si>
  <si>
    <t>Atmospheric duct; arctic; Svalbard; atmospheric condition; atmospheric structure</t>
  </si>
  <si>
    <t>ANOMALOUS PROPAGATION RADAR; SEA-ICE; LONGWAVE RADIATION; CLIMATOLOGY; TEMPERATURE; AMPLIFICATION; NAVIGABILITY</t>
  </si>
  <si>
    <t>Atmospheric ducts could disturb radar detection and radio communication in the Arctic and risk increasing human activities under Arctic warming. It is an urgent need to understand atmospheric ducts in the Arctic, with distinct atmospheric systems and environment. This study attempts to analyze the surface atmospheric ducts over Svalbard, as a critical region in the Arctic Ocean, and discuss the relation to atmospheric and oceanic conditions, based on observation and reanalysis data. The results show an occurrence of 12.6 percent, mean strength of 1.30 MU, and mean depth of 13 m for the surface duct in Svalbard winter from December 2018 to February 2020. The surface duct is characterized as two types: T-type ducts mainly constructed by temperature inversion and H-type ducts constructed by a humidity gradient. The T-type duct dominates the surface duct in Svalbard winter, with an appearance percentage of 80 percent, indicating an importance of temperature inversion in surface duct construction. The surface duct is closely related to atmospheric and oceanic conditions in Svalbard winter, because the T-type duct occurs in colder, drier, and northeasterly weather and the H-type duct occurs in warmer, wetter, and southeasterly weather with higher sea surface temperature.</t>
  </si>
  <si>
    <t>[Zhu, Jinhuan; Zou, Han; Kong, Linlin; Zhou, Libo; Li, Peng] Chinese Acad Sci, Inst Atmospher Phys, LAOR, 40 Huayanli,Beichen West Rd, Beijing 100029, Peoples R China; [Zhu, Jinhuan; Zou, Han; Kong, Linlin; Zhou, Libo; Li, Peng] Chinese Acad Sci, Inst Atmospher Phys, LAPC, 40 Huayanli,Beichen West Rd, Beijing 100029, Peoples R China; [Zou, Han; Kong, Linlin] Univ Chinese Acad Sci, CEPS, Beijing, Peoples R China; [Cheng, Wei; Bian, Shuangshuang] Beijing Inst Appl Meteorol, DAM, Beijing, Peoples R China</t>
  </si>
  <si>
    <t>Chinese Academy of Sciences; Institute of Atmospheric Physics, CAS; Chinese Academy of Sciences; Institute of Atmospheric Physics, CAS; Chinese Academy of Sciences; University of Chinese Academy of Sciences, CAS</t>
  </si>
  <si>
    <t>Zou, H (corresponding author), Chinese Acad Sci, Inst Atmospher Phys, LAOR, 40 Huayanli,Beichen West Rd, Beijing 100029, Peoples R China.;Zou, H (corresponding author), Chinese Acad Sci, Inst Atmospher Phys, LAPC, 40 Huayanli,Beichen West Rd, Beijing 100029, Peoples R China.</t>
  </si>
  <si>
    <t>zouhan@mail.iap.ac.cn</t>
  </si>
  <si>
    <t>Zhou, Libo/AAP-5373-2021</t>
  </si>
  <si>
    <t>Kong, Linlin/0000-0002-1349-9686</t>
  </si>
  <si>
    <t>Chinese Academy of Sciences [XDA19070401]; Institute of Atmospheric Physics, CAS [E268091801]</t>
  </si>
  <si>
    <t>Chinese Academy of Sciences(Chinese Academy of Sciences); Institute of Atmospheric Physics, CAS(Chinese Academy of Sciences)</t>
  </si>
  <si>
    <t>This reasearch work was financed by the Chinese Academy of Sciences (XDA19070401), and the Institute of Atmospheric Physics, CAS (E268091801).</t>
  </si>
  <si>
    <t>10.1080/15230430.2022.2072052</t>
  </si>
  <si>
    <t>3L4QB</t>
  </si>
  <si>
    <t>WOS:000834745900001</t>
  </si>
  <si>
    <t>Garibaldi, MC; Bonnaventure, PP; Smith, SL; Duchesne, C</t>
  </si>
  <si>
    <t>Garibaldi, Madeleine C.; Bonnaventure, Philip P.; Smith, Sharon L.; Duchesne, Caroline</t>
  </si>
  <si>
    <t>Active layer variability and change in the Mackenzie Valley, Northwest Territories between 1991-2014: An ecoregional assessment</t>
  </si>
  <si>
    <t>permafrost; active layer; ecoregion; Mackenzie Valley</t>
  </si>
  <si>
    <t>TEMPORAL VARIABILITY; GROUND TEMPERATURES; THERMAL REGIMES; SNOW COVER; PERMAFROST; CLIMATE; VEGETATION; PATTERNS; ENVIRONMENTS; THICKNESS</t>
  </si>
  <si>
    <t>Active layer thicknesses (ALTs) from sites along a transect through the Mackenzie Valley, Northwest Territories, Canada, were analyzed to explore variation in thickness within and between ecoregions. At an ecoregional scale the relation between ALT, latitude, freezing and thawing degree-days, and snowfall were examined to determine the presence of trends. Site-specific variables including dominant vegetation and substrate were explored to explain spatial variability in ALT within ecoregions. Generally, average ALT increases moving southward through the comprising ecoregions (68 cm to 126 cm), following the increase in air temperature. Spatial variability in ALT within ecoregions was greater than that between ecoregions (up to 145 cm), which may be attributed to site-specific conditions (vegetation and snow cover). Most notable, sites with shrubs had thicker than average active layers likely because of increased snow retention leading to warmer overall ground conditions. Despite a warming trend in air temperatures, only one northern ecoregion showed a corresponding thickening trend in ALT. Sites located in southern ecoregions with mature forests showed limited response to changes in air temperature. For these locations, disturbance, specifically changes in thermally protective vegetation cover, rather than changing air temperature could potentially have a larger impact on ALT into the future.</t>
  </si>
  <si>
    <t>[Garibaldi, Madeleine C.; Bonnaventure, Philip P.] Univ Lethbridge, Dept Geog &amp; Environm, Bonnaventure Lab Permafrost Sci, 4401 Univ Dr W, Lethbridge, AB T1K 3M4, Canada; [Smith, Sharon L.; Duchesne, Caroline] Geol Survey Canada, Nat Resources Canada, Ottawa, ON, Canada</t>
  </si>
  <si>
    <t>University of Lethbridge; Natural Resources Canada; Lands &amp; Minerals Sector - Natural Resources Canada; Geological Survey of Canada</t>
  </si>
  <si>
    <t>Garibaldi, MC (corresponding author), Univ Lethbridge, Dept Geog &amp; Environm, Bonnaventure Lab Permafrost Sci, 4401 Univ Dr W, Lethbridge, AB T1K 3M4, Canada.</t>
  </si>
  <si>
    <t>madeleine.garibaldi@uleth.ca</t>
  </si>
  <si>
    <t>Garibaldi, Madeleine/0000-0001-6801-2743</t>
  </si>
  <si>
    <t>Government of Canada; Natural Sciences and Engineering Research Council of Canada</t>
  </si>
  <si>
    <t>Government of Canada(CGIAR); Natural Sciences and Engineering Research Council of Canada(Natural Sciences and Engineering Research Council of Canada (NSERC)CGIAR)</t>
  </si>
  <si>
    <t>This work was supported by the Government of Canada, Natural Sciences and Engineering Research Council of Canada.</t>
  </si>
  <si>
    <t>10.1080/15230430.2022.2097156</t>
  </si>
  <si>
    <t>3L9ZV</t>
  </si>
  <si>
    <t>WOS:000835119100001</t>
  </si>
  <si>
    <t>Ogilvie, AEJ</t>
  </si>
  <si>
    <t>Ogilvie, Astrid E. J.</t>
  </si>
  <si>
    <t>Threats to the Arctic</t>
  </si>
  <si>
    <t>[Ogilvie, Astrid E. J.] Univ Colorado, Inst Arct &amp; Alpine Res INSTAAR, Boulder, CO 80309 USA</t>
  </si>
  <si>
    <t>University of Colorado System; University of Colorado Boulder</t>
  </si>
  <si>
    <t>Ogilvie, AEJ (corresponding author), Univ Colorado, Inst Arct &amp; Alpine Res INSTAAR, Boulder, CO 80309 USA.</t>
  </si>
  <si>
    <t>Astrid.Ogilvie@Colorado.edu</t>
  </si>
  <si>
    <t>10.1080/15230430.2022.2097437</t>
  </si>
  <si>
    <t>3E1UF</t>
  </si>
  <si>
    <t>WOS:000829774400001</t>
  </si>
  <si>
    <t>Alexanderson, H; Hättestrand, M; Lindqvist, MA; Sigfúsdóttir, T</t>
  </si>
  <si>
    <t>Alexanderson, Helena; Hattestrand, Martina; Lindqvist, Mimmi A.; Sigfusdottir, Thorbjorg</t>
  </si>
  <si>
    <t>MIS 3 age of the Veiki moraine in N Sweden - Dating the landform record of an intermediate-sized ice sheet in Scandinavia</t>
  </si>
  <si>
    <t>Ice-walled lake plain; OSL; luminescence dating; Middle Weichselian; Fennoscandian ice sheet</t>
  </si>
  <si>
    <t>NORTHERN SWEDEN; SINGLE-ALIQUOT; SEDIMENTS; QUARTZ; OSL; FENNOSCANDIA; RADIOCARBON; GLACIATION; FRAMEWORK; FELDSPAR</t>
  </si>
  <si>
    <t>The Veiki moraine in northern Sweden, a geomorphologically distinct landscape of ice-walled lake plains, has been interpreted to represent the former margin of an intermediate-sized pre-Last Glacial Maximum (LGM) Fennoscandian ice sheet, but its age is debated as either marine isotope stage (MIS) 5c or MIS 3. We have applied optically stimulated luminescence (OSL) and radiocarbon dating to four sites within the northern part of the Veiki moraine to establish its chronology. The radiocarbon ages provide only minimum ages and most OSL ages have low precision due to poor luminescence characteristics and problems with incomplete bleaching, leading to two alternative ages. In either case, the OSL dating places the Veiki moraine formation in MIS 3 (best estimate 56-39 ka). Sedimentation continued in the low-lying centers of some plateaus (ice-walled lake plains) during MIS 3 and during the Holocene, with a break during the Last Glacial Maximum when the area was ice covered. We speculatively constrain the broad timing further by relating the sequence of events to other climate records. We suggest that ice margin retreat to the west of the Veiki area took place during Greenland Interstadial (GI) 16.1 (58.0-56.5 ka) and that limited ice advances, which led to debris-covered ice margins in the Veiki zone, occurred during the following stadials GS-16.1 to 15.1 (56.5-54.2 ka). The GI-14 interstadial, which began 54.2 ka and lasted similar to 5.9 ka, could then be the period when the ice within the dead-ice landscape melted, first leading to ice-walled lakes and later to the inversed topography characteristic of the Veiki landscape.</t>
  </si>
  <si>
    <t>[Alexanderson, Helena; Sigfusdottir, Thorbjorg] Lund Univ, Dept Geol, Solvegatan 12, SE-22362 Lund, Sweden; [Alexanderson, Helena; Lindqvist, Mimmi A.] Arctic Univ Norway, Dept Geosci, Tromso, Norway; [Hattestrand, Martina] Stockholm Univ, Dept Phys Geog, Stockholm, Sweden; [Sigfusdottir, Thorbjorg] Iceland Meteorol Off, Reykjavik, Iceland</t>
  </si>
  <si>
    <t>Lund University; UiT The Arctic University of Tromso; Stockholm University</t>
  </si>
  <si>
    <t>Alexanderson, H (corresponding author), Lund Univ, Dept Geol, Solvegatan 12, SE-22362 Lund, Sweden.</t>
  </si>
  <si>
    <t>helena.alexanderson@geol.lu.se</t>
  </si>
  <si>
    <t>Lindqvist, Mimmi Adina/0000-0003-1680-8701; Sigfusdottir, Thorbjorg/0000-0001-7844-7951</t>
  </si>
  <si>
    <t>Geological Survey of Sweden [36-2021/2016]; Royal Physiographic Society in Lund</t>
  </si>
  <si>
    <t>Geological Survey of Sweden; Royal Physiographic Society in Lund</t>
  </si>
  <si>
    <t>This work was supported by the Geological Survey of Sweden under Grant 36-2021/2016 and by the Royal Physiographic Society in Lund.</t>
  </si>
  <si>
    <t>10.1080/15230430.2022.2091308</t>
  </si>
  <si>
    <t>2X4AC</t>
  </si>
  <si>
    <t>WOS:000825147400001</t>
  </si>
  <si>
    <t>Errington, RC; Macdonald, SE; Melnycky, NA; Bhatti, JS</t>
  </si>
  <si>
    <t>Errington, Ruth Catherine; Macdonald, S. Ellen; Melnycky, Natalka A.; Bhatti, Jagtar S.</t>
  </si>
  <si>
    <t>Estimating lichen biomass in forests and peatlands of northwestern Canada in a changing climate</t>
  </si>
  <si>
    <t>Lichen cover; lichen height; model; boreal; subarctic</t>
  </si>
  <si>
    <t>WOODLAND CARIBOU; BOREAL PEATLANDS; DOMINATED SYSTEMS; HABITAT SELECTION; PERMAFROST; ABUNDANCE; FIRE; LANDSCAPE; REINDEER; COMMUNITIES</t>
  </si>
  <si>
    <t>Climate warming in the North could lead to lichen decline within critical woodland caribou habitat. We used repeat measurements of sixty-nine plots over ten years (2007-2008 and 2017-2018) to assess lichen biomass changes under a warming climate along a latitudinal/climatic gradient in northwestern Canada. We compared lichen biomass on sensitive landscape features, including peat plateaux (permafrost-containing bogs), areas of permafrost thaw within the peat plateaux (collapse scars), and low-productivity upland forests occurring on mineral soils. Field-based measures of lichen cover and height were coupled with samples of lichen biomass to develop biomass prediction equations. The optimal model incorporated both cover and height, with landscape feature as a covariate. Although height significantly improved the equation fit, models were successfully developed with cover alone. Modeled lichen biomass differed significantly between landscape features, declining from peat plateau (502 g m(-2)) to upland forest (54.0 g m(-2)) and collapse scar (0.690 g m(-2)) environments. In the absence of permafrost collapse at any monitoring location, lichen biomass declined significantly over the ten years for peat plateaux (-75.6 g m(-2)) and upland forests (-17.5 g m(-2)). These results will be important for quantifying landscape-level lichen biomass changes under climate warming in boreal and subarctic environments.</t>
  </si>
  <si>
    <t>[Errington, Ruth Catherine; Melnycky, Natalka A.; Bhatti, Jagtar S.] Nat Resources Canada, Northern Forestry Ctr, Canadian Forest Serv, Edmonton, AB, Canada; [Errington, Ruth Catherine; Macdonald, S. Ellen] Univ Alberta, Dept Renewable Resources, Edmonton, AB, Canada; [Melnycky, Natalka A.] Govt Alberta, Environm &amp; Pk, Peace River, AB, Canada</t>
  </si>
  <si>
    <t>Natural Resources Canada; Canadian Forest Service; University of Alberta</t>
  </si>
  <si>
    <t>Errington, RC (corresponding author), Canadian Forest Serv, Northern Forestry Ctr, 5320 122 St, Edmonton, AB T6H 3S5, Canada.</t>
  </si>
  <si>
    <t>ruthe@ualberta.ca</t>
  </si>
  <si>
    <t>Macdonald, Ellen/0000-0003-1750-1779</t>
  </si>
  <si>
    <t>Government of Canada Program for International Polar Year; Canadian Forest Service; Government of the Northwest Territories, Forest Management Division; Alberta Graduate Excellence Scholarship; University of Alberta Doctoral Recruitment Scholarship</t>
  </si>
  <si>
    <t>Government of Canada Program for International Polar Year; Canadian Forest Service(Natural Resources CanadaCanadian Forest Service); Government of the Northwest Territories, Forest Management Division; Alberta Graduate Excellence Scholarship; University of Alberta Doctoral Recruitment Scholarship</t>
  </si>
  <si>
    <t>This project was made possible with the generous support of the Government of Canada Program for International Polar Year, the Canadian Forest Service, and the Government of the Northwest Territories, Forest Management Division. An Alberta Graduate Excellence Scholarship, a University of Alberta Doctoral Recruitment Scholarship, and a Government of Canada stipend were also instrumental in supporting Ruth Errington to complete this work.</t>
  </si>
  <si>
    <t>10.1080/15230430.2022.2082263</t>
  </si>
  <si>
    <t>2R8HM</t>
  </si>
  <si>
    <t>WOS:000821346800001</t>
  </si>
  <si>
    <t>Scambos, T; Moon, T</t>
  </si>
  <si>
    <t>Scambos, Ted; Moon, Twila</t>
  </si>
  <si>
    <t>How is land ice changing in the Arctic, and what is the influence on sea level?</t>
  </si>
  <si>
    <t>RISE</t>
  </si>
  <si>
    <t>[Scambos, Ted] Univ Colorado, CIRES, Boulder, CO 80309 USA; [Moon, Twila] Univ Colorado, NSIDC, Boulder, CO 80309 USA</t>
  </si>
  <si>
    <t>University of Colorado System; University of Colorado Boulder; University of Colorado System; University of Colorado Boulder</t>
  </si>
  <si>
    <t>Scambos, T (corresponding author), Univ Colorado, CIRES, Boulder, CO 80309 USA.</t>
  </si>
  <si>
    <t>tascambos@colorado.edu; twila.moon@colorado.edu</t>
  </si>
  <si>
    <t>Office of Polar Programs, National Science Foundation [PLR-1331100]</t>
  </si>
  <si>
    <t>Office of Polar Programs, National Science Foundation(National Science Foundation (NSF))</t>
  </si>
  <si>
    <t>This work was supported by the Office of Polar Programs, National Science Foundation under award PLR-1331100.</t>
  </si>
  <si>
    <t>10.1080/15230430.2022.2069204</t>
  </si>
  <si>
    <t>2O8UZ</t>
  </si>
  <si>
    <t>WOS:000819328800001</t>
  </si>
  <si>
    <t>Gurdiel, I; Rada, C; Malz, P; Braun, M; Casassa, G</t>
  </si>
  <si>
    <t>Gurdiel, Isaac; Rada, Camilo; Malz, Philipp; Braun, Matthias; Casassa, Gino</t>
  </si>
  <si>
    <t>Glacier inventory and recent variations of Santa Ines Icefield, Southern Patagonia</t>
  </si>
  <si>
    <t>Glacier inventory; recent variations; Patagonia</t>
  </si>
  <si>
    <t>MASS-BALANCE; ELEVATION; CLIMATE; CHILE</t>
  </si>
  <si>
    <t>The study of glaciers in remote regions improves our understanding of global glacier change. With an area of 149.31 +/- 1.84 km(2), the Santa Ines Icefield constitutes one of the largest and least studied and explored glaciated areas of Southern Patagonia. We study the extent and glacier variations of the Santa Ines Icefield over the last 75 years, and we generate the most detailed glacier inventory to date of its 24 constituting glaciers. We estimate surface elevation changes between 2000 and 2014 using Shuttle Radar Topography Mission (SRTM) and TanDEM-X digital elevation models. Our results show a generalized trend of retreat, with a glacier area loss of -9.78 +/- 1.52 km(2) between 1998 and 2020, with annual rate increase from -0.15 +/- 0.01 km(2) a(-1) (1998-2005) to -0.58 +/- 0.10 km(2) a(-1) (2005-2020), and an average thinning of 0.60 +/- 0.26 m a(-1) (2 sigma) between 2000 and 2014. No clear correlation was found between retreat or thinning rates and Accumulation Area Ratio (AAR), terminus slope, aspect, or glacier type. While ERA5 reanalysis data shows no significant climatic trends in temperature or precipitation, a small warming trend below our detection record is the most likely cause of the observed retreat and thinning of the Santa Ines Icefield.</t>
  </si>
  <si>
    <t>[Gurdiel, Isaac; Rada, Camilo; Casassa, Gino] Univ Magallanes, Ctr Invest Gaia Antartica, Punta Arenas, Chile; [Rada, Camilo] Univ British Columbia, Dept Earth &amp; Ocean Sci, Vancouver, BC, Canada; [Malz, Philipp; Braun, Matthias] Friedrich Alexander Univ Erlangen Nurnberg, Inst Geog, Erlangen, Germany; [Casassa, Gino] Ministerio Obras Publ, Unidad Glaciol &amp; Nieves, Direcc Gen Aguas, Santiago, Chile</t>
  </si>
  <si>
    <t>Universidad de Magallanes; University of British Columbia; University of Erlangen Nuremberg</t>
  </si>
  <si>
    <t>Gurdiel, I (corresponding author), Univ Magallanes, Ctr Invest Gaia Antartica, Punta Arenas, Chile.</t>
  </si>
  <si>
    <t>igurdielperez@gmail.com</t>
  </si>
  <si>
    <t>Gurdiel, Isaac/0009-0009-7990-8890</t>
  </si>
  <si>
    <t>CONICYT-BMBF [20140052]; Chilean Antarctic Institute (INACH); Humboldt and Erlangen-Nurnberg Universities (Germany); University of Magallanes</t>
  </si>
  <si>
    <t>CONICYT-BMBF(Federal Ministry of Education &amp; Research (BMBF)); Chilean Antarctic Institute (INACH); Humboldt and Erlangen-Nurnberg Universities (Germany); University of Magallanes</t>
  </si>
  <si>
    <t>This study was funded by the CONICYT-BMBF 20140052 research project GABY-VASA: Response of Glaciers, Biosphere and Hydrology to Climate Variability Across the Southern Andes, performed by University of Magallanes (Chile), the Chilean Antarctic Institute (INACH), and the Humboldt and Erlangen-Nurnberg Universities (Germany). Field work funding was partially provided by the University of Magallanes.</t>
  </si>
  <si>
    <t>10.1080/15230430.2022.2071793</t>
  </si>
  <si>
    <t>2R5TU</t>
  </si>
  <si>
    <t>WOS:000821175300001</t>
  </si>
  <si>
    <t>Fröjd, C; Liaudat, DT; Scheer, C; Marcosig, IP; Kuhry, P</t>
  </si>
  <si>
    <t>Frojd, Christina; Trombotto Liaudat, Dario; Scheer, Christopher; Pecker Marcosig, Ivanna; Kuhry, Peter</t>
  </si>
  <si>
    <t>Soil organic carbon stocks in mountain periglacial areas of northern Patagonia (Argentina)</t>
  </si>
  <si>
    <t>Soil organic carbon; land cover upscaling; solifluction; patterned ground; Patagonia mountains</t>
  </si>
  <si>
    <t>PERMAFROST CARBON; CHRONOLOGY; SEDIMENTS; IGNITION</t>
  </si>
  <si>
    <t>This study presents a detailed soil organic carbon (SOC) inventory for two areas in the mountain periglacial zone of northern Patagonia (altitude range c. 1,400-2,100 m). We describe plant cover and soil profiles at twenty-seven sites representing the main land cover classes and landform types at and above the treeline. The mean SOC 0-100 cm storage is 2.31 kg C m(-2) for the combined study areas, which includes 69 percent of bare ground surfaces with negligible SOC stocks. If we consider the vegetated alpine belt only, mean SOC 0-100 cm storage increases to 6.96 kg C m(-2). Solifluction has resulted in areas with dense plant cover and deep soil profiles with mean SOC 0-100 cm of 17.1 to 18.3 kg C m(-2) and a maximum total stock of 51.5 kg C m(-2). Lowest SOC storages of 0.13 to 0.63 kg C m(-2) are found in bare and sparsely vegetated high-elevation areas with shallow and stony soils developed in patterned ground (stripes and sorted circles). Projected future increases in ambient temperature will likely result in an upward shift of the alpine vegetation belt with soil development, creating new areas of ecosystem carbon storage.</t>
  </si>
  <si>
    <t>[Frojd, Christina; Kuhry, Peter] Stockholm Univ, Dept Phys Geog, S-10691 Stockholm, Sweden; [Frojd, Christina; Kuhry, Peter] Stockholm Univ, Bolin Ctr Climate Res, Stockholm, Sweden; [Trombotto Liaudat, Dario; Pecker Marcosig, Ivanna] Consejo Nacl Invest Cient &amp; Tecn, CCT, Inst Argentino Nivol Glaciol &amp; Ciencias Ambiental, Mendoza, Argentina; [Scheer, Christopher] Stockholm Univ, Dept Phys Geog, Stockholm, Sweden</t>
  </si>
  <si>
    <t>Stockholm University; Consejo Nacional de Investigaciones Cientificas y Tecnicas (CONICET); Stockholm University</t>
  </si>
  <si>
    <t>Kuhry, P (corresponding author), Stockholm Univ, Dept Phys Geog, S-10691 Stockholm, Sweden.</t>
  </si>
  <si>
    <t>peter.kuhry@natgeo.su.se</t>
  </si>
  <si>
    <t>Trombotto Liaudat, Dario/0000-0002-7994-1895</t>
  </si>
  <si>
    <t>Swedish Research Council [2017-06037]; Swedish Research Council [2017-06037] Funding Source: Swedish Research Council</t>
  </si>
  <si>
    <t>Swedish Research Council(Swedish Research Council); Swedish Research Council(Swedish Research Council)</t>
  </si>
  <si>
    <t>This study was financially supported by the Swedish Research Council (Grant No. 2017-06037). Logistical support for field transport and laboratory facilities was kindly provided by the Instituto Argentino de Nivologia, Glaciologia y Ciencias Ambientales (IANIGLA), CCT CONICET, Mendoza, Argentina.</t>
  </si>
  <si>
    <t>10.1080/15230430.2022.2062102</t>
  </si>
  <si>
    <t>2M6DY</t>
  </si>
  <si>
    <t>WOS:000817789300001</t>
  </si>
  <si>
    <t>Ottesen, D; Dowdeswell, JA</t>
  </si>
  <si>
    <t>Ottesen, Dag; Dowdeswell, Julian A.</t>
  </si>
  <si>
    <t>Distinctive iceberg ploughmarks on the mid-Norwegian margin: Tidally influenced chains of pits with implications for iceberg drift</t>
  </si>
  <si>
    <t>Iceberg ploughmark; tidal; ocean current; iceberg drift velocity</t>
  </si>
  <si>
    <t>KEELED ANTARCTIC ICEBERGS; GLACIGENIC DEBRIS-FLOWS; TROUGH-MOUTH FAN; PINE ISLAND BAY; SEA-FLOOR; ICE-SHEET; CONTINENTAL-MARGIN; NORTH-ATLANTIC; SEISMIC EVIDENCE; SHELF</t>
  </si>
  <si>
    <t>Curvilinear depressions and chains of asymmetrical to circular pits up to a few meters deep and a few tens of meters wide have been mapped on the upper continental slope beyond the mid-Norwegian shelf. These features are interpreted to represent a continuum of seafloor landforms produced by the grounding of iceberg keels at successive low tides. The features occur along a 50 km long stretch of the upper slope in modern water depths between 400 and 500 m. The average distance between pits varies between about 70 and 175 m, representing one tidal cycle of 12 hr 25 min between successive low tides. This yields average iceberg drift velocities of between 5 and 15 m hr(-1). The pits are often asymmetrical, with a downstream surcharge or berm, making it possible to determine the direction of iceberg drift and, therefore, the current direction at the time of ploughmark formation. The c. 300 m thick icebergs producing the ploughmarks are likely to have been sourced mainly from the fast-flowing Norwegian Channel Ice Stream to the south and probably formed during the early part of regional deglaciation of the Norwegian shelf after the Last Glacial Maximum around 20,000 years ago. The icebergs appear to follow a similar northeastward flow direction to that of the present Norwegian Atlantic Current offshore of Norway.</t>
  </si>
  <si>
    <t>[Ottesen, Dag] Geol Survey Norway, Dept Marine Geol, Postboks 6315 Torgard, N-7491 Trondheim, Norway; [Dowdeswell, Julian A.] Univ Cambridge, Scott Polar Res Inst, Cambridge, England</t>
  </si>
  <si>
    <t>Geological Survey of Norway; University of Cambridge</t>
  </si>
  <si>
    <t>Ottesen, D (corresponding author), Geol Survey Norway, Dept Marine Geol, Postboks 6315 Torgard, N-7491 Trondheim, Norway.</t>
  </si>
  <si>
    <t>Dag.Ottesen@ngu.no</t>
  </si>
  <si>
    <t>10.1080/15230430.2022.2075120</t>
  </si>
  <si>
    <t>1Y8JH</t>
  </si>
  <si>
    <t>WOS:000808384400001</t>
  </si>
  <si>
    <t>Garzon, ELP; Saros, JE</t>
  </si>
  <si>
    <t>Pedraza Garzon, Edna Luz; Saros, Jasmine E.</t>
  </si>
  <si>
    <t>Ecology of the diatom Aulacoseira pusilla in oligotrophic mountain lakes, with implications for paleoclimate reconstructions</t>
  </si>
  <si>
    <t>Aulacoseira pusilla; light; alpine; lake thermal structure; diatom autoecology</t>
  </si>
  <si>
    <t>ALPINE LAKES; GRANULATA BACILLARIOPHYCEAE; RESOURCE REQUIREMENTS; NOV BACILLARIOPHYCEAE; VERTICAL-DISTRIBUTION; NUTRIENT LIMITATION; CENTRIC DIATOM; PHYTOPLANKTON; GROWTH; LIGHT</t>
  </si>
  <si>
    <t>Diatoms in lake sediments are used in paleoclimate reconstructions, particularly in treeless areas such as arctic and alpine regions. Some diatom species in the Aulacoseira group are often thought to bloom as lakes turnover (i.e., mix), suggesting links between these taxa and ice-out conditions. We investigated the distribution and ecology of Aulacoseira pusilla (Meister) Tuji &amp; Houki 2004 in three high-elevation lakes of the U.S. Central Rocky Mountains. Vertical distributions of A. pusilla were quantified every three to four days shortly after the ice-out period for three weeks during July 2017. Populations from two of the lakes were incubated in situ in two experiments to assess the effects of Incubation depth x Nutrient additions and to quantify responses to light. In stratified conditions, the vertical distributions of this species varied spatially and temporally across the three lakes during the study period. There were blooms in the epilimnion of a moderately transparent lake and in deeper waters of a clear lake. Our results suggest that water transparency and its effects on light availability are important when defining relationships between this species and lake thermal conditions. Enhanced understanding of the ecology of A. pusilla will strengthen paleoclimate reconstructions using this species.</t>
  </si>
  <si>
    <t>[Pedraza Garzon, Edna Luz; Saros, Jasmine E.] Univ Maine, Climate Change Inst, 132 Sawyer Res Ctr, Orono, ME 04469 USA</t>
  </si>
  <si>
    <t>University of Maine System; University of Maine Orono</t>
  </si>
  <si>
    <t>Garzon, ELP (corresponding author), Univ Maine, Climate Change Inst, 132 Sawyer Res Ctr, Orono, ME 04469 USA.</t>
  </si>
  <si>
    <t>edna.pedraza@maine.edu</t>
  </si>
  <si>
    <t>Garzón, Edna Luz Pedraza/AAI-9853-2021</t>
  </si>
  <si>
    <t>Garzón, Edna Luz Pedraza/0000-0003-4178-3091</t>
  </si>
  <si>
    <t>Fulbright Commission in Colombia; Dan &amp; Betty Churchill Exploration Fund; Gokcen Fund</t>
  </si>
  <si>
    <t>We thank the Fulbright Commission in Colombia, the Minciencias-Fulbright scholarship, the Dan &amp; Betty Churchill Exploration Fund (grant to ELPG), and the Gokcen Fund for the financial support. The help of the Diatom Ecology Lab members at the Climate Change Institute was essential to culminate different stages of this research.</t>
  </si>
  <si>
    <t>10.1080/15230430.2022.2071088</t>
  </si>
  <si>
    <t>1N5DT</t>
  </si>
  <si>
    <t>WOS:000800677100001</t>
  </si>
  <si>
    <t>Ottaviani, A; Welsch, J; Agama, K; Pommier, Y; Desideri, A; Baker, BJ; Fiorani, P</t>
  </si>
  <si>
    <t>Ottaviani, Alessio; Welsch, Joshua; Agama, Keli; Pommier, Yves; Desideri, Alessandro; Baker, Bill J.; Fiorani, Paola</t>
  </si>
  <si>
    <t>From Antarctica to cancer research: a novel human DNA topoisomerase 1B inhibitor from Antarctic sponge Dendrilla antarctica</t>
  </si>
  <si>
    <t>JOURNAL OF ENZYME INHIBITION AND MEDICINAL CHEMISTRY</t>
  </si>
  <si>
    <t>Natural product; topoisomerase; cancer; drug development</t>
  </si>
  <si>
    <t>I INHIBITORS; CAMPTOTHECIN; ANTICANCER; MECHANISM; INSIGHTS; CLEAVAGE</t>
  </si>
  <si>
    <t>Nature has been always a great source of possible lead compounds to develop new drugs against several diseases. Here we report the identification of a natural compound, membranoid G, derived from the Antarctic sponge Dendrilla antarctica displaying an in vitro inhibitory activity against human DNA topoisomerase 1B. The experiments indicate that membranoid G, when pre-incubated with the enzyme, strongly and irreversibly inhibits the relaxation of supercoiled DNA. This compound completely inhibits the cleavage step of the enzyme catalytic mechanism by preventing protein binding to the DNA. Membranoid G displays also a cytotoxic effect on tumour cell lines, suggesting its use as a possible lead compound to develop new anticancer drugs.</t>
  </si>
  <si>
    <t>[Ottaviani, Alessio; Desideri, Alessandro; Fiorani, Paola] Univ Roma Tor Vergata, Dept Biol, I-00133 Rome, Italy; [Welsch, Joshua; Baker, Bill J.] Univ S Florida, Dept Chem, Tampa, FL 33620 USA; [Agama, Keli; Pommier, Yves] NCI, Lab Mol Pharmacol, Ctr Canc Res, Bethesda, MD 20892 USA; [Fiorani, Paola] CNR, Natl Res Council, Inst Translat Pharmacol, I-00133 Rome, Italy</t>
  </si>
  <si>
    <t>University of Rome Tor Vergata; State University System of Florida; University of South Florida; National Institutes of Health (NIH) - USA; NIH National Cancer Institute (NCI); Consiglio Nazionale delle Ricerche (CNR); Istituto di Farmacologia Traslazionale (IFT-CNR)</t>
  </si>
  <si>
    <t>Fiorani, P (corresponding author), Univ Roma Tor Vergata, Dept Biol, I-00133 Rome, Italy.;Baker, BJ (corresponding author), Univ S Florida, Dept Chem, Tampa, FL 33620 USA.;Fiorani, P (corresponding author), CNR, Natl Res Council, Inst Translat Pharmacol, I-00133 Rome, Italy.</t>
  </si>
  <si>
    <t>bjbaker@usf.edu; paola.fiorani@uniroma2.it</t>
  </si>
  <si>
    <t>Baker, Bill/N-4312-2019; Ottaviani, Alessio/K-7240-2018</t>
  </si>
  <si>
    <t>desideri, alessandro/0000-0003-1541-4217; FIORANI, Paola/0000-0001-5409-2789</t>
  </si>
  <si>
    <t>PNRA (The Italian National Antarctic Research Program) - Ministry for the Education, University and Scientific Research (MIUR) [PNRA18_00005-D]; US National Science Foundation from the Antarctic Organisms and Ecosystems program [ANT-0838776, PLR1341339]</t>
  </si>
  <si>
    <t>PNRA (The Italian National Antarctic Research Program) - Ministry for the Education, University and Scientific Research (MIUR); US National Science Foundation from the Antarctic Organisms and Ecosystems program</t>
  </si>
  <si>
    <t>This work and AO were supported by PNRA (The Italian National Antarctic Research Program) awarded by the Ministry for the Education, University and Scientific Research (MIUR), grant number PNRA18_00005-D. Field work in Antarctica was funded by the US National Science Foundation awards ANT-0838776 and PLR1341339 (B.J.B.) from the Antarctic Organisms and Ecosystems program.</t>
  </si>
  <si>
    <t>1475-6366</t>
  </si>
  <si>
    <t>1475-6374</t>
  </si>
  <si>
    <t>J ENZYM INHIB MED CH</t>
  </si>
  <si>
    <t>J. Enzym. Inhib. Med. Chem.</t>
  </si>
  <si>
    <t>10.1080/14756366.2022.2078320</t>
  </si>
  <si>
    <t>Biochemistry &amp; Molecular Biology; Chemistry, Medicinal</t>
  </si>
  <si>
    <t>Biochemistry &amp; Molecular Biology; Pharmacology &amp; Pharmacy</t>
  </si>
  <si>
    <t>1N9GF</t>
  </si>
  <si>
    <t>WOS:000800954100001</t>
  </si>
  <si>
    <t>Cassalho, F; Miesse, TW; Khalid, A; de Lima, AD; Ferreira, CM; Henke, M; Ravens, TM</t>
  </si>
  <si>
    <t>Cassalho, Felicio; Miesse, Tyler W.; Khalid, Arslaan; de Lima, Andre de S.; Ferreira, Celso M.; Henke, Martin; Ravens, Thomas M.</t>
  </si>
  <si>
    <t>Intercomparing atmospheric reanalysis products for hydrodynamic and wave modeling of extreme events during the open-water Arctic season</t>
  </si>
  <si>
    <t>Numerical modeling; wind and pressure forcing; Bering Sea; ADCIRC plus SWAN; ice-free Alaskan coast</t>
  </si>
  <si>
    <t>FORECAST SYSTEM; STORM SURGES; WIND REANALYSES; CLIMATE; ICE; OCEAN; PERFORMANCE; ATLANTIC; WEATHER; GULF</t>
  </si>
  <si>
    <t>The significant increase in the Arctic open-water extent along with the earlier sea-ice summer melt and later autumn freeze-up seasons observed in the last decades allow the formation of less fetch-limited waves and the further propagation of storm surges to new ice-free shores. Coupled hydrodynamic and wave models can be used to simulate these complex atmospheric-ocean interactions that often result in coastal flood hazards and extreme waves. However, the reliability of such simulations is intrinsically dependent on the quality of their main inputs, including wind and mean sea-level pressure products, which are usually extracted from reanalysis. This study evaluates the storm surge and significant wave height hindcasts from the coupled ADCIRC+SWAN numerical model forced by seven different reanalysis products during contrasting major storms. Model results show that the highest spatial resolution product CFSv2 led to the overall most accurate model simulations, performing particularly well at locations exposed to extreme surge and waves. Average root mean square error increases of up to 100 percent for storm surge and 157.55 percent for significant wave height were observed when using products other than CFSv2, thus highlighting the importance of selecting the proper wind and pressure reanalysis to be implemented as forcing in the hydrodynamic and wave numerical model.</t>
  </si>
  <si>
    <t>[Cassalho, Felicio; Miesse, Tyler W.; Khalid, Arslaan; Ferreira, Celso M.; Henke, Martin] George Mason Univ, Dept Civil Environm &amp; Infrastruct Engn, 4400 Univ Dr, Fairfax, VA 22030 USA; [de Lima, Andre de S.] Univ Fed Santa Catarina, Dept Geociencias, Ciencias Humanas, Campus Univ Ctr Filosofia, Trindade, Brazil; [Ravens, Thomas M.] Univ Alaska Anchorage, Dept Civil Engn, Anchorage, AK USA</t>
  </si>
  <si>
    <t>George Mason University; Universidade Federal de Santa Catarina (UFSC); University of Alaska System; University of Alaska Anchorage</t>
  </si>
  <si>
    <t>Cassalho, F (corresponding author), George Mason Univ, Dept Civil Environm &amp; Infrastruct Engn, 4400 Univ Dr, Fairfax, VA 22030 USA.</t>
  </si>
  <si>
    <t>fcassalh@gmu.edu</t>
  </si>
  <si>
    <t>Ferreira, Celso M/I-3647-2015; de Lima, Andre de Souza/T-9130-2017</t>
  </si>
  <si>
    <t>de Lima, Andre de Souza/0000-0002-3771-3181</t>
  </si>
  <si>
    <t>National Science Foundation [ACI-1548562, 1927785]; Coordenacao de Aperfeicoamento de Pessoal de Nivel Superior-Brasil (CAPES) [001]; ICER; Directorate For Geosciences [1927785] Funding Source: National Science Foundation</t>
  </si>
  <si>
    <t>National Science Foundation(National Science Foundation (NSF)); Coordenacao de Aperfeicoamento de Pessoal de Nivel Superior-Brasil (CAPES)(Coordenacao de Aperfeicoamento de Pessoal de Nivel Superior (CAPES)); ICER; Directorate For Geosciences(National Science Foundation (NSF)NSF - Directorate for Geosciences (GEO))</t>
  </si>
  <si>
    <t>This material is based on work supported by the National Science Foundation under Grant No. 1927785. This funding is gratefully acknowledged but implies no endorsement of the findings. This research used the computational resources from Cheyenne (doi:10.5065/D6RX99HX) provided by NCAR's Computational and Information Systems Laboratory, sponsored by the National Science Foundation and the Extreme Science and Engineering Discovery Environment (XSEDE) STAMPEDE2 resources through allocation ID TG-BCS130009, which is supported by the National Science Foundation (Grant No. ACI-1548562). Financial support was provided to the fourth author, ASL, by the Coordenacao de Aperfeicoamento de Pessoal de Nivel Superior-Brasil (CAPES), Finance Code 001.</t>
  </si>
  <si>
    <t>10.1080/15230430.2022.2059957</t>
  </si>
  <si>
    <t>1C2CK</t>
  </si>
  <si>
    <t>WOS:000792933400001</t>
  </si>
  <si>
    <t>Scambos, T; Abdalati, W</t>
  </si>
  <si>
    <t>Scambos, Ted; Abdalati, Waleed</t>
  </si>
  <si>
    <t>How fast is sea level rising?</t>
  </si>
  <si>
    <t>[Scambos, Ted; Abdalati, Waleed] Univ Colorado, Cooperat Inst Res Environm Sci, Boulder, CO 80309 USA</t>
  </si>
  <si>
    <t>Scambos, T; Abdalati, W (corresponding author), Univ Colorado, Cooperat Inst Res Environm Sci, Boulder, CO 80309 USA.</t>
  </si>
  <si>
    <t>tascambos@colorado.edu; waleed.abdalati@colorado.edu</t>
  </si>
  <si>
    <t>Office of Polar Programs, National Science Foundation; National Oceanic and Atmospheric Administration</t>
  </si>
  <si>
    <t>Office of Polar Programs, National Science Foundation(National Science Foundation (NSF)); National Oceanic and Atmospheric Administration(National Oceanic Atmospheric Admin (NOAA) - USA)</t>
  </si>
  <si>
    <t>This work was supported by the Office of Polar Programs, National Science Foundation, National Oceanic and Atmospheric Administration.</t>
  </si>
  <si>
    <t>10.1080/15230430.2022.2047247</t>
  </si>
  <si>
    <t>0U3PW</t>
  </si>
  <si>
    <t>WOS:000787565700001</t>
  </si>
  <si>
    <t>Speller, J; Forbes, V</t>
  </si>
  <si>
    <t>Speller, Jeffrey; Forbes, Veronique</t>
  </si>
  <si>
    <t>On the role of peat bogs as components of Indigenous cultural landscapes in Northern North America</t>
  </si>
  <si>
    <t>Peat bogs; ethnobotany; Indigenous cultural landscapes; North America; environmental archeology</t>
  </si>
  <si>
    <t>TRADITIONAL ECOLOGICAL KNOWLEDGE; INUIT-QAUJIMAJATUQANGIT; PLANT USE; GEOPHYSICAL PROSPECTION; NUNATSIAVUT LABRADOR; HUNTER-GATHERERS; NELSON-ISLAND; ETHNOBOTANY; ARCHAEOLOGY; PEATLANDS</t>
  </si>
  <si>
    <t>This article explores uses of peat bogs and associated plants and other resources by drawing on the published ethnobotanical and archeological literature pertaining to Indigenous groups that lived and continue to live on the Northwest Coast, the Interior/Plateau Regions, Northwestern Canada, the Central and Western Arctic, and the Far Northeast. We examine bog plants used as food and medicine, the relationships between people and bogs as documented through traditional ecological knowledge, and archeological evidence for bogs having been used as places to live and as sources of peat for use as building material. The aim is to bring attention to the fact that peat bogs were, and still are, very much a part of Indigenous cultural landscapes in North America. We suggest that greater attention should be paid to bogs and that a reassessment of their perceived marginality may be necessary to achieve a fuller understanding of past and present human-environment interactions in northern North America.</t>
  </si>
  <si>
    <t>[Speller, Jeffrey; Forbes, Veronique] Mem Univ Newfoundland, Queens Coll, Dept Archaeol, 210 Prince Philip Dr, St John, NF A1C 5S7, Canada</t>
  </si>
  <si>
    <t>Memorial University Newfoundland</t>
  </si>
  <si>
    <t>Speller, J (corresponding author), Mem Univ Newfoundland, Queens Coll, Dept Archaeol, 210 Prince Philip Dr, St John, NF A1C 5S7, Canada.</t>
  </si>
  <si>
    <t>jgspeller@mun.ca</t>
  </si>
  <si>
    <t>Social Sciences and Humanities Research Council of Canada (SSHRC) Joseph-Armand Bombardier Canada Graduate Scholarship Master's (2018) scholarship; Institute of Social and Economic Research (ISER) (Institute of Social and Economic Research, Memorial University of Newfoundland) [20210480]; SSHRC Insight grant [435-2020-0392]</t>
  </si>
  <si>
    <t>Social Sciences and Humanities Research Council of Canada (SSHRC) Joseph-Armand Bombardier Canada Graduate Scholarship Master's (2018) scholarship(Social Sciences and Humanities Research Council of Canada (SSHRC)); Institute of Social and Economic Research (ISER) (Institute of Social and Economic Research, Memorial University of Newfoundland); SSHRC Insight grant(Social Sciences and Humanities Research Council of Canada (SSHRC))</t>
  </si>
  <si>
    <t>This work was supported by a Social Sciences and Humanities Research Council of Canada (SSHRC) Joseph-Armand Bombardier Canada Graduate Scholarship Master's (2018) scholarship and an Institute of Social and Economic Research (ISER) (Institute of Social and Economic Research, Memorial University of Newfoundland 20210480) grant awarded to JGS and partially through an SSHRC Insight grant (435-2020-0392) to VF.</t>
  </si>
  <si>
    <t>10.1080/15230430.2022.2049957</t>
  </si>
  <si>
    <t>0L6SB</t>
  </si>
  <si>
    <t>WOS:000781601300001</t>
  </si>
  <si>
    <t>Bell, BA; Hughes, PD; Fletcher, WJ; Cornelissen, HL; Rhoujjati, A; Hanich, L; Braithwaite, RJ</t>
  </si>
  <si>
    <t>Bell, Benjamin A.; Hughes, Philip D.; Fletcher, William J.; Cornelissen, Henk L.; Rhoujjati, Ali; Hanich, Lahoucine; Braithwaite, Roger J.</t>
  </si>
  <si>
    <t>Climate of the Marrakech High Atlas, Morocco: Temperature lapse rates and precipitation gradient from piedmont to summits</t>
  </si>
  <si>
    <t>High Atlas; climate; temperature lapse rates; precipitation gradient; mountain environments</t>
  </si>
  <si>
    <t>SURFACE AIR; MOUNTAIN REGIONS; VARIABILITY; RESOURCES; AFRICA; AREAS; MODEL</t>
  </si>
  <si>
    <t>Understanding mountain climates poses many challenges, because difficult terrain leads to a sparsity of weather stations and therefore poor data availability, meaning the detailed information required to understand these complex systems is lacking. Here, we analyze eleven years of half-hourly climate observations from the Joint International Laboratory LMI-TREMA (Teledetection et Ressources en Eau en Mediterranee semi-Aride) network of weather stations in the Marrakech High Atlas, Morocco, providing detailed information about the climate in this area. Our analysis shows the mean annual near-surface temperature lapse rate is -4.63 degrees C km(-1), with an uncertainty range of -4.39 to -4.85 degrees C km(-1), lower than the standard environmental temperature lapse rate. Mean temperature lapse rates vary from -3.67 degrees C to -5.21 degrees C km(-1) monthly, and throughout the day from -2.75 degrees C to -7.1 degrees C km(-1), which has important implications for understanding snowpack variations at the highest elevations. Understanding precipitation is inherently complex, but our analysis shows that mean annual precipitation increases by 166 mm km(-1) (150.6 to 183.7 mm km(-1)) with a significant snow component at the highest elevations. This analysis improves our understanding of the mountain climate system with new regional temperate lapse rates and precipitation gradients, having the potential to improve gridded climatologies and climate models, with relevance for the wider High Atlas region.</t>
  </si>
  <si>
    <t>[Bell, Benjamin A.; Hughes, Philip D.; Fletcher, William J.; Cornelissen, Henk L.; Braithwaite, Roger J.] Univ Manchester, Sch Environm Educ &amp; Dev, Dept Geog, Oxford Rd, Manchester M13 9PL, Lancs, England; [Rhoujjati, Ali; Hanich, Lahoucine] Cadi Ayyad Univ, Fac Sci &amp; Tech, Dept Earth Sci, Lab Georesources Geoenvironm &amp; Civil Earth, Marrakech, Morocco; [Hanich, Lahoucine] Mohamed VI Polytech Univ, Ctr Remote Sensing &amp; Applicat CRSA, Ben Guerir, Morocco</t>
  </si>
  <si>
    <t>University of Manchester; Cadi Ayyad University of Marrakech; Mohammed VI Polytechnic University</t>
  </si>
  <si>
    <t>Bell, BA (corresponding author), Univ Manchester, Sch Environm Educ &amp; Dev, Dept Geog, Oxford Rd, Manchester M13 9PL, Lancs, England.</t>
  </si>
  <si>
    <t>benjamin.bell@manchester.ac.uk</t>
  </si>
  <si>
    <t>HANICH, Lahoucine/D-1823-2011; Braithwaite, Roger/HOF-8499-2023</t>
  </si>
  <si>
    <t>HANICH, Lahoucine/0000-0003-3756-0944; Bell, Benjamin/0000-0002-0899-9280; Cornelissen, Henk/0000-0001-8759-7898; Braithwaite, Roger/0000-0002-0387-7591; Rhoujjati, Ali/0000-0002-8176-7451; Hughes, Philip/0000-0002-8284-0219; Fletcher, William/0000-0001-8918-0690</t>
  </si>
  <si>
    <t>Leverhulme Trust Research Grant [RPG-2018141]</t>
  </si>
  <si>
    <t>Leverhulme Trust Research Grant(Leverhulme Trust)</t>
  </si>
  <si>
    <t>This study is part of the Holocene glacier dynamics and environmental change in the High Atlas, Morocco project, funded by a Leverhulme Trust Research Grant (RPG-2018141).</t>
  </si>
  <si>
    <t>10.1080/15230430.2022.2046897</t>
  </si>
  <si>
    <t>0F2LE</t>
  </si>
  <si>
    <t>WOS:000777196100001</t>
  </si>
  <si>
    <t>Ficko, SA; Naeth, MA</t>
  </si>
  <si>
    <t>Ficko, Sarah A.; Naeth, M. Anne</t>
  </si>
  <si>
    <t>Influence of treatment on rooting of arctic Salix species cuttings for revegetation</t>
  </si>
  <si>
    <t>Salix cuttings; arctic; revegetation; adventitious roots; lateral roots</t>
  </si>
  <si>
    <t>INDOLE-3-BUTYRIC ACID; LATERAL ROOTS; ADVENTITIOUS ROOTS; BRANCHING DENSITY; STEM CUTTINGS; PLANT-GROWTH; AUXIN; ARABIDOPSIS; IBA; ARCHITECTURE</t>
  </si>
  <si>
    <t>Increased northern exploration and resource extraction highlight a need for effective revegetation techniques to restore disturbed environments. This study assessed effects of indole-3-butyric acid (IBA), water extracts of Salix and smoke, soaking time, and collection time on adventitious and lateral root development of Salix species cuttings collected from Diavik Diamond Mine Inc., Northwest Territories. Over 80 percent of fall and spring cuttings developed adventitious roots, yet only 30 percent of summer cuttings rooted, indicating strong seasonal influences. Many cuttings developed extensive root system architecture in 60 days; some developed up to six orders of roots. Root length decreased with increasing root order in all seasons, and season influenced length within root orders. Application of IBA increased number of primary roots per cutting per season and number of cuttings with less than fifty secondary roots per primary root. Longer soaking times increased number of primary roots per cutting in different seasons, and soaking up to ten days increased longest root length. Salix and smoke water extract applications increased number of cuttings with twenty-five to seventy-four secondary roots. This research highlights the importance of treatment effects on adventitious and lateral root development to optimize root system architecture of cuttings from northern shrub species.</t>
  </si>
  <si>
    <t>[Ficko, Sarah A.; Naeth, M. Anne] Univ Alberta, Dept Renewable Resources, Edmonton, AB, Canada</t>
  </si>
  <si>
    <t>University of Alberta</t>
  </si>
  <si>
    <t>Ficko, SA; Naeth, MA (corresponding author), Univ Alberta, 855C Gen Serv Bldg, Edmonton, AB T6G 2H1, Canada.</t>
  </si>
  <si>
    <t>ficko@ualberta.ca; anne.naeth@ualberta.ca</t>
  </si>
  <si>
    <t>Ficko, Sarah/0000-0002-4123-5047</t>
  </si>
  <si>
    <t>Diavik Diamond Mine Inc.; Natural Sciences and Engineering Research Council of Canada (NSERC); Weston Family Foundation; Alberta Innovates; Helmholtz-Alberta Initiative; Land Reclamation International Graduate School, through the NSERC CREATE program</t>
  </si>
  <si>
    <t>Diavik Diamond Mine Inc.; Natural Sciences and Engineering Research Council of Canada (NSERC)(Natural Sciences and Engineering Research Council of Canada (NSERC)); Weston Family Foundation; Alberta Innovates; Helmholtz-Alberta Initiative; Land Reclamation International Graduate School, through the NSERC CREATE program(Natural Sciences and Engineering Research Council of Canada (NSERC))</t>
  </si>
  <si>
    <t>The work was made possible through funding and in-kind support provided by Diavik Diamond Mine Inc. and funding provided by the Natural Sciences and Engineering Research Council of Canada (NSERC), the Weston Family Foundation, Alberta Innovates, the Helmholtz-Alberta Initiative, and the Land Reclamation International Graduate School, through the NSERC CREATE program.</t>
  </si>
  <si>
    <t>10.1080/15230430.2022.2042946</t>
  </si>
  <si>
    <t>ZX2WP</t>
  </si>
  <si>
    <t>WOS:000771760500001</t>
  </si>
  <si>
    <t>Williams, KE; McKay, CP; Toon, OB; Jennings, KS</t>
  </si>
  <si>
    <t>Williams, K. E.; McKay, C. P.; Toon, O. B.; Jennings, K. S.</t>
  </si>
  <si>
    <t>Mass balance of two perennial snowfields: Niwot Ridge, Colorado, and the Ulaan Taiga, Mongolia</t>
  </si>
  <si>
    <t>Arapaho Glacier; Colorado; Mongolia; perennial snowfield; perennial snowfield mass balance</t>
  </si>
  <si>
    <t>SURFACE-ENERGY BALANCE; WESTERN UNITED-STATES; MCMURDO DRY VALLEYS; GREEN LAKES VALLEY; DUST DEPOSITION; CLIMATE-CHANGE; SEASONAL SNOWPACK; TURBULENT FLUXES; ROCKY-MOUNTAINS; SNOWMELT RUNOFF</t>
  </si>
  <si>
    <t>Perennial snowfields are generally receding worldwide, though the precise mechanisms causing recessions are not always well understood. Here we apply a numerical snowpack model to identify the leading factors controlling the mass balance of two perennial snowfields that have significant human interest: Arapaho Glacier, located at Niwot Ridge in the Colorado Rocky Mountains (United States), and a snowfield located in the Ulaan Taiga (Mongolia). The two locations were chosen because they differ in elevation, slope, and aspect. However, both have subarctic climates and are located within semi-arid regions. We show that for these two locations the snowfield mass balance is primarily sensitive to air temperature and wind speed, followed by precipitation and dust deposition amounts. The lack of sensitivity to dust deposition was most likely due to timing of deposition and the overall small dust amounts. We find that the sensitivities are similar for the center of the snowfield as well as the margins.</t>
  </si>
  <si>
    <t>[Williams, K. E.] US Geol Survey, Astrogeol Sci Ctr, 2255 N Gemini Dr, Flagstaff, AZ 86001 USA; [McKay, C. P.] NASA, Ames Res Ctr, Div Space Sci, Moffett Field, CA 94035 USA; [Toon, O. B.] Univ Colorado, Dept Atmospher &amp; Ocean Sci, Boulder, CO 80309 USA; [Toon, O. B.] Univ Colorado, Lab Atmospher &amp; Space Phys, Boulder, CO 80309 USA; [Jennings, K. S.] Lynker Technol, Boulder, CO USA</t>
  </si>
  <si>
    <t>United States Department of the Interior; United States Geological Survey; National Aeronautics &amp; Space Administration (NASA); NASA Ames Research Center; University of Colorado System; University of Colorado Boulder; University of Colorado System; University of Colorado Boulder</t>
  </si>
  <si>
    <t>Williams, KE (corresponding author), US Geol Survey, Astrogeol Sci Ctr, 2255 N Gemini Dr, Flagstaff, AZ 86001 USA.</t>
  </si>
  <si>
    <t>kewilliams@usgs.gov</t>
  </si>
  <si>
    <t>Williams, Kaj/0000-0003-1755-1872; TOON, OWEN/0000-0002-1394-3062; McKay, Christopher/0000-0002-6243-1362</t>
  </si>
  <si>
    <t>10.1080/15230430.2022.2027591</t>
  </si>
  <si>
    <t>ZW7TB</t>
  </si>
  <si>
    <t>WOS:000771410100001</t>
  </si>
  <si>
    <t>Mizel, JD; Swanson, DK</t>
  </si>
  <si>
    <t>Mizel, Jeremy D.; Swanson, David K.</t>
  </si>
  <si>
    <t>Hindcasts of passerine density in arctic and subarctic Alaska suggest noncomplementary responses to shrub expansion by tundra- and shrub-adapted species</t>
  </si>
  <si>
    <t>Birds; climate change; density surface models; NDVI; spatial distance sampling</t>
  </si>
  <si>
    <t>CLIMATE-CHANGE; BREEDING HABITAT; TRENDS; SHIFTS; RANGE; NDVI; HETEROGENEITY; DISTRIBUTIONS; NORTH</t>
  </si>
  <si>
    <t>Shrub expansion is among the most conspicuous of the warming-related phenomena occurring within tundra regions, but its effects on vertebrates are not well understood. Among passerines, the habitats of shrub- and tundra-adapted species are expected to increase and decrease, respectively, by roughly equivalent amounts. However, shrub expansion is highly discontinuous, and these predictions are typically based on coarse-scale models of vegetation that permit limited spatial heterogeneity. We used a hindcasting approach to investigate spatial and interspecific heterogeneity in passerine densities through time, as a function of changes in Normalized Difference Vegetation Index (NDVI). We conducted line transect surveys of passerines between 2015 and 2019 at four sites in arctic and subarctic Alaska. Collecting the encounter locations permitted fine-scale assessment of covariates of density. We fit spatial distance sampling models to these data and then used the predicted relationship between passerine density and NDVI to hindcast changes in density since 1999. Our hindcasts suggested limited areal changes in the habitat of tundra-adapted species over the last twenty years while the habitat corresponding to tall shrub-adapted species has likely expanded. Thus, our results contrast with previous predictions due partially to the finer spatial scale of our inference, which allowed for portions of the landscape to resist shrub expansion.</t>
  </si>
  <si>
    <t>[Mizel, Jeremy D.; Swanson, David K.] Natl Pk Serv, Arctic Inventory &amp; Monitoring Network, 4175 Geist Rd, Fairbanks, AK 99709 USA</t>
  </si>
  <si>
    <t>United States Department of the Interior</t>
  </si>
  <si>
    <t>Mizel, JD (corresponding author), Natl Pk Serv, Arctic Inventory &amp; Monitoring Network, 4175 Geist Rd, Fairbanks, AK 99709 USA.</t>
  </si>
  <si>
    <t>jeremy_mizel@nps.gov</t>
  </si>
  <si>
    <t>Mizel, Jeremy/0000-0002-9778-7609</t>
  </si>
  <si>
    <t>U.S. Department of the Interior, National Park Service, Inventory and Monitoring Program in the Central Alaska and Arctic Inventory and Monitoring Networks</t>
  </si>
  <si>
    <t>This study was funded by the U.S. Department of the Interior, National Park Service, Inventory and Monitoring Program in the Central Alaska and Arctic Inventory and Monitoring Networks.</t>
  </si>
  <si>
    <t>10.1080/15230430.2022.2034373</t>
  </si>
  <si>
    <t>ZU1CC</t>
  </si>
  <si>
    <t>WOS:000769582300001</t>
  </si>
  <si>
    <t>Li, ZJ; Wang, NL; Chen, AN; Liang, Q; Yang, DQ</t>
  </si>
  <si>
    <t>Li, Zhijie; Wang, Ninglian; Chen, An'an; Liang, Qian; Yang, DaQing</t>
  </si>
  <si>
    <t>Slight change of glaciers in the Pamir over the period 2000-2017</t>
  </si>
  <si>
    <t>Pamir; glacier inventory; manual delineation; debris-covered glacier</t>
  </si>
  <si>
    <t>SEA-LEVEL RISE; EASTERN PAMIR; MASS-BALANCE; SURGING GLACIERS; TIBETAN PLATEAU; HEXAGON KH-9; KARAKORAM; INVENTORY; MOUNTAINS; SRTM</t>
  </si>
  <si>
    <t>Glaciers in the Pamir are the water tower of arid Central Asia, and more than 50 million people depend on meltwater from them. Many studies have reported glacier changes in the Pamir, but the glacier inventories employed in the previous investigations are both outdated and lack comparability. In this study, we present a new multitemporal glacier inventory for the Pamir based primarily on the Landsat ETM+/OLI scenes from the period around 2000 and 2017. Glacier outlines in 2000 and 2017 were delineated manually using Landsat images, SRTM digital elevation model (DEM), and high-resolution Google Earth images, using the same criteria and methods. We mapped 12,186 glaciers covering 10,396.20 +/- 421.16 km(2) in 2017 for the Pamir and demonstrated that the Pamir lost 124.28 +/- 81.33 km(2) of its glacier areas with a shrinkage rate of 1.17 +/- 0.77 percent or 0.07 +/- 0.05 percent center dot a(-1) from 2000 to 2017. Based on the new inventories and the existing elevation change data sets of High Mountain Asia (HMA) from 2000 to 2016, we calculated a weaker glacier mass loss of -0.05 +/- 0.06 m w.e. a(-1). Spatial heterogeneity of glacier changes has been found in both the area and mass balance, but our results still suggest that the Pamir glaciers changed slightly since 2000.</t>
  </si>
  <si>
    <t>[Li, Zhijie; Wang, Ninglian; Chen, An'an; Liang, Qian] Northwest Univ, Coll Urban &amp; Environm Sci, Shaanxi Key Lab Earth Surface Syst &amp; Environm Ca, Xian 710127, Peoples R China; [Li, Zhijie; Wang, Ninglian; Chen, An'an; Liang, Qian] Northwest Univ, Coll Urban &amp; Environm Sci, Inst Earth Surface Syst &amp; Hazards, Xian, Peoples R China; [Chen, An'an] Chinese Acad Sci, CAS Ctr Excellence Tibetan Plateau Earth Sci, Beijing, Peoples R China; [Yang, DaQing] Chinese Acad Sci, Inst Tibetan Plateau Res, Beijing, Peoples R China</t>
  </si>
  <si>
    <t>Northwest University Xi'an; Northwest University Xi'an; Chinese Academy of Sciences; Chinese Academy of Sciences; Institute of Tibetan Plateau Research, CAS</t>
  </si>
  <si>
    <t>Wang, NL (corresponding author), Northwest Univ, Coll Urban &amp; Environm Sci, Shaanxi Key Lab Earth Surface Syst &amp; Environm Ca, Xian 710127, Peoples R China.</t>
  </si>
  <si>
    <t>nlwang@nwu.edu.cn</t>
  </si>
  <si>
    <t>Strategic Priority Research Program of the Chinese Academy of Sciences [XDA19070302, XDA20060201]; National Natural Science Foundation of China [42130516]; Second Tibetan Plateau Scientific Expedition and Research Program [2019QZKK020102]</t>
  </si>
  <si>
    <t>Strategic Priority Research Program of the Chinese Academy of Sciences(Chinese Academy of Sciences); National Natural Science Foundation of China(National Natural Science Foundation of China (NSFC)); Second Tibetan Plateau Scientific Expedition and Research Program</t>
  </si>
  <si>
    <t>This work was supported by the Strategic Priority Research Program of the Chinese Academy of Sciences (Grant Nos. XDA19070302, XDA20060201), the National Natural Science Foundation of China (Grant No. 42130516), and the Second Tibetan Plateau Scientific Expedition and Research Program (Grant No. 2019QZKK020102).</t>
  </si>
  <si>
    <t>10.1080/15230430.2022.2028475</t>
  </si>
  <si>
    <t>ZE8YO</t>
  </si>
  <si>
    <t>WOS:000759164200001</t>
  </si>
  <si>
    <t>Li, ZM; Wu, QL</t>
  </si>
  <si>
    <t>Li, Zimu; Wu, Qingliang</t>
  </si>
  <si>
    <t>Capturing the crack process of the Antarctic A74 iceberg with Sentinel-1 based offset tracking and radar interferometry techniques</t>
  </si>
  <si>
    <t>Offset tracking; InSAR; change detection; glacier velocity field; iceberg rupture</t>
  </si>
  <si>
    <t>BRUNT ICE SHELF; PERMANENT SCATTERERS; SURFACE DEFORMATION; SAR; VELOCITY; GLACIER</t>
  </si>
  <si>
    <t>In this paper, the crack process of the A74 iceberg is carefully monitored in different aspects by using synthetic aperture radar (SAR) images. First, a offset tracking strategy is designed to retrieve the temporal evolution of the glacier velocity field. Secondly, a signal coherence factor (SCF) is proposed to analyze the interferometric signals. The resulting SCF maps can present a more distinct rupture pattern than the SAR magnitude images, which enables the development of rift to be tracked more precisely. Thirdly, a new approach is proposed to explore the temporal change of the ice flow. Since this approach is based on interferometric phase signals, it is more sensitive than the offset tracking technique. Consequently, the abnormal variation signals associated with the rupture process can be discovered from the experimental results in an earlier stage. The results also show that the area with abnormal signals is almost identical to the region of the calved ice, which demonstrates that the scale of the iceberg might be predicted at least two months before the rupture event. Furthermore, such a consistent pattern may indicate a total alteration of ice characteristics, implying that the complete separation between A74 and BIS is inevitable.</t>
  </si>
  <si>
    <t>[Li, Zimu; Wu, Qingliang] Southwest Univ, Coll Engn &amp; Technol, Chongqing 400715, Peoples R China; [Li, Zimu] Southwest Univ, Coll Software, Coll Comp &amp; Informat Sci, Chongqing, Peoples R China</t>
  </si>
  <si>
    <t>Southwest University - China; Southwest University - China</t>
  </si>
  <si>
    <t>Wu, QL (corresponding author), Southwest Univ, Coll Engn &amp; Technol, Chongqing 400715, Peoples R China.</t>
  </si>
  <si>
    <t>wuqingliang@swu.edu.cn</t>
  </si>
  <si>
    <t>Chongqing Basic Science And Frontier Technology Research Project [2017jcyjAX0229]; China Postdoctoral Science Foundation [2019M660022XB]</t>
  </si>
  <si>
    <t>Chongqing Basic Science And Frontier Technology Research Project; China Postdoctoral Science Foundation(China Postdoctoral Science Foundation)</t>
  </si>
  <si>
    <t>This research was funded by Chongqing Basic Science And Frontier Technology Research Project [grant number 2017jcyjAX0229] and China Postdoctoral Science Foundation [grant number 2019M660022XB].</t>
  </si>
  <si>
    <t>10.1080/17538947.2022.2032851</t>
  </si>
  <si>
    <t>YW9VP</t>
  </si>
  <si>
    <t>WOS:000753758700001</t>
  </si>
  <si>
    <t>Shimada, R; Takahashi, K</t>
  </si>
  <si>
    <t>Shimada, Ryuto; Takahashi, Koichi</t>
  </si>
  <si>
    <t>Diurnal and seasonal variations in photosynthetic rates of dwarf pine Pinus pumila at the treeline in central Japan</t>
  </si>
  <si>
    <t>Climate change; dwarf pine; growth; photosynthesis; treeline</t>
  </si>
  <si>
    <t>HYDRAULIC CONDUCTANCE; BIOCHEMICAL-MODEL; ROOT TEMPERATURE; GROWTH-RESPONSE; CLIMATE-CHANGE; FOREST; WATER; ACCLIMATION; TRANSPIRATION; C-3</t>
  </si>
  <si>
    <t>It is important to develop a convenient method for predicting photosynthetic rates in cold regions such as high elevations. Dwarf pine Pinus pumila is a representative treeline species in Japan. In this study, we investigated how environmental factors affect diurnal and seasonal variations of the in situ photosynthetic rate of P. pumila. Five environmental factors (photosynthetic photon flux density [PPFD], air temperature [T (a)], soil temperature [T (s)], vapor pressure deficit [VPD], and soil water content [SWC]) were examined. Photosynthetic measurements were conducted for four needle ages at hourly intervals on fifteen days from July to October 2018. The net photosynthetic rate decreased with needle age and changed seasonally and diurnally for each needle age. The net photosynthetic rate showed unimodal patterns with T (a), T (s), and SWC. The seasonal and diurnal changes in the net photosynthetic rate were related to seasonal changes in the four environmental factors (PPFD, T (a), T (s), SWC); the net photosynthetic rate decreased in mid-summer when T (a), T (s), and PPFD were high due to a decrease in SWC. Seasonal and diurnal changes in net photosynthetic rates could be reproduced by the multiplicative model of the four environmental factors and needle age. Therefore, the photosynthetic rate of P. pumila can be explained and predicted using these environmental factors and needle age. This information will be useful for predicting the effects of climate change on the photosynthetic production of plants in cold regions.</t>
  </si>
  <si>
    <t>[Shimada, Ryuto; Takahashi, Koichi] Shinshu Univ, Fac Sci, Dept Biol, Asahi 3-1-1, Matsumoto, Nagano 3908621, Japan; [Takahashi, Koichi] Shinshu Univ, Inst Mt Sci, Matsumoto, Nagano, Japan</t>
  </si>
  <si>
    <t>Shinshu University; Shinshu University</t>
  </si>
  <si>
    <t>Takahashi, K (corresponding author), Shinshu Univ, Fac Sci, Dept Biol, Asahi 3-1-1, Matsumoto, Nagano 3908621, Japan.</t>
  </si>
  <si>
    <t>koichit@shinshu-u.ac.jp</t>
  </si>
  <si>
    <t>Institute for Cosmic Ray Research, University of Tokyo; Japan Society for the Promotion of Science [21K06331]; Sumitomo Foundation for Environmental Research Projects [193109]; Grants-in-Aid for Scientific Research [21K06331] Funding Source: KAKEN</t>
  </si>
  <si>
    <t>Institute for Cosmic Ray Research, University of Tokyo; Japan Society for the Promotion of Science(Ministry of Education, Culture, Sports, Science and Technology, Japan (MEXT)Japan Society for the Promotion of Science); Sumitomo Foundation for Environmental Research Projects; Grants-in-Aid for Scientific Research(Ministry of Education, Culture, Sports, Science and Technology, Japan (MEXT)Japan Society for the Promotion of ScienceGrants-in-Aid for Scientific Research (KAKENHI))</t>
  </si>
  <si>
    <t>This work was partially supported by the joint research program of the Institute for Cosmic Ray Research, University of Tokyo. This work was partially supported by grants from the Japan Society for the Promotion of Science (21K06331) and the Sumitomo Foundation for Environmental Research Projects (193109).</t>
  </si>
  <si>
    <t>10.1080/15230430.2021.2022995</t>
  </si>
  <si>
    <t>YN0UH</t>
  </si>
  <si>
    <t>WOS:000746982100001</t>
  </si>
  <si>
    <t>Phi, KH; So, JE; Kim, JH; Koo, MH; Kim, JH; Kim, D; Lee, JH; Lee, S; Youn, UJ</t>
  </si>
  <si>
    <t>Phi, Kim-Hoa; So, Jae Eun; Kim, Ji Hee; Koo, Man Hyung; Kim, Jin-Hyoung; Kim, Dockyu; Lee, Jun Hyuck; Lee, Seulah; Youn, Ui Joung</t>
  </si>
  <si>
    <t>Chemical constituents from the Antarctic lichen Usnea aurantiaco-atra and their chemotaxonomic significance</t>
  </si>
  <si>
    <t>BIOCHEMICAL SYSTEMATICS AND ECOLOGY</t>
  </si>
  <si>
    <t>Usnea aurantiaco-atra; Antarctic lichen; Dibenzofuran; Sterol; p -Terphenyl</t>
  </si>
  <si>
    <t>ANTIBACTERIAL ACTIVITIES; PHENOLIC-COMPOUNDS; ACID-DERIVATIVES; USNIC ACID; ANTIOXIDANT; METABOLISM</t>
  </si>
  <si>
    <t>Chemical investigation of the Antarctic lichen Usnea aurantiaco-atra led to the isolation and identification of eight compounds, including a dibenzofuran derivative (1), three phenolics (2, 7, 8), a p-terphenyl (3), and three sterols (4-6). The structures of the isolated compounds (1-8) were elucidated by 1H and 13C NMR spectroscopic ana-lyses and comparisons with previously reported data. All compounds (1-8) were isolated from this species for the first time. The current study is also the first report of the identification of two compounds, pentamethoxy-p- terphenyl and 9,11-dehydroergosterol peroxide, from the Usnea genus. Meanwhile, the chemotaxonomic value of all isolates is also discussed in this paper.</t>
  </si>
  <si>
    <t>[Phi, Kim-Hoa; So, Jae Eun; Kim, Ji Hee; Kim, Jin-Hyoung; Kim, Dockyu; Youn, Ui Joung] Korea Polar Res Inst, Div Life Sci, Incheon 21990, South Korea; [Phi, Kim-Hoa; So, Jae Eun; Kim, Jin-Hyoung; Kim, Dockyu; Lee, Jun Hyuck; Youn, Ui Joung] Univ Sci &amp; Technol, Dept Polar Sci, Daejeon 34113, South Korea; [Koo, Man Hyung; Lee, Jun Hyuck] Korea Polar Res Inst, Res Unit Cryogen Novel Mat, Incheon 21990, South Korea; [Lee, Seulah] Kyung Hee Univ, Coll Life Sci, Dept Oriental Med Biotechnol, Yongin 17104, South Korea</t>
  </si>
  <si>
    <t>Korea Polar Research Institute (KOPRI); University of Science &amp; Technology (UST); Korea Polar Research Institute (KOPRI); Kyung Hee University</t>
  </si>
  <si>
    <t>Youn, UJ (corresponding author), Korea Polar Res Inst, Div Life Sci, Incheon 21990, South Korea.;Lee, S (corresponding author), Kyung Hee Univ, Coll Life Sci, Dept Oriental Med Biotechnol, Yongin 17104, South Korea.</t>
  </si>
  <si>
    <t>lee.seulah@khu.ac.kr; ujyoun@kopri.re.kr</t>
  </si>
  <si>
    <t>Ministry of Oceans and Fisheries, Korea [20200610, PM22030]; Korea Polar Research Institute (KOPRI) [PE22160]</t>
  </si>
  <si>
    <t>Ministry of Oceans and Fisheries, Korea; Korea Polar Research Institute (KOPRI)(Korea Polar Research Institute of Marine Research Placement (KOPRI))</t>
  </si>
  <si>
    <t>This work was part of a project titled Development of potential antibiotic compounds using polar organism resources (20200610, KOPRI Grant PM22030), funded by the Ministry of Oceans and Fish-eries, Korea. This study was also supported by the Korea Polar Research Institute (KOPRI; grant number PE22160).</t>
  </si>
  <si>
    <t>0305-1978</t>
  </si>
  <si>
    <t>1873-2925</t>
  </si>
  <si>
    <t>BIOCHEM SYST ECOL</t>
  </si>
  <si>
    <t>Biochem. Syst. Ecol.</t>
  </si>
  <si>
    <t>10.1016/j.bse.2022.104581</t>
  </si>
  <si>
    <t>Biochemistry &amp; Molecular Biology; Ecology; Evolutionary Biology</t>
  </si>
  <si>
    <t>Biochemistry &amp; Molecular Biology; Environmental Sciences &amp; Ecology; Evolutionary Biology</t>
  </si>
  <si>
    <t>8C0NW</t>
  </si>
  <si>
    <t>WOS:000917315700001</t>
  </si>
  <si>
    <t>Andrews-Goff, V; Bell, EM; Miller, BS; Wotherspoon, SJ; Double, MC</t>
  </si>
  <si>
    <t>Andrews-Goff, Virginia; Bell, Elanor M.; Miller, Brian S.; Wotherspoon, Simon J.; Double, Michael C.</t>
  </si>
  <si>
    <t>Satellite tag derived data from two Antarctic blue whales (Balaenoptera musculus intermedia) tagged in the east Antarctic sector of the Southern Ocean</t>
  </si>
  <si>
    <t>BIODIVERSITY DATA JOURNAL</t>
  </si>
  <si>
    <t>Article; Data Paper</t>
  </si>
  <si>
    <t>satellite telemetry; satellite tag; Antarctic blue whale; conservation; management; foraging; Antarctica</t>
  </si>
  <si>
    <t>CETACEANS; MOVEMENTS</t>
  </si>
  <si>
    <t>Background Satellite tags were deployed on two Antarctic blue whales (Balaenoptera musculus intermedia) in the east Antarctic sector of the Southern Ocean as part of the International Whaling Commission's Southern Ocean Research Partnership initiative. The satellite tracks generated are the first and currently, the only, satellite telemetry data that exist for this critically endangered species. These data provide valuable insights into the movements of Antarctic blue whales on their Antarctic feeding ground. The data were collected between February and April 2013 and span a 110 &amp; DEG; longitudinal range.</t>
  </si>
  <si>
    <t>[Andrews-Goff, Virginia; Bell, Elanor M.; Miller, Brian S.; Wotherspoon, Simon J.; Double, Michael C.] Australian Antarctic Div, Kingston, Australia</t>
  </si>
  <si>
    <t>Australian Antarctic Division</t>
  </si>
  <si>
    <t>Andrews-Goff, V (corresponding author), Australian Antarctic Div, Kingston, Australia.</t>
  </si>
  <si>
    <t>virginia.andrews-goff@aad.gov.au</t>
  </si>
  <si>
    <t>Miller, Brian/0000-0001-7615-3044; Andrews-Goff, Virginia/0000-0002-4609-7317</t>
  </si>
  <si>
    <t>PENSOFT PUBLISHERS</t>
  </si>
  <si>
    <t>12 PROF GEORGI ZLATARSKI ST, SOFIA, 1700, BULGARIA</t>
  </si>
  <si>
    <t>1314-2836</t>
  </si>
  <si>
    <t>1314-2828</t>
  </si>
  <si>
    <t>BIODIVERS DATA J</t>
  </si>
  <si>
    <t>Biodiver. Data J.</t>
  </si>
  <si>
    <t>DEC 30</t>
  </si>
  <si>
    <t>e94228</t>
  </si>
  <si>
    <t>10.3897/BDJ.10.e94228</t>
  </si>
  <si>
    <t>Biodiversity Conservation</t>
  </si>
  <si>
    <t>Biodiversity &amp; Conservation</t>
  </si>
  <si>
    <t>7X7JD</t>
  </si>
  <si>
    <t>WOS:000914373100002</t>
  </si>
  <si>
    <t>Balakrishnan, S; Rahman, RNZRA; Noor, NDM; Latip, W; Ali, MSM</t>
  </si>
  <si>
    <t>Balakrishnan, S.; Rahman, R. N. Z. R. A.; Noor, N. D. M.; Latip, W.; Ali, M. S. M.</t>
  </si>
  <si>
    <t>Molecular dynamics simulation and structural analysis of aquaporin Z from an Antarctic Pseudomonas sp. strain AMS3</t>
  </si>
  <si>
    <t>JOURNAL OF BIOMOLECULAR STRUCTURE &amp; DYNAMICS</t>
  </si>
  <si>
    <t>Antarctic; Pseudomonas sp; AMS3; aquaporin; molecular dynamics; homology modelling</t>
  </si>
  <si>
    <t>WATER; DIVERSITY; EVOLUTION; INSIGHTS</t>
  </si>
  <si>
    <t>Aquaporin is a water channel protein that facilitates the movement of water across the cell membrane. Aquaporin from the Antarctic region has been noted for its psychrophilic properties and its ability to perform at a lower temperature but there remains limited understanding of the water mechanism of Antarctic Pseudomonas sp. strain AMS3 However, studies regarding aquaporin isolated from psychrophilic Pseudomonas sp. are still scattered. Recently, the genome sequence of an Antarctic Pseudomonas sp. strain AMS3 revealed a gene sequence encoding for a putative aquaporin designated as AqpZ1 AMS3. In this study, structure analysis and a molecular dynamics (MD) simulation of a predicted model of a fully hydrated aquaporin tetramer embedded in a lipid bilayer was performed at different temperatures for structural flexibility and stability analysis. The MD simulation results revealed that the structures were able to remain stable at low to medium temperatures. The protein was observed to have high flexibility in the loop region as compared to the helices region throughout the simulated temperatures. The selectivity filter and NPA motifs play a major role in solute selectivity and the pore radius of the protein. The structural and functional characterization of this psychrophilic aquaporin provides new insights for the future applications of this protein.Communicated by Ramaswamy H. Sarma</t>
  </si>
  <si>
    <t>[Balakrishnan, S.; Rahman, R. N. Z. R. A.; Noor, N. D. M.; Latip, W.; Ali, M. S. M.] Univ Putra Malaysia, Fac Biotechnol &amp; Biomol Sci, Enzyme &amp; Microbial Technol Res Ctr, Serdang, Selangor, Malaysia; [Balakrishnan, S.; Noor, N. D. M.; Ali, M. S. M.] Univ Putra Malaysia, Fac Biotechnol &amp; Biomol Sci, Dept Biochem, Serdang, Selangor, Malaysia</t>
  </si>
  <si>
    <t>Universiti Putra Malaysia; Universiti Putra Malaysia</t>
  </si>
  <si>
    <t>Ali, MSM (corresponding author), Univ Putra Malaysia, Fac Biotechnol &amp; Biomol Sci, Enzyme &amp; Microbial Technol Res Ctr, Serdang, Selangor, Malaysia.;Ali, MSM (corresponding author), Univ Putra Malaysia, Fac Biotechnol &amp; Biomol Sci, Dept Biochem, Serdang, Selangor, Malaysia.</t>
  </si>
  <si>
    <t>mshukuri@upm.edu.my</t>
  </si>
  <si>
    <t>ALI, MOHD/IUM-6916-2023</t>
  </si>
  <si>
    <t>Ministry of Higher Education through Fundamental Research Grant Scheme; [FRGS/1/2019/STG04/UPM/02/04]</t>
  </si>
  <si>
    <t>Ministry of Higher Education through Fundamental Research Grant Scheme;</t>
  </si>
  <si>
    <t>The author(s) reported there is no funding associated with the work featured in this article.</t>
  </si>
  <si>
    <t>TAYLOR &amp; FRANCIS INC</t>
  </si>
  <si>
    <t>PHILADELPHIA</t>
  </si>
  <si>
    <t>530 WALNUT STREET, STE 850, PHILADELPHIA, PA 19106 USA</t>
  </si>
  <si>
    <t>0739-1102</t>
  </si>
  <si>
    <t>1538-0254</t>
  </si>
  <si>
    <t>J BIOMOL STRUCT DYN</t>
  </si>
  <si>
    <t>J. Biomol. Struct. Dyn.</t>
  </si>
  <si>
    <t>DEC 29</t>
  </si>
  <si>
    <t>10.1080/07391102.2022.2164519</t>
  </si>
  <si>
    <t>Biochemistry &amp; Molecular Biology; Biophysics</t>
  </si>
  <si>
    <t>Y9BQ7</t>
  </si>
  <si>
    <t>WOS:000907247000001</t>
  </si>
  <si>
    <t>Santana, M; Batista, JAD</t>
  </si>
  <si>
    <t>Santana, Marcelo; Batista, Jose Anderson do Nascimento</t>
  </si>
  <si>
    <t>Spatiotemporal variability of precipitations and relationship with large-scale atmospheric indices in the Urubupunga Hydroelectric Cascade catchment area, Brazil</t>
  </si>
  <si>
    <t>JOURNAL OF SOUTH AMERICAN EARTH SCIENCES</t>
  </si>
  <si>
    <t>Standardized precipitation index; Varimax rotation; Composite analysis; Paran?a river; Large-scale atmospheric indices</t>
  </si>
  <si>
    <t>PARANA RIVER; EL-NINO; DROUGHT; RAINFALL; PATTERN; CHINA; OSCILLATION; TEMPERATURE; IMPACTS; EVENTS</t>
  </si>
  <si>
    <t>The proper isolation of climate effects over the water resources needs accurate knowledge of the precipitation regime. The Urubupung ' a Hydroelectric Cascade catchment area (UHC) overlaps more than half Itaipu Hydro-electric Plant catchment area in the Paran ' a River, in Brazil, which recently faced its first ever predicted water emergency. This study determines the spatiotemporal patterns of both droughts and excessive precipitations in the UHC catchment area with the principal component analysis (PCA) and constant wavelet analysis (CWT) and their global teleconnections with composite analysis and cross-wavelet analysis (XWT). The precipitation data used include 166 rain gauges with 42 years length (1976-2017) and were indexed by the Standardized Pre-cipitation Index (SPI) during the dry season, the wet season and the water year. The rotation of Empirical Orthogonal Functions (EOF) with the varimax method revealed five sub-regions of temporal patterns in the study area. The dry season was the only that showed consistent EOF in all sub-regions, whose temporal pattern showed gradual and instant changes both concentrated northern and instant changes mostly in the 1990 decade. The composite analysis presented both positive and negative anomalies directly related with precipitations over two atmospheric indices, which are the Pacific Decadal Ocean and the Atlantic Multidecadal Ocean. The tele-connections of UHC with atmospheric indices of the Antarctic continent oscillations should be deeply investi-gated, since it had strong influence in XWT analysis but a slightly behavior in the composite analysis.</t>
  </si>
  <si>
    <t>[Santana, Marcelo; Batista, Jose Anderson do Nascimento] State Univ Campinas UNICAMP, Fac Civil Engn Architecture &amp; Urban Design, Water Resources Dept, CP 6143, BR-13083 Campinas, SP, Brazil</t>
  </si>
  <si>
    <t>Universidade Estadual de Campinas</t>
  </si>
  <si>
    <t>Santana, M (corresponding author), State Univ Campinas UNICAMP, Fac Civil Engn Architecture &amp; Urban Design, Water Resources Dept, CP 6143, BR-13083 Campinas, SP, Brazil.</t>
  </si>
  <si>
    <t>maarcelosantana92@gmail.com</t>
  </si>
  <si>
    <t>Coordination of Superior Level Staff Improvement (national acronym CAPES) [001]</t>
  </si>
  <si>
    <t>Coordination of Superior Level Staff Improvement (national acronym CAPES)</t>
  </si>
  <si>
    <t>This study was financed in part with a doctoral scholarship from Coordination of Superior Level Staff Improvement (national acronym CAPES) - Finance Code 001.</t>
  </si>
  <si>
    <t>0895-9811</t>
  </si>
  <si>
    <t>1873-0647</t>
  </si>
  <si>
    <t>J S AM EARTH SCI</t>
  </si>
  <si>
    <t>J. South Am. Earth Sci.</t>
  </si>
  <si>
    <t>10.1016/j.jsames.2022.104174</t>
  </si>
  <si>
    <t>H2LL3</t>
  </si>
  <si>
    <t>WOS:000994330600001</t>
  </si>
  <si>
    <t>Zhu, K; Schiller, M; Groen, M; Alexander, CMO; Davidson, J; Schrader, DL; Bischoff, A; Bizzarro, M; Weyer, S</t>
  </si>
  <si>
    <t>Zhu, Ke; Schiller, Martin; Groen, Mirek; Alexander, Conel M. O'D.; Davidson, Jemma; Schrader, Devin L.; Bischoff, Addi; Bizzarro, Martin; Weyer, Stefan</t>
  </si>
  <si>
    <t>Chondrite diversity revealed by chromium, calcium and magnesium isotopes</t>
  </si>
  <si>
    <t>GEOCHIMICA ET COSMOCHIMICA ACTA</t>
  </si>
  <si>
    <t>Chondrites; Cr Ca and Mg isotopes; Mass-independent isotope fractionation; CC-NC dichotomy; 26Al-26Mg Isochron; 53Mn-53Cr Isochron; Meteorite classification</t>
  </si>
  <si>
    <t>EARLY SOLAR-SYSTEM; METEORITICAL BULLETIN; OXYGEN-ISOTOPE; PARENT BODIES; CHEMICAL-COMPOSITION; QUANTITATIVE MODELS; AQUEOUS ALTERATION; BUILDING-BLOCKS; TAGISH LAKE; ORIGIN</t>
  </si>
  <si>
    <t>Chondrites are undifferentiated meteorites that can provide information on the compositions of materials in the early solar System, including the building blocks of the terrestrial planets. While most chondrites belong to well-defined groups based on their mineralogy and chemical composition, a minor fraction have unusual characteristics and are classified as ungrouped chondrites. These ungrouped chondrites reflect the diversity of chondritic materials in the early solar system; however, they are not as well stud-ied as grouped meteorites and their origins are poorly understood. In this study, we present high -precision mass-independent Cr, Ca and Mg isotope data for 17 ungrouped chondrites. The epsilon 54Cr and epsilon 48Ca (epsilon expresses parts per ten thousand mass-independent isotope deviation) data for ungrouped chon-drites also provide important constraints for assessing their relationships to the known chondrite groups, and the radiogenic Mg isotope ratios (mu 26Mg*) can be used to track the early solar system history. We also present the first high-precision data for a Kakangari (KC) chondrite, an enstatite chondrite, and for four enstatite-rich meteorites. The epsilon 54Cr and epsilon 48Ca values for the KC are-0.44 +/- 0.04 and-1.30 +/- 0.25, respec-tively, and epsilon 48Ca value for SAH 97096 (EH3) is-0.19 +/- 0.22 that overlaps with that of those of Earth -Moon system and ordinary chondrites. All the carbonaceous chondrite-like (CC) ungrouped chondrites show positive epsilon 54Cr and epsilon 48Ca values, and all the non-carbonaceous chondrite-like (NC) ungrouped chon-drites and KCs (also belong to the NC trend) show zero or negative epsilon 54Cr and epsilon 48Ca values. This observa-tion confirms the CC-NC dichotomy for primitive solar system materials. LEW 87232 (KC) also shows the highest 55Mn/52Cr ratio and epsilon 53Cr value amongst all the chondrites. There is a positive trend between 55Mn/52Cr ratios and epsilon 53Cr values among all the chondrites that mostly reflects a mixing between mul-tiple chondritic components. Previously it has been reported that there is a bulk 26Al-26Mg correlation line amongst chondrites. This correlation has been interpreted as being due to mixing of CAIs (high 27Al/24Mg ratios and mu 26Mg* values) and other silicate material (e.g., chondrules and matrix). By provid-ing additional 26Al-26Mg chondrite data, we show that there is no 26Al-26Mg correlation line for the chon-drites, ruling out the two-endmember (i.e., CAIs and other silicates) mixing model.(c) 2022 The Author(s). Published by Elsevier Ltd. This is an open access article under the CC BY license (http://creativecommons.org/licenses/by/4.0/).</t>
  </si>
  <si>
    <t>[Zhu, Ke] Free Univ Berlin, Inst Geol Wissensch, Malteserstr 74-100, D-12249 Berlin, Germany; [Zhu, Ke] Univ Paris Cite, Inst Phys Globe Paris, CNRS UMR 7154, 1 rue Jussieu, F-75005 Paris, France; [Schiller, Martin; Groen, Mirek; Bizzarro, Martin] Univ Copenhagen, Globe Inst, Ctr Star &amp; Planet Format, Oster Voldgade 5-7, DK-1350 Copenhagen, Denmark; [Alexander, Conel M. O'D.] Carnegie Inst Sci, Earth &amp; Planets Lab, 5241 Broad Branch Rd, Washington, DC 20015 USA; [Davidson, Jemma; Schrader, Devin L.] Arizona State Univ, Buseck Ctr Meteorite Studies, Sch Earth &amp; Space Explorat, 781 East Terrace Rd, Tempe, AZ 85287 USA; [Bischoff, Addi] Westfal Wilhelms Univ Munster, Inst Planetol, Wilhelm Klemm Str 10, D-48149 Munster, Germany; [Zhu, Ke] Univ Bristol, Sch Earth Sci, Bristol Isotope Grp, Wills Mem Bldg,Queens Rd, Bristol BS8 1RJ, England</t>
  </si>
  <si>
    <t>Free University of Berlin; Universite Paris Cite; Centre National de la Recherche Scientifique (CNRS); CNRS - National Institute for Earth Sciences &amp; Astronomy (INSU); University of Copenhagen; Carnegie Institution for Science; Arizona State University; Arizona State University-Tempe; University of Munster; University of Bristol</t>
  </si>
  <si>
    <t>Zhu, K (corresponding author), Univ Bristol, Sch Earth Sci, Bristol Isotope Grp, Wills Mem Bldg,Queens Rd, Bristol BS8 1RJ, England.</t>
  </si>
  <si>
    <t>ke.zhu@bristol.ac.uk</t>
  </si>
  <si>
    <t>Schrader, Devin L/H-6293-2012; Alexander, Conel M. O'D./N-7533-2013; Schiller, Martin/E-8054-2010; ZHU, Ke/P-4849-2019; Bizzarro, Martin/I-8701-2012</t>
  </si>
  <si>
    <t>Alexander, Conel M. O'D./0000-0002-8558-1427; Schiller, Martin/0000-0003-4149-0627; ZHU, Ke/0000-0003-3613-7239; Bizzarro, Martin/0000-0001-9966-2124; Schrader, Devin/0000-0001-5282-232X</t>
  </si>
  <si>
    <t>Alexander von Humboldt postdoc fellowship; China Scholarship Council (CSC) [201706340161]; UK STFC [ST/V000888/1]; European Research Council [637503-PRISTINE]; UnivEarthS Labex program at Sorbonne Paris Cite [ANR-10-LABX-0023, ANR-11-IDEX-0005-02]; ANR through a chaire d'excellence Sorbonne Paris Cite; Carlsberg Foundation [CF18-1105]; Danish National Research Foundation [DNRF97]; European Research Council (ERC Advanced Grant Agreement) [833275-DEEPTIME]; Villum Fonden [00025333]; IPGP multidisciplinary program PARI; Paris-IdF region SESAME [12015908]; NSF; NASA</t>
  </si>
  <si>
    <t>Alexander von Humboldt postdoc fellowship(Alexander von Humboldt Foundation); China Scholarship Council (CSC)(China Scholarship Council); UK STFC(UK Research &amp; Innovation (UKRI)Science &amp; Technology Facilities Council (STFC)); European Research Council(European Research Council (ERC)); UnivEarthS Labex program at Sorbonne Paris Cite; ANR through a chaire d'excellence Sorbonne Paris Cite(Agence Nationale de la Recherche (ANR)); Carlsberg Foundation(Carlsberg Foundation); Danish National Research Foundation(Danmarks Grundforskningsfond); European Research Council (ERC Advanced Grant Agreement)(European Research Council (ERC)); Villum Fonden(Villum Fonden); IPGP multidisciplinary program PARI; Paris-IdF region SESAME; NSF(National Science Foundation (NSF)); NASA(National Aeronautics &amp; Space Administration (NASA))</t>
  </si>
  <si>
    <t>K. Z. thanks Alexander von Humboldt postdoc fellowship, China Scholarship Council (CSC) PhD fellowship (#201706340161), and a UK STFC grant (#ST/V000888/1). F. M. acknowledges funding from the European Research Council under the H2020 framework program/ERC Starting Grant Agreement (#637503-PRISTINE) and financial support of the UnivEarthS Labex program at Sorbonne Paris Cite (#ANR-10-LABX-0023 and #ANR-11-IDEX-0005-02), and the ANR through a chaire d'excellence Sorbonne Paris Cite. M. B. acknowledges funding the Carlsberg Foundation (CF18-1105), the Danish National Research Foundation (DNRF97) and the European Research Council (ERC Advanced Grant Agreement, #833275-DEEPTIME). M. S. acknowledges funding from the Villum Fonden (#00025333). Pierre Burckel is acknowledged for ICP-MS analysis, and Matt Jackson is acknowledged for providing the two terrestrial peridotites. Parts of this work were supported by IPGP multidisciplinary program PARI, and by Paris-IdF region SESAME (#12015908).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Yun Jiang is appreciated for providing Ningqiang meteorite. Comments from Stefan Weyer (AE) and three anonymous reviewers improved this manuscript.</t>
  </si>
  <si>
    <t>0016-7037</t>
  </si>
  <si>
    <t>1872-9533</t>
  </si>
  <si>
    <t>GEOCHIM COSMOCHIM AC</t>
  </si>
  <si>
    <t>Geochim. Cosmochim. Acta</t>
  </si>
  <si>
    <t>10.1016/j.gca.2022.12.014</t>
  </si>
  <si>
    <t>8K5VI</t>
  </si>
  <si>
    <t>WOS:000923168700001</t>
  </si>
  <si>
    <t>Lukashanets, DA; Maisak, NN</t>
  </si>
  <si>
    <t>Lukashanets, Dzmitry A.; Maisak, Natallia N.</t>
  </si>
  <si>
    <t>Bdelloid rotifers (Bdelloidea, Rotifera) in shallow freshwater ecosystems of Thala Hills, East Antarctica</t>
  </si>
  <si>
    <t>Temporary ponds; Lakes; Antarctic oases; Adineta; Philodinida</t>
  </si>
  <si>
    <t>VICTORIA LAND; DIVERSITY; LAKES; DISPERSAL; ASSEMBLAGES; HABITATS</t>
  </si>
  <si>
    <t>Shallow waters, little-studied in Continental Antarctica, among other micrometazoans host bdelloid rotifers, which diversity, ecology, and distributional patterns in turn are poorly known. To address these issues, we analysed plankton samples collected during the 2018/2019 season in the Thala Hills oasis (East Antarctica), in shallow freshwater lakes and temporary ponds that formed during intense snow melting in December-January. Bdelloids were present in more than 90% of the sites with nine species revealed. The most frequent were Antarctic endemics [Philodina gregaria (P. gregaria), Adineta grandis (A. grandis), and Adineta coatsi (A. coatsi)], while some non-abundant bdelloids either provide characteristics of widely distributed taxa or require further taxonomy studies as they can be species new for the science. The abundance of bdelloids varied greatly across studied sites and localities, with a maximum of more than 700,000 ind m(-3) and an increasing tendency to be more numerous in rock-basin temporary ponds, compared to larger lakes, with variability for different taxa. The environmental parameters strongly explain the bdelloid distribution (78.4% of the variation), with the most important factors being the type of bottom (9.9%), altitude (8.0%), TDS (6.6%), and salinity (6.5%). The cyanobacterial mats from the bottom didn't contribute much to bdelloid distributional patterns, despite being known to be a preferred habitat for micrometazoans including rotifers. These results shape a perspective to study the processes of the formation of Antarctic seasonal aquatic habitats settled by organisms, which demonstrate an ecomorphological range from planktonic organisms to crawling 'scrapers'.</t>
  </si>
  <si>
    <t>[Lukashanets, Dzmitry A.] Klaipeda Univ, Marine Res Inst, Klaipeda, Lithuania; [Lukashanets, Dzmitry A.] Polish Acad Sci, Inst Oceanol, Sopot, Poland; [Maisak, Natallia N.] Natl Acad Sci Belarus, Sci &amp; Pract Ctr Bioresources, Minsk, BELARUS</t>
  </si>
  <si>
    <t>Klaipeda University; Polish Academy of Sciences; Institute of Oceanology of the Polish Academy of Sciences; National Academy of Sciences of Belarus (NASB); Scientific &amp; Practical Center for Bioresources of the National Academy of Sciences of Belarus</t>
  </si>
  <si>
    <t>Lukashanets, DA (corresponding author), Klaipeda Univ, Marine Res Inst, Klaipeda, Lithuania.;Lukashanets, DA (corresponding author), Polish Acad Sci, Inst Oceanol, Sopot, Poland.</t>
  </si>
  <si>
    <t>lukashanets.dima@gmail.com</t>
  </si>
  <si>
    <t>Maisak, Natallia/0000-0001-8872-1141</t>
  </si>
  <si>
    <t>10.1007/s00300-022-03106-4</t>
  </si>
  <si>
    <t>7T3OU</t>
  </si>
  <si>
    <t>WOS:000905884900001</t>
  </si>
  <si>
    <t>Delhaye, LJ; Elskens, M; Ricaurte-Villota, C; Cerpa, L; Kochzius, M</t>
  </si>
  <si>
    <t>Delhaye, Louise J.; Elskens, Marc; Ricaurte-Villota, Constanza; Cerpa, Luis; Kochzius, Marc</t>
  </si>
  <si>
    <t>Baseline concentrations, spatial distribution and origin of trace elements in marine surface sediments of the northern Antarctic Peninsula</t>
  </si>
  <si>
    <t>MARINE POLLUTION BULLETIN</t>
  </si>
  <si>
    <t>Trace metals; ICP-MS; FP-XRF; Southern Ocean; Contamination</t>
  </si>
  <si>
    <t>KING-GEORGE ISLAND; HEAVY-METAL CONCENTRATIONS; WESTERN BRANSFIELD STRAIT; TERRA-NOVA BAY; ADMIRALTY BAY; LATERNULA-ELLIPTICA; DECEPTION-ISLAND; COASTAL; ACCUMULATION; POLLUTION</t>
  </si>
  <si>
    <t>Increased human activity in the Antarctic Peninsula combined with accelerated melting of its glaciers highlights the importance of monitoring trace element concentrations. Surface sediment samples were collected around King George Island, Hope Bay and in the Bransfield Strait in February 2020 and were analysed by X-ray fluorescence spectroscopy and inductively coupled plasma mass spectrometry. The methods display a good correlation. Our results show clear distinctions between these regions for selected elements with high local heterogeneities. Hope Bay exhibited lower concentrations of Fe, Mn, Co, V, Zn while most stations in the Bransfield Strait and around King George Island showed moderate to significant enrichment in Cu, As and Cd. Twelve stations presented a moderate ecological risk. The consistency of our values supports a natural rather than anthropogenic origin, possibly related to volcanism and the geology of the area. However, our results suggest an increase in Cr that should be further investigated.</t>
  </si>
  <si>
    <t>[Delhaye, Louise J.; Kochzius, Marc] Vrije Univ Brussel VUB, Marine Biol Ecol &amp; Biodivers, B-1050 Brussels, Belgium; [Elskens, Marc] Vrije Univ Brussel VUB, Analyt Environm &amp; Geochem Lab, B-1050 Brussels, Belgium; [Ricaurte-Villota, Constanza] Inst Marine &amp; Coastal Res INVEMAR, Program Marine &amp; Coastal Geosci, St Marta, Colombia; [Cerpa, Luis] Inst Geol Minero &amp; Metalurg INGEMMET, Lima, Peru; [Delhaye, Louise J.] Royal Belgian Inst Nat Sci RBINS, Operat Directorate Nat Environm, Vautierstr 29, B-1000 Brussels, Belgium</t>
  </si>
  <si>
    <t>Vrije Universiteit Brussel; Vrije Universiteit Brussel; Instituto Geologico Minero Metalurgico; Royal Belgian Institute of Natural Sciences</t>
  </si>
  <si>
    <t>Delhaye, LJ (corresponding author), Royal Belgian Inst Nat Sci RBINS, Operat Directorate Nat Environm, Vautierstr 29, B-1000 Brussels, Belgium.</t>
  </si>
  <si>
    <t>ldelhaye@naturalsciences.be</t>
  </si>
  <si>
    <t>Kochzius, Marc/0000-0001-8953-4719; Elskens, Marc/0000-0002-8862-9422</t>
  </si>
  <si>
    <t>Belgian Science Policy Office (BELSPO); Directorate of Antarctic Affairs of the Ministry of Foreign Affairs of Peru; VLIR-UOS travel grant</t>
  </si>
  <si>
    <t>Belgian Science Policy Office (BELSPO)(Belgian Federal Science Policy Office); Directorate of Antarctic Affairs of the Ministry of Foreign Affairs of Peru; VLIR-UOS travel grant</t>
  </si>
  <si>
    <t>This work was supported by the Belgian Science Policy Office (BELSPO), the Directorate of Antarctic Affairs of the Ministry of Foreign Affairs of Peru and a VLIR-UOS travel grant.</t>
  </si>
  <si>
    <t>0025-326X</t>
  </si>
  <si>
    <t>1879-3363</t>
  </si>
  <si>
    <t>MAR POLLUT BULL</t>
  </si>
  <si>
    <t>Mar. Pollut. Bull.</t>
  </si>
  <si>
    <t>10.1016/j.marpolbul.2022.114501</t>
  </si>
  <si>
    <t>Environmental Sciences; Marine &amp; Freshwater Biology</t>
  </si>
  <si>
    <t>Environmental Sciences &amp; Ecology; Marine &amp; Freshwater Biology</t>
  </si>
  <si>
    <t>C8YJ8</t>
  </si>
  <si>
    <t>Green Submitted, Green Published</t>
  </si>
  <si>
    <t>WOS:000964707800001</t>
  </si>
  <si>
    <t>Dong, Y; Pauling, AG; Sadai, S; Armour, KC</t>
  </si>
  <si>
    <t>Dong, Yue; Pauling, Andrew G.; Sadai, Shaina; Armour, Kyle C.</t>
  </si>
  <si>
    <t>Antarctic Ice-Sheet Meltwater Reduces Transient Warming and Climate Sensitivity Through the Sea-Surface Temperature Pattern Effect</t>
  </si>
  <si>
    <t>GEOPHYSICAL RESEARCH LETTERS</t>
  </si>
  <si>
    <t>SOUTHERN-OCEAN; RADIATIVE FEEDBACKS; PACIFIC; TRENDS; MODEL; DEPENDENCE; SALINITY; IMPACTS; DRIVEN; WATER</t>
  </si>
  <si>
    <t>Coupled global climate models (GCMs) generally fail to reproduce the observed sea-surface temperature (SST) trend pattern since the 1980s. The model-observation discrepancies may arise in part from the lack of realistic Antarctic ice-sheet meltwater input in GCMs. Here we employ two sets of CESM1-CAM5 simulations forced by anomalous Antarctic meltwater fluxes over 1980-2013 and through the 21st century. Both show a reduced global warming rate and an SST trend pattern that better resembles observations. The meltwater drives surface cooling in the Southern Ocean and the tropical southeast Pacific, in turn increasing low-cloud cover and driving radiative feedbacks to become more stabilizing (corresponding to a lower effective climate sensitivity). These feedback changes can contribute as substantially as ocean heat uptake efficiency changes in reducing the global warming rate. Accurately projecting historical and future warming thus requires improved representation of Antarctic meltwater and its impacts.</t>
  </si>
  <si>
    <t>[Dong, Yue] Columbia Univ, Lamont Doherty Earth Observ, Palisades, NY 10964 USA; [Dong, Yue] Univ Corp Atmospher Res, Cooperat Programs Adv Earth Syst Sci, Boulder, CO 80307 USA; [Pauling, Andrew G.; Armour, Kyle C.] Univ Washington, Dept Atmospher Sci, Seattle, WA 98195 USA; [Sadai, Shaina] Union Concerned Scientists, Cambridge, MA USA; [Sadai, Shaina] Univ Massachusetts, Dept Geosci, Amherst, MA 01003 USA; [Armour, Kyle C.] Univ Washington, Sch Oceanog, Seattle, WA 98195 USA</t>
  </si>
  <si>
    <t>Columbia University; National Center Atmospheric Research (NCAR) - USA; University of Washington; University of Washington Seattle; University of Massachusetts System; University of Massachusetts Amherst; University of Washington; University of Washington Seattle</t>
  </si>
  <si>
    <t>Dong, Y (corresponding author), Columbia Univ, Lamont Doherty Earth Observ, Palisades, NY 10964 USA.;Dong, Y (corresponding author), Univ Corp Atmospher Res, Cooperat Programs Adv Earth Syst Sci, Boulder, CO 80307 USA.</t>
  </si>
  <si>
    <t>yd2644@columbia.edu</t>
  </si>
  <si>
    <t>Pauling, Andrew/0000-0003-4545-0809; Sadai, Shaina/0000-0002-6723-6531; Dong, Yue/0000-0001-6404-3446</t>
  </si>
  <si>
    <t>NOAA Climate and Global Change Postdoctoral Fellowship Program [NA210AR4310383]; National Science Foundation [AGS-1752796]; National Oceanic and Atmospheric Administration MAPP Program [NA20OAR4310391]; Alfred P. Sloan Research Fellowship [FG-2020-13568]; National Science Foundation</t>
  </si>
  <si>
    <t>NOAA Climate and Global Change Postdoctoral Fellowship Program(National Oceanic Atmospheric Admin (NOAA) - USA); National Science Foundation(National Science Foundation (NSF)); National Oceanic and Atmospheric Administration MAPP Program(National Oceanic Atmospheric Admin (NOAA) - USA); Alfred P. Sloan Research Fellowship(Alfred P. Sloan Foundation); National Science Foundation(National Science Foundation (NSF))</t>
  </si>
  <si>
    <t>YD was supported by the NOAA Climate and Global Change Postdoctoral Fellowship Program, administered by UCAR's Cooperative Programs for the Advancement of Earth System Science (CPAESS) under award NA210AR4310383. KCA was supported by the National Science Foundation (Grant AGS-1752796), the National Oceanic and Atmospheric Administration MAPP Program (Award NA20OAR4310391), and an Alfred P. Sloan Research Fellowship (Grant FG-2020-13568). The authors acknowledge high-performance computing support from Cheyenne (https://doi.org/10.5065/D6RX99HX) provided by NCAR's Computational and Information Systems Laboratory, sponsored by the National Science Foundation.</t>
  </si>
  <si>
    <t>0094-8276</t>
  </si>
  <si>
    <t>1944-8007</t>
  </si>
  <si>
    <t>GEOPHYS RES LETT</t>
  </si>
  <si>
    <t>Geophys. Res. Lett.</t>
  </si>
  <si>
    <t>DEC 28</t>
  </si>
  <si>
    <t>e2022GL101249</t>
  </si>
  <si>
    <t>10.1029/2022GL101249</t>
  </si>
  <si>
    <t>8M6XI</t>
  </si>
  <si>
    <t>WOS:000924604600025</t>
  </si>
  <si>
    <t>Silvano, A; Holland, PR; Naughten, KA; Dragomir, O; Dutrieux, P; Jenkins, A; Si, YDF; Stewart, AL; Molino, BP; Janzing, GW; Dotto, TS; Garabato, ACN</t>
  </si>
  <si>
    <t>Silvano, Alessandro; Holland, Paul R.; Naughten, Kaitlin A.; Dragomir, Oana; Dutrieux, Pierre; Jenkins, Adrian; Si, Yidongfang; Stewart, Andrew L.; Molino, Beatriz Pena; Janzing, Gregor W.; Dotto, Tiago S.; Garabato, Alberto C. Naveira</t>
  </si>
  <si>
    <t>Baroclinic Ocean Response to Climate Forcing Regulates Decadal Variability of Ice-Shelf Melting in the Amundsen Sea</t>
  </si>
  <si>
    <t>CIRCUMPOLAR DEEP-WATER; GLACIAL MELTWATER; EMBAYMENT; DRIVEN; INFLOW; SECTOR; WINDS</t>
  </si>
  <si>
    <t>Warm ocean waters drive rapid ice-shelf melting in the Amundsen Sea. The ocean heat transport toward the ice shelves is associated with the Amundsen Undercurrent, a near-bottom current that flows eastward along the shelf break and transports warm waters onto the continental shelf via troughs. Here we use a regional ice-ocean model to show that, on decadal time scales, the undercurrent's variability is baroclinic (depth-dependent). Decadal ocean surface cooling in the tropical Pacific results in cyclonic wind anomalies over the Amundsen Sea. These wind anomalies drive a westward perturbation of the shelf-break surface flow and an eastward anomaly (strengthening) of the undercurrent, leading to increased ice-shelf melting. This contrasts with shorter time scales, for which surface current and undercurrent covary, a barotropic (depth-independent) behavior previously assumed to apply at all time scales. This suggests that interior ocean processes mediate the decadal ice-shelf response in the Amundsen Sea to climate forcing.</t>
  </si>
  <si>
    <t>[Silvano, Alessandro; Dragomir, Oana; Garabato, Alberto C. Naveira] Univ Southampton, Ocean &amp; Earth Sci, Southampton, Hants, England; [Holland, Paul R.; Naughten, Kaitlin A.; Dutrieux, Pierre; Janzing, Gregor W.] British Antarctic Survey, Cambridge, England; [Jenkins, Adrian] Northumbria Univ, Dept Geog &amp; Environm Sci, Newcastle Upon Tyne, Tyne &amp; Wear, England; [Si, Yidongfang; Stewart, Andrew L.] Univ Calif Los Angeles, Dept Atmospher &amp; Ocean Sci, Los Angeles, CA USA; [Molino, Beatriz Pena] CSIRO Oceans &amp; Atmosphere, Hobart, Tas, Australia; [Molino, Beatriz Pena] Ctr Southern Hemisphere Oceans Res, Hobart, Tas, Australia; [Molino, Beatriz Pena] Univ Tasmania, Australian Antarctic Program Partnership, Hobart, Tas, Australia; [Janzing, Gregor W.] Univ Utrecht, Inst Marine &amp; Atmospher Res, Utrecht, Netherlands; [Janzing, Gregor W.] Univ Utrecht, Dept Earth Sci, Utrecht, Netherlands; [Dotto, Tiago S.] Univ East Anglia, Ctr Ocean &amp; Atmospher Sci, Sch Environm Sci, Norwich, Norfolk, England</t>
  </si>
  <si>
    <t>University of Southampton; UK Research &amp; Innovation (UKRI); Natural Environment Research Council (NERC); NERC British Antarctic Survey; Northumbria University; University of California System; University of California Los Angeles; Commonwealth Scientific &amp; Industrial Research Organisation (CSIRO); University of Tasmania; Utrecht University; Utrecht University; University of East Anglia</t>
  </si>
  <si>
    <t>Silvano, A (corresponding author), Univ Southampton, Ocean &amp; Earth Sci, Southampton, Hants, England.</t>
  </si>
  <si>
    <t>A.Silvano@soton.ac.uk</t>
  </si>
  <si>
    <t>Dutrieux, Pierre/GVS-2890-2022; Holland, Paul R/G-2796-2012; Pena-Molino, Beatriz/IYK-0313-2023; Jenkins, Adrian/IUN-2406-2023</t>
  </si>
  <si>
    <t>Dutrieux, Pierre/0000-0002-8066-934X; Pena-Molino, Beatriz/0000-0003-1587-1696; Naughten, Kaitlin/0000-0001-9475-9162; Jenkins, Adrian/0000-0002-9117-0616; Segabinazzi Dotto, Tiago/0000-0003-0565-6941; Si, Yidongfang/0000-0003-3343-406X; Stewart, Andrew/0000-0001-5861-4070; Silvano, Alessandro/0000-0002-6441-1496; Dragomir, Oana/0000-0001-7929-9727</t>
  </si>
  <si>
    <t>UKRI-JSPS project Quantifying Human Influence on Ocean Melting of the West Antarctic Ice Sheet [NE/S011994/1]; NERC [NE/V014285/1]; FIC [NE/S011994/1] Funding Source: UKRI</t>
  </si>
  <si>
    <t>UKRI-JSPS project Quantifying Human Influence on Ocean Melting of the West Antarctic Ice Sheet; NERC(UK Research &amp; Innovation (UKRI)Natural Environment Research Council (NERC)); FIC</t>
  </si>
  <si>
    <t>The authors thank two anonymous reviewers for their constructive comments, which greatly helped to improve this manuscript. This research is part of the UKRI-JSPS project Quantifying Human Influence on Ocean Melting of the West Antarctic Ice Sheet NE/S011994/1. A.S. acknowledges funding from NERC (NE/V014285/1).</t>
  </si>
  <si>
    <t>e2022GL100646</t>
  </si>
  <si>
    <t>10.1029/2022GL100646</t>
  </si>
  <si>
    <t>WOS:000924604600012</t>
  </si>
  <si>
    <t>Zulkipli, SZ; Tan, CP; Seah, YG; Liew, HJ; Sung, YY; Ando, M; Wang, M; Liang, YT; McMinn, A; Mok, WJ</t>
  </si>
  <si>
    <t>Zulkipli, Siti Zuraida; Tan, Chee Ping; Seah, Ying Giat; Liew, Hon Jung; Sung, Yeong Yik; Ando, Masashi; Wang, Min; Liang, Yantao; McMinn, Andrew; Mok, Wen Jye</t>
  </si>
  <si>
    <t>Assessment of mercury contamination and food composition in commercially important marine fishes in the southern South China Sea</t>
  </si>
  <si>
    <t>REGIONAL STUDIES IN MARINE SCIENCE</t>
  </si>
  <si>
    <t>Mercury; Serranidae; Carangidae; Scombridae; Nemipteridae; PTWI</t>
  </si>
  <si>
    <t>RISK-ASSESSMENT; TRACE-ELEMENTS; HEAVY-METALS; BIOACCUMULATION; CONSUMPTION; PRODUCTS; WEIGHT; ORGANS; LEVEL</t>
  </si>
  <si>
    <t>This study examined mercury contamination in common commercial marine fish caught from the South China Sea. Specifically, the muscle tissue mercury levels of four species (n = 10), one each from the Scombridae, Serranidae, Carangidae, and Nemipteridae families, was examined using a direct mercury analyzer (MA-3000); their trophic level was assessed using TrophLab tm software. Provisional tolerable weekly intake levels (PTWI) and the relationships between length-mercury concentration and weight-mercury concentration of species using Pearson correlation coefficient were identified. Samples from the Serranidae family had the highest muscle mercury concentrations, followed by Nemipteridae, Carangidae, and Scombridae in descending order. The results show that the highest mercury concen-trations were found in Epinephelus heniochus (2.34 + 0.22 mu g/g) from the Serranidae family, while the lowest mercury concentrations were found in Scomberomorus guttatus (0.05 + 0.00 mu g/g) from the Scombridae family. This study suggests that factors such as size, composition of food in the fish gut, and habitat had the greatest influence on the mercury levels found in these fishes. The PTWI data showed that only 31% of the species in the current study had not exceeded the recommended safety level of 1.6 mu g/kg BW/week methylmercury intake. A consideration of PTWI can help to reduce fish consumption risks to consumers by providing a recommended consumption level of each fish.(c) 2022 Elsevier B.V. All rights reserved.</t>
  </si>
  <si>
    <t>[Zulkipli, Siti Zuraida; Tan, Chee Ping; Sung, Yeong Yik; Mok, Wen Jye] Univ Malaysia Terengganu, Inst Marine Biotechnol, Kuala Nerus 21030, Terengganu, Malaysia; [Zulkipli, Siti Zuraida; Tan, Chee Ping; Seah, Ying Giat] Univ Malaysia Terengganu, Fac Fisheries &amp; Food Sci, Kuala Nerus 21030, Terengganu, Malaysia; [Seah, Ying Giat] Univ Malaysia Terengganu, Inst Oceanog &amp; Environm, South China Sea Repository &amp; Reference Ctr, Kuala Nerus 21030, Terengganu, Malaysia; [Liew, Hon Jung; Sung, Yeong Yik] Univ Malaysia Terengganu, Higher Inst Ctr Excellence, Inst Trop Aquaculture &amp; Fisheries, Kuala Nerus 21030, Terengganu, Malaysia; [Liew, Hon Jung] Chinese Acad Fishery Sci, Heilongjiang River Fisheries Res Inst, 232 Hesong St, Harbin 150070, Heilongjiang, Peoples R China; [Sung, Yeong Yik; Wang, Min; Liang, Yantao; Mok, Wen Jye] UMT OUC Joint Acad Ctr Marine Studies, Kuala Nerus 21030, Terengganu, Malaysia; [Ando, Masashi] Kindai Univ, Dept Fisheries, Nakamachi 3327-204, Nara 6318505, Japan; [Wang, Min; Liang, Yantao; McMinn, Andrew] Ocean Univ China, Inst Evolut &amp; Marine Biodivers, Coll Marine Life Sci, Frontiers Sci Ctr Deep Ocean Multispheres &amp; Earth, Qingdao 266003, Peoples R China; [McMinn, Andrew] Univ Tasmania, Inst Marine, Antarctic Studies, Hobart, Tas 7001, Australia</t>
  </si>
  <si>
    <t>Universiti Malaysia Terengganu; Universiti Malaysia Terengganu; Universiti Malaysia Terengganu; Universiti Malaysia Terengganu; Chinese Academy of Fishery Sciences; Heilongjiang River Fisheries Research Institute, CAFS; Ocean University of China; University of Tasmania</t>
  </si>
  <si>
    <t>Mok, WJ (corresponding author), Univ Malaysia Terengganu, Inst Marine Biotechnol, Kuala Nerus 21030, Terengganu, Malaysia.</t>
  </si>
  <si>
    <t>mok.jye@umt.edu.my</t>
  </si>
  <si>
    <t>Mok, Wen Jye/AAF-9229-2019; Seah, Ying Giat/I-4906-2015</t>
  </si>
  <si>
    <t>Mok, Wen Jye/0000-0002-7629-8312; Seah, Ying Giat/0000-0002-2976-4448; Yeong, Yik Sung/0000-0001-5897-9037</t>
  </si>
  <si>
    <t>Fundamental Research Grant Scheme (FRGS) from Ministry of Higher Education Malaysia [FRGS/1/2016/STG04/UMT/03/1]</t>
  </si>
  <si>
    <t>Fundamental Research Grant Scheme (FRGS) from Ministry of Higher Education Malaysia</t>
  </si>
  <si>
    <t>Funding This work was supported by the Fundamental Research Grant Scheme (FRGS) from Ministry of Higher Education Malaysia [FRGS/1/2016/STG04/UMT/03/1] .</t>
  </si>
  <si>
    <t>2352-4855</t>
  </si>
  <si>
    <t>REG STUD MAR SCI</t>
  </si>
  <si>
    <t>Reg. Stud. Mar. Sci.</t>
  </si>
  <si>
    <t>10.1016/j.rsma.2022.102795</t>
  </si>
  <si>
    <t>Ecology; Marine &amp; Freshwater Biology</t>
  </si>
  <si>
    <t>7Y7CI</t>
  </si>
  <si>
    <t>WOS:000915032100001</t>
  </si>
  <si>
    <t>Lemos, CA; Hernández, M; Vilardo, C; Phillips, RA; Bugoni, L; Sousa-Pinto, I</t>
  </si>
  <si>
    <t>Lemos, Carolina Alves; Hernandez, Mauricio; Vilardo, Cristiano; Phillips, Richard A.; Bugoni, Leandro; Sousa-Pinto, Isabel</t>
  </si>
  <si>
    <t>Environmental assessment of proposed areas for offshore wind farms off southern Brazil based on ecological niche modeling and a species richness index for albatrosses and petrels</t>
  </si>
  <si>
    <t>GLOBAL ECOLOGY AND CONSERVATION</t>
  </si>
  <si>
    <t>Black-browed Albatross; Environmental impact assessment; Spatial planning; Spectacled Petrel; Target species; Wandering Albatross</t>
  </si>
  <si>
    <t>WHITE-CHINNED PETRELS; MARINE; CONSERVATION; SEABIRDS; PATTERNS; RECOMMENDATIONS; ACCURACY; PLATFORM; OVERLAP; BIAS</t>
  </si>
  <si>
    <t>The increasing number of offshore wind farms (OWFs) proposed off the Brazilian coast is a biodiversity management challenge that needs to be addressed with strategic and targeted environmental impact assessments. The effects of OWFs on birds are much better studied in the northern than southern hemisphere. Knowledge of species distributions is key to developing effective conservation strategies. Ecological niche modeling can support strategic siting decisions and identify the target species for which mitigation of the impacts of OWFs may be required. We used the maximum entropy algorithm (MaxEnt) for modeling species niche suitability, incorpo-rating environmental variables and presence-only data from tracking and at-sea surveys for seven albatrosses and petrels, of which five are threatened by extinction. We used the predicted niche suitability index (NSI) to calculate niche overlaps, assess distribution patterns and generate spatial prioritizations across seasons based on a species richness index (RI). Atlantic Yellow-nosed Albatross Thalassarche chlororhynchos, Atlantic Petrel Pterodroma incerta, and Great Shearwater Ardenna gravis were selected as target species for monitoring in Brazilian shallow waters (0-200 m depth) in the warm season, and Atlantic Yellow-nosed Albatross and White-chinned Petrel Procellaria aequinoctialis in the cold season. The RI was higher in waters between 200 m and 1000 m depth, a preferred area for OWFs with floating foundations. We advocate for the incorporation of niche models in environmental impact studies, as a tool for improving conservation, envi-ronmental planning, and impact assessment.</t>
  </si>
  <si>
    <t>[Lemos, Carolina Alves; Sousa-Pinto, Isabel] Univ Porto, Fac Sci, Dept Biol, Porto, Portugal; [Lemos, Carolina Alves; Vilardo, Cristiano] Minist Environm, Brazilian Inst Environm &amp; Renewable Nat Resources, Brasilia, DF, Brazil; [Hernandez, Mauricio; Vilardo, Cristiano] Univ Fed Rio de Janeiro, Energy Planning Program, Inst Res &amp; Grad Studies Engn, PPE COPPE UFRJ, Rio De Janeiro, RJ, Brazil; [Phillips, Richard A.] NERC, British Antarctic Survey, High Cross,Madingley Rd, Cambridge CB3 0ET, England; [Bugoni, Leandro] Fed Univ Rio Grande FURG, Inst Biol Sci, Waterbirds &amp; Sea Turtles Lab, Rio Grande, RS, Brazil</t>
  </si>
  <si>
    <t>Universidade do Porto; Universidade Federal do Rio de Janeiro; UK Research &amp; Innovation (UKRI); Natural Environment Research Council (NERC); NERC British Antarctic Survey; Universidade Federal do Rio Grande</t>
  </si>
  <si>
    <t>Lemos, CA (corresponding author), Univ Porto, Fac Ciencias, Dept Biol, Rua Campo Alegre S-N, P-4169007 Porto, Portugal.</t>
  </si>
  <si>
    <t>carolina.lemos@ibama.gov.br</t>
  </si>
  <si>
    <t>Hernández C., Mauricio/ADF-7409-2022; Bugoni, Leandro/F-9539-2012; Sousa Pinto, Isabel/G-1497-2010</t>
  </si>
  <si>
    <t>Hernández C., Mauricio/0000-0003-3521-4183; Bugoni, Leandro/0000-0003-0689-7026; Alves Lemos, Carolina/0000-0002-5928-0655; Sousa Pinto, Isabel/0000-0002-9231-0553</t>
  </si>
  <si>
    <t>2351-9894</t>
  </si>
  <si>
    <t>GLOB ECOL CONSERV</t>
  </si>
  <si>
    <t>Glob. Ecol. Conserv.</t>
  </si>
  <si>
    <t>e02360</t>
  </si>
  <si>
    <t>10.1016/j.gecco.2022.e02360</t>
  </si>
  <si>
    <t>E5GB5</t>
  </si>
  <si>
    <t>WOS:000975812000001</t>
  </si>
  <si>
    <t>Wójcik-Dlugoborska, KA; Bialik, RJ</t>
  </si>
  <si>
    <t>Wojcik-Dlugoborska, Kornelia Anna; Bialik, Robert Jozef</t>
  </si>
  <si>
    <t>The Glacial Meltwater Turbidity Algorithm (GaMTA): Adaptation of single-band algorithm retrieving turbidity to satellite and UAV dataset from highly glaciated Antarctic region</t>
  </si>
  <si>
    <t>Algorithm; Turbidity; UAV; Satellite; Glacial meltwater</t>
  </si>
  <si>
    <t>WATER TURBIDITY; COASTAL</t>
  </si>
  <si>
    <t>The growing need for marine polar observations, especially using remote sensing data, necessitates the adaptation of existing algorithms to local conditions. Five satellite imageries acquired by MSI and OLI sensors from 2020 and 2021 depicting Admiralty Bay in King George Island and sixteen multispectral maps created using data from Unoccupied Aerial Vehicles (UAV) flights with a spectral camera over the cove near Zalewski Glacier were analysed. Data were supplemented by field measurements of turbidity. The Glacial Meltwater Turbidity Algorithm (GaMTA) was proposed and compared with well-known semianalytical, single-band algorithms for turbidity retrieval based on spectral imageries of heavily glaciated areas. Comparative analysis showed the ineffectiveness of algorithms applied to medium -resolution satellite images in the area of small glacial coves with high and spatially varying surface water turbidity (R = 0.59-0.61, RMSE = 4.45-7.46), in contrast to open water with low turbidity (R = 0.79-0.88, RMSE = 2.61-3.08). The results from the use of high-resolution UAV data showed the applicability of this algorithm to aerial images (R = 0.96-0.97, RMSE = 5.75-7.57). The use of GaMTA, which is adapted to local conditions, produces better results than the other algorithms, but validation on a larger dataset is needed.(c) 2022 Elsevier B.V. All rights reserved.</t>
  </si>
  <si>
    <t>[Wojcik-Dlugoborska, Kornelia Anna; Bialik, Robert Jozef] Polish Acad Sci, Inst Biochem &amp; Biophys, Pawinskiego 5a, PL-02106 Warsaw, Poland</t>
  </si>
  <si>
    <t>Polish Academy of Sciences; Institute of Biochemistry &amp; Biophysics - Polish Academy of Sciences</t>
  </si>
  <si>
    <t>Bialik, RJ (corresponding author), Polish Acad Sci, Inst Biochem &amp; Biophys, Pawinskiego 5a, PL-02106 Warsaw, Poland.</t>
  </si>
  <si>
    <t>rbialik@ibb.waw.pl</t>
  </si>
  <si>
    <t>National Science Centre, Poland [2017/25/B/ST10/02092]</t>
  </si>
  <si>
    <t>National Science Centre, Poland(National Science Centre, Poland)</t>
  </si>
  <si>
    <t>This research received funding from the National Science Centre, Poland, grant no. 2017/25/B/ST10/02092 'Quantitative Assessment of Sediment Transport from Glaciers of South Shetland Islands On The Basis Of Selected Remote Sensing Methods'. We appreciate the support provided by the Arctowski Polish Antarctic Station. Special thanks to ESRI for providing the ArcGIS Advanced 10.8.1 to Kornelia Wojcik-Dlugoborska, which helped complete analyses.</t>
  </si>
  <si>
    <t>10.1016/j.rsma.2022.102798</t>
  </si>
  <si>
    <t>8A2VZ</t>
  </si>
  <si>
    <t>WOS:000916102800001</t>
  </si>
  <si>
    <t>Xuan, ZJ; Ma, YX; Zhang, JH; Zhu, JC; Cai, MH</t>
  </si>
  <si>
    <t>Xuan, Zhaojie; Ma, Yuxin; Zhang, Jinghua; Zhu, Jincai; Cai, Minghong</t>
  </si>
  <si>
    <t>Dissolved legacy and emerging organochlorine pesticides in the Antarctic marginal seas: Occurrence, sources and transport</t>
  </si>
  <si>
    <t>Organochlorine pesticides; Antarctic marginal seas; Spatial distribution; Legacy and emerging contaminants</t>
  </si>
  <si>
    <t>PERSISTENT ORGANIC POLLUTANTS; POLYCYCLIC AROMATIC-HYDROCARBONS; LONG-RANGE TRANSPORT; POLYCHLORINATED-BIPHENYLS; SOUTHERN-OCEAN; GAS-EXCHANGE; BIOGEOCHEMICAL CONTROLS; CHAITEN VOLCANO; NORTH PACIFIC; PRYDZ BAY</t>
  </si>
  <si>
    <t>Polar regions are recognized as final sinks of the persistent contaminants, however, environmental investigations in the Antarctica are greatly limited by harsh field conditions. In this study, seawater samples were collected in the Antarctic marginal seas during the austral summer of 2021 to investigate the environmental behavior and fate of organochlorine pesticides (OCPs). The concentrations and source markers of representative legacy hex-achlorocyclohexane (HCH), hexachlorobenzene (HCB) and dichlorodiphenyltrichloroethanes (DDTs) indicated the coexistent sources of historical residues and fresh inputs. While the emerging OCPs, including quintozene, pentachloroaniline and dichlobenil, showed relatively lower detection frequency. Due to the differences in temperature and sea ice coverage, dissolved OCPs generally displayed higher concentrations in the eastern Antarctic than those in the western Antarctic. The 'surface depleted and depth enrichment' vertical profile of representative OCPs in the continental shelf of Prydz Bay was jointly controlled by biological pump and water mass structure.</t>
  </si>
  <si>
    <t>[Xuan, Zhaojie; Ma, Yuxin; Zhang, Jinghua; Zhu, Jincai; Cai, Minghong] Shanghai Jiao Tong Univ, Sch Oceanog, 1954 Huashan Rd, Shanghai 200030, Peoples R China; [Ma, Yuxin; Cai, Minghong] Minist Nat Resources, Polar Res Inst China, Key Lab Polar Sci, 451 Jinqiao Rd, Shanghai 200136, Peoples R China</t>
  </si>
  <si>
    <t>Shanghai Jiao Tong University; Polar Research Institute of China; Ministry of Natural Resources of the People's Republic of China</t>
  </si>
  <si>
    <t>Ma, YX (corresponding author), Shanghai Jiao Tong Univ, Sch Oceanog, 1954 Huashan Rd, Shanghai 200030, Peoples R China.</t>
  </si>
  <si>
    <t>yuxin.ma@sjtu.edu.cn</t>
  </si>
  <si>
    <t>MA, Yuxin/AAG-8630-2020</t>
  </si>
  <si>
    <t>JINCAI, ZHU/0000-0001-7998-9373</t>
  </si>
  <si>
    <t>Impact and Response of Antarctic Seas to Climate Change [IRASCC 1-02-01B]; National Natural Science Foundation of China (NSFC) [41976211]; Shanghai Fron- tiers Science Center of Polar Science (SCOPS)</t>
  </si>
  <si>
    <t>Impact and Response of Antarctic Seas to Climate Change; National Natural Science Foundation of China (NSFC)(National Natural Science Foundation of China (NSFC)); Shanghai Fron- tiers Science Center of Polar Science (SCOPS)</t>
  </si>
  <si>
    <t>We wish to express our sincere gratitude to all the members of the 37th Chinese National Antarctic Research Expedition. This research is supported by the Impact and Response of Antarctic Seas to Climate Change (Grant 583 No: IRASCC 1-02-01B) , National Natural Science Foundation of China (NSFC, Grant No. 41976211) and Shanghai Fron- tiers Science Center of Polar Science (SCOPS) . We thank Jinnan Wu for field sampling, and the Chinese National Arctic and Antarctic Data Center (http:// www.chinare.org.cn) for providing the basic hydrologi- cal data.</t>
  </si>
  <si>
    <t>10.1016/j.marpolbul.2022.114511</t>
  </si>
  <si>
    <t>8A8QZ</t>
  </si>
  <si>
    <t>WOS:000916501300001</t>
  </si>
  <si>
    <t>Droguett, D; Arredondo, C; Dougnac, C; Kusch, A; Montiel, A; Vila, A</t>
  </si>
  <si>
    <t>Droguett, Daniela; Arredondo, Cristobal; Dougnac, Catherine; Kusch, Alejandro; Montiel, Americo; Vila, Alejandro</t>
  </si>
  <si>
    <t>Native avian predators for the world's Black-browed Albatross (Thalassarche melanophrys) breeding colony in inner waters of Tierra del Fuego, Chile</t>
  </si>
  <si>
    <t>Andean Condor; Breeding season; Albatross; Sub-Antarctic islet; Marine protected area</t>
  </si>
  <si>
    <t>ISLAND; SEABIRDS; DENSITY; SUCCESS</t>
  </si>
  <si>
    <t>The breeding season is the most vulnerable period in the early stages of the life cycle of seabirds, due to the exposure of their eggs and chicks to the impact by predators. Most of the studies on predator-prey relationships between the Black-browed albatross (Thalassarche melanophrys) and other predators like raptors, were carried out in breeding colonies located in oceanic and highly isolated areas, such as Antarctic islands. However, breeding colonies located in the Sub-Antarctic fjords have not been studied. The geographical position of the study colony makes it susceptible to a wider spectrum of predators than the oceanic islands. Therefore, it is unknown how predation dynamics affect the reproductive success of this species. Here, we show for the first time the identity and activity of avian native predators on the colony in the inner waters of southern Tierra del Fuego, Chile. This study covered seventeen field visits between 2017 and 2020 to monitor the reproductive activity of this colony. In this study, we identified the interaction between predators, the breeding activity and success of albatrosses using direct census and camera traps. Across the study, the number of breeding pairs ranged from 64 (2017) to three (2019) breeding pairs of the Black-browed albatross. Terrestrial birds with occurrence on the colony were the Andean condor, Southern caracara, Chimango caracara and the Turkey vulture. Our results showed that the main avian predator species affecting the breeding success of the Black-browed albatross, were both the Andean condor and the Southern caracara. The Black-browed albatross is a conservation target in this area since of the colony of Islote Albatros is currently part of the Seno Almirantazgo Marine protected area. Therefore, baseline informations on species interactions are fundamental for its management particularly when native predators like the Andean condor are also threatened species globally.</t>
  </si>
  <si>
    <t>[Droguett, Daniela; Arredondo, Cristobal; Dougnac, Catherine; Kusch, Alejandro; Vila, Alejandro] Wildlife Conservat Soc Chile, Balmaceda 586, Punta Arenas, Chile; [Droguett, Daniela] Univ Magallanes, Programa Magister Ciencias, Menc Manejo &amp; Conservac Recursos Nat Ambientes Sub, Punta Arenas, Chile; [Droguett, Daniela] Minist Medio Ambiente, Av Bulnes,01040, Punta Arenas, Chile; [Kusch, Alejandro] Far South Expedit, Punta Arenas, Chile; [Montiel, Americo] Univ Magallanes, Lab Ecol Func, Inst Patagonia, Casilla 113 D, Punta Arenas, Chile</t>
  </si>
  <si>
    <t>Universidad de Magallanes; Universidad de Magallanes</t>
  </si>
  <si>
    <t>Droguett, D (corresponding author), Wildlife Conservat Soc Chile, Balmaceda 586, Punta Arenas, Chile.;Droguett, D (corresponding author), Univ Magallanes, Programa Magister Ciencias, Menc Manejo &amp; Conservac Recursos Nat Ambientes Sub, Punta Arenas, Chile.;Droguett, D (corresponding author), Minist Medio Ambiente, Av Bulnes,01040, Punta Arenas, Chile.</t>
  </si>
  <si>
    <t>ddroguett@gmail.com; carredondo@wcs.org; cdougnac@wcs.org; alekusch@yahoo.com; americo.montiel@umag.cl; avila@wcs.or</t>
  </si>
  <si>
    <t>Kusch, Alejandro/JXW-5866-2024</t>
  </si>
  <si>
    <t>Montiel, Americo/0000-0002-2644-4879; Vila, Alejandro/0000-0001-5482-3852; Arredondo Elias de Quiros, Cristobal/0000-0002-7188-4769; Dougnac, Catherine/0000-0002-4282-7845</t>
  </si>
  <si>
    <t>10.1007/s00300-022-03107-3</t>
  </si>
  <si>
    <t>WOS:000904005900001</t>
  </si>
  <si>
    <t>Wang, RJ; Polyak, L; Xiao, WS; Wu, L; Li, WB</t>
  </si>
  <si>
    <t>Wang, Rujian; Polyak, Leonid; Xiao, Wenshen; Wu, Li; Li, Wenbao</t>
  </si>
  <si>
    <t>Middle to Late Quaternary changes in ice rafting and deep current transport on the Alpha Ridge, central Arctic Ocean and their responses to climatic cyclicities</t>
  </si>
  <si>
    <t>GLOBAL AND PLANETARY CHANGE</t>
  </si>
  <si>
    <t>Arctic Ocean; Alpha Ridge; Quaternary sediments; Grain-size proxies; Sea ice; Iceberg transport; Near-bottom current; Orbital forcing</t>
  </si>
  <si>
    <t>GRAIN-SIZE DISTRIBUTIONS; SEA-ICE; ATMOSPHERIC CIRCULATION; SEDIMENTATION PATTERNS; BOTTOM CURRENTS; RAFTED DETRITUS; LOMONOSOV RIDGE; NORTH-ATLANTIC; MIS 3; CHUKCHI</t>
  </si>
  <si>
    <t>To address the Arctic Ocean response to the Quaternary climate change, three sediment cores from the Alpha Ridge, central Arctic Ocean, were analyzed for proxies of sediment transport and depositional mechanisms. The identified end-member grain-size components -clayey EM1, fine-silty EM2, and silty-sandy EM3 -are interpreted as proxies of sea ice transport, near-bottom current, and iceberg inputs, respectively. The sea-ice and iceberg transport proxies, EM1 and EM3, have opposing patterns peaking in the interglacials/interstadials and glacials/ stadials, respectively. The near-bottom current proxy EM2 shows an overall gradual decrease with secondary variations indicating current slow-down during intervals of enhanced iceberg discharge. EM3 peaks during Marine Isotope Stages (MIS) 12, 10, 8, and MIS 7 stadials co-occur with high Ca content indicative of iceberg inputs from the Laurentide ice sheet via the Beaufort Gyre. Other EM3 peaks, notably during MIS 6 and MIS 4/3 likely originated from the Siberian margin based on elevated Zr content, thus indicating expanded Eurasian ice sheet and the Transpolar Drift extension towards the central Arctic Ocean. High coherences in the spectral analysis between the sea ice and iceberg proxies versus the global ice volume and orbital parameters on the 100-kyr and 23-kyr time bands illustrate the strong responses of sea ice and glaciations to eccentricity and preces-sional cycles. A persistent precessional impact of low latitude processes on high Arctic environment indicates a potential link to the low latitudes via atmospheric moisture and heat transport.</t>
  </si>
  <si>
    <t>[Wang, Rujian; Xiao, Wenshen] Tongji Univ, State Key Lab Marine Geol, Shanghai 200092, Peoples R China; [Polyak, Leonid] Ohio State Univ, Byrd Polar &amp; Climate Res Ctr, Columbus, OH 43210 USA; [Wu, Li] Guangdong Ocean Univ, Coll Ocean &amp; Meteorol, Zhanjiang 524088, Guangdong, Peoples R China; [Li, Wenbao] Inner Mongolia Agr Univ, IMAR key Lab Water Resources Protect &amp; Utilizat, Hohhot 010018, Inner Mongolia, Peoples R China; [Wang, Rujian] Tongji Univ, State Key Lab Marine Geol, 1239 Siping Rd, Shanghai 200092, Peoples R China</t>
  </si>
  <si>
    <t>Tongji University; University System of Ohio; Ohio State University; Guangdong Ocean University; Inner Mongolia Agricultural University; Tongji University</t>
  </si>
  <si>
    <t>Wang, RJ (corresponding author), Tongji Univ, State Key Lab Marine Geol, 1239 Siping Rd, Shanghai 200092, Peoples R China.</t>
  </si>
  <si>
    <t>rjwang@tongji.edu.cn</t>
  </si>
  <si>
    <t>National Natural Science Foundation of China [42176223, 41030859]; Chinese Special Project of Arctic Ocean Marine Geology Investigation [CHINARE 2012-2016-03-02]; Ministry of Finance of China</t>
  </si>
  <si>
    <t>National Natural Science Foundation of China(National Natural Science Foundation of China (NSFC)); Chinese Special Project of Arctic Ocean Marine Geology Investigation; Ministry of Finance of China</t>
  </si>
  <si>
    <t>This work was funded by the National Natural Science Foundation of China under contract No. 42176223 and 41030859, the Chinese Special Project of Arctic Ocean Marine Geology Investigation under contract No. CHINARE 2012-2016-03-02. This work is part of the project Third and Fourth Chinese National Arctic Research Expeditions (CHINARE-2008 and 2010) supported by the Ministry of Finance of China and organized by the Chinese Arctic and Antarctic Administration (CAA) , with participants from various Chinese institutions. The participants in the joint work are from several institutions (e.g., PRIC, FIO, SIO, Tongji Uni, etc.) . Also acknowledged is the core repository of the Polar Research Institute of China, for providing the sediment samples. We sincerely thank the editor and two reviewers for their inspiring and helpful comments on the paper.</t>
  </si>
  <si>
    <t>0921-8181</t>
  </si>
  <si>
    <t>1872-6364</t>
  </si>
  <si>
    <t>GLOBAL PLANET CHANGE</t>
  </si>
  <si>
    <t>Glob. Planet. Change</t>
  </si>
  <si>
    <t>10.1016/j.gloplacha.2022.104019</t>
  </si>
  <si>
    <t>7Z9KI</t>
  </si>
  <si>
    <t>WOS:000915869400001</t>
  </si>
  <si>
    <t>Chen, YY; Ni, P; Fu, RY; Murphy, KJ; Wyeth, RC; Bishop, CD; Huang, XA; Li, SG; Zhan, AB</t>
  </si>
  <si>
    <t>Chen, Yiyong; Ni, Ping; Fu, Ruiying; Murphy, Kieran J. J.; Wyeth, Russell C. C.; Bishop, Cory D. D.; Huang, Xuena; Li, Shiguo; Zhan, Aibin</t>
  </si>
  <si>
    <t>(Epi)genomic adaptation driven by fine geographical scale environmental heterogeneity after recent biological invasions</t>
  </si>
  <si>
    <t>ECOLOGICAL APPLICATIONS</t>
  </si>
  <si>
    <t>epigenetic variation; genetic variation; independent relationship; invasive species; local adaptation; tunicate</t>
  </si>
  <si>
    <t>DNA METHYLATION; CIONA-INTESTINALIS; EVOLUTIONARY TRANSITION; POPULATION-STRUCTURE; NOVA-SCOTIA; TOOL SET; PATTERNS; ASSOCIATION; DIVERGENCE; COMPLEX</t>
  </si>
  <si>
    <t>Elucidating processes and mechanisms involved in rapid local adaptation to varied environments is a poorly understood but crucial component in management of invasive species. Recent studies have proposed that genetic and epigenetic variation could both contribute to ecological adaptation, yet it remains unclear on the interplay between these two components underpinning rapid adaptation in wild animal populations. To assess their respective contributions to local adaptation, we explored epigenomic and genomic responses to environmental heterogeneity in eight recently colonized ascidian (Ciona intestinalis) populations at a relatively fine geographical scale. Based on MethylRADseq data, we detected strong patterns of local environment-driven DNA methylation divergence among populations, significant epigenetic isolation by environment (IBE), and a large number of local environment-associated epigenetic loci. Meanwhile, multiple genetic analyses based on single nucleotide polymorphisms (SNPs) showed genomic footprints of divergent selection. In addition, for five genetically similar populations, we detected significant methylation divergence and local environment-driven methylation patterns, indicating the strong effects of local environments on epigenetic variation. From a functional perspective, a majority of functional genes, Gene Ontology (GO) terms, and biological pathways were largely specific to one of these two types of variation, suggesting partial independence between epigenetic and genetic adaptation. The methylation quantitative trait loci (mQTL) analysis showed that the genetic variation explained only 18.67% of methylation variation, further confirming the autonomous relationship between these two types of variation. Altogether, we highlight the complementary interplay of genetic and epigenetic variation involved in local adaptation, which may jointly promote populations' rapid adaptive capacity and successful invasions in different environments. The findings here provide valuable insights into interactions between invaders and local environments to allow invasive species to rapidly spread, thus contributing to better prediction of invasion success and development of management strategies.</t>
  </si>
  <si>
    <t>[Chen, Yiyong; Ni, Ping; Fu, Ruiying; Huang, Xuena; Li, Shiguo; Zhan, Aibin] Chinese Acad Sci, Res Ctr Ecoenvironm Sci, Beijing, Peoples R China; [Chen, Yiyong; Ni, Ping; Fu, Ruiying; Li, Shiguo; Zhan, Aibin] Chinese Acad Sci, Univ Chinese Acad Sci, Beijing, Peoples R China; [Murphy, Kieran J. J.; Wyeth, Russell C. C.; Bishop, Cory D. D.] St Francis Xavier Univ, Dept Biol, Antigonish, NS, Canada; [Murphy, Kieran J. J.] Univ Tasmania, Inst Marine, Antarctic Studies, Hobart, Australia</t>
  </si>
  <si>
    <t>Chinese Academy of Sciences; Research Center for Eco-Environmental Sciences (RCEES); Chinese Academy of Sciences; University of Chinese Academy of Sciences, CAS; Saint Francis Xavier University - Canada; University of Tasmania</t>
  </si>
  <si>
    <t>Zhan, AB (corresponding author), Chinese Acad Sci, Res Ctr Ecoenvironm Sci, Beijing, Peoples R China.;Zhan, AB (corresponding author), Chinese Acad Sci, Univ Chinese Acad Sci, Beijing, Peoples R China.</t>
  </si>
  <si>
    <t>zhanaibin@hotmail.com</t>
  </si>
  <si>
    <t>Zhan, Aibin/A-7240-2011; Fu, Ruiying/AEY-1880-2022; Li, Shiguo/HMB-8322-2023; Murphy, Kieran/C-1897-2017</t>
  </si>
  <si>
    <t>Fu, Ruiying/0000-0001-8847-3512; Li, Shiguo/0000-0002-1578-8844; Murphy, Kieran/0000-0002-9697-2458</t>
  </si>
  <si>
    <t>National Natural Science Foundation of China [4210060218, 32061143012, 31772449]; Youth Innovation Promotion Association of the Chinese Academy of Sciences [2018054]; Canadian Network for Research and Innovation in Machining Technology; Natural Sciences and Engineering Research Council of Canada [RGPIN-2015-04957, RGPIN-2105-05040]; Department of Fisheries and Oceans Canada's (DFO) Aquaculture Collaborative Research and Development Program [M-13-01-002]; Nova Scotia Research and Innovation Graduate Scholarship</t>
  </si>
  <si>
    <t>National Natural Science Foundation of China(National Natural Science Foundation of China (NSFC)); Youth Innovation Promotion Association of the Chinese Academy of Sciences; Canadian Network for Research and Innovation in Machining Technology; Natural Sciences and Engineering Research Council of Canada(Natural Sciences and Engineering Research Council of Canada (NSERC)CGIAR); Department of Fisheries and Oceans Canada's (DFO) Aquaculture Collaborative Research and Development Program; Nova Scotia Research and Innovation Graduate Scholarship</t>
  </si>
  <si>
    <t>National Natural Science Foundation of China, Grant/Award Numbers:4210060218, 32061143012, 31772449;Youth Innovation Promotion Association of the Chinese Academy of Sciences,Grant/Award Number: 2018054;Canadian Network for Research and Innovation in Machining Technology,Natural Sciences and Engineering Research Council of Canada,Grant/Award Numbers: RGPIN-2015-04957, RGPIN-2105-05040; Department of Fisheries and Oceans Canada's (DFO) Aquaculture Collaborative Research and Development Program, Grant/AwardNumber: M-13-01-002; Nova Scotia Research and Innovation Graduate Scholarship</t>
  </si>
  <si>
    <t>1051-0761</t>
  </si>
  <si>
    <t>1939-5582</t>
  </si>
  <si>
    <t>ECOL APPL</t>
  </si>
  <si>
    <t>Ecol. Appl.</t>
  </si>
  <si>
    <t>e2772</t>
  </si>
  <si>
    <t>10.1002/eap.2772</t>
  </si>
  <si>
    <t>Ecology; Environmental Sciences</t>
  </si>
  <si>
    <t>EY6B7</t>
  </si>
  <si>
    <t>WOS:000904032800001</t>
  </si>
  <si>
    <t>Chen, RS; Soulsbury, CD; Lebigre, C; Ludwig, G; van Oers, K; Hoffman, JI</t>
  </si>
  <si>
    <t>Chen, Rebecca S.; Soulsbury, Carl D.; Lebigre, Christophe; Ludwig, Gilbert; van Oers, Kees; Hoffman, Joseph I.</t>
  </si>
  <si>
    <t>Effects of hunting on genetic diversity, inbreeding and dispersal in Finnish black grouse (Lyrurus tetrix)</t>
  </si>
  <si>
    <t>EVOLUTIONARY APPLICATIONS</t>
  </si>
  <si>
    <t>black grouse; heterozygosity; hunting; lekking; microsatellite; population structure</t>
  </si>
  <si>
    <t>HETEROZYGOSITY-FITNESS CORRELATIONS; SPATIAL AUTOCORRELATION ANALYSIS; FEMALE-BIASED DISPERSAL; R-PACKAGE; EVOLUTIONARY CONSEQUENCES; POPULATION-DYNAMICS; LYNX POPULATION; MATE-CHOICE; HORN SIZE; SELECTION</t>
  </si>
  <si>
    <t>Intensive hunting activities such as commercial fishing and trophy hunting can have profound influences on natural populations. However, less intensive recreational hunting can also have subtle effects on animal behaviour, habitat use and movement, with implications for population persistence. Lekking species such as the black grouse (Lyrurus tetrix) may be especially prone to hunting as leks are temporally and spatially predictable, making them easy targets. Furthermore, inbreeding in black grouse is mainly avoided through female-biased dispersal, so any disruptions to dispersal caused by hunting could lead to changes in gene flow, increasing the risk of inbreeding. We therefore investigated the impact of hunting on genetic diversity, inbreeding and dispersal on a metapopulation of black grouse in Central Finland. We genotyped 1065 adult males and 813 adult females from twelve lekking sites (six hunted, six unhunted) and 200 unrelated chicks from seven sites (two hunted, five unhunted) at up to thirteen microsatellite loci. Our initial confirmatory analysis of sex-specific fine-scale population structure revealed little genetic structure in the metapopulation. Levels of inbreeding did not differ significantly between hunted and unhunted sites in neither adults nor chicks. However, immigration rates into hunted sites were significantly higher among adults compared to immigration into unhunted sites. We conclude that the influx of migrants into hunted sites may compensate for the loss of harvested individuals, thereby increasing gene flow and mitigating inbreeding. Given the absence of any obvious barriers to gene flow in Central Finland, a spatially heterogeneous matrix of hunted and unhunted regions may be crucial to ensure sustainable harvests into the future.</t>
  </si>
  <si>
    <t>[Chen, Rebecca S.; Hoffman, Joseph I.] Univ Bielefeld, Dept Anim Behav, Bielefeld, Germany; [Soulsbury, Carl D.] Univ Lincoln, Sch Life &amp; Environm Sci, Joseph Banks Labs, Lincoln, England; [Lebigre, Christophe] INRAE, IFREMER, Inst Agro, UMR DECOD Ecosyst Dynam &amp; Sustainabil, Plouzane, France; [Ludwig, Gilbert] JAMK Univ Appl Sci, Inst Bioecon, Tarvaala, Finland; [van Oers, Kees] Netherlands Inst Ecol NIOO KNAW, Dept Anim Ecol, Wageningen, Netherlands; [Hoffman, Joseph I.] British Antarctic Survey, Cambridge, England</t>
  </si>
  <si>
    <t>University of Bielefeld; University of Lincoln; Ifremer; Institut Agro; INRAE; Royal Netherlands Academy of Arts &amp; Sciences; Netherlands Institute of Ecology (NIOO-KNAW); UK Research &amp; Innovation (UKRI); Natural Environment Research Council (NERC); NERC British Antarctic Survey</t>
  </si>
  <si>
    <t>Chen, RS (corresponding author), Univ Bielefeld, Dept Anim Behav, Bielefeld, Germany.</t>
  </si>
  <si>
    <t>rebecca.chen@uni-bielefeld.de</t>
  </si>
  <si>
    <t>Lebigre, Christophe/JAC-8468-2023; van Oers, Kees/B-2562-2009; Chen, Rebecca Shuhua/KBB-0523-2024; Lebigre, Christophe/GPS-7522-2022; Hoffman, Joseph/K-7725-2012</t>
  </si>
  <si>
    <t>Lebigre, Christophe/0000-0001-6119-2534; Chen, Rebecca Shuhua/0000-0002-9364-3771; Lebigre, Christophe/0000-0001-6119-2534; Hoffman, Joseph/0000-0001-5895-8949; van Oers, Kees/0000-0001-6984-906X; Soulsbury, Carl/0000-0001-8808-5210</t>
  </si>
  <si>
    <t>Academy of Finland; Deutsche Forschungsgemeinschaft [7119165, 7211271]; [454606304]</t>
  </si>
  <si>
    <t>Academy of Finland(Research Council of Finland); Deutsche Forschungsgemeinschaft(German Research Foundation (DFG));</t>
  </si>
  <si>
    <t>Academy of Finland, Grant/Award Number: 7119165 and 7211271; Deutsche Forschungsgemeinschaft, Grant/Award Number: 454606304</t>
  </si>
  <si>
    <t>1752-4571</t>
  </si>
  <si>
    <t>EVOL APPL</t>
  </si>
  <si>
    <t>Evol. Appl.</t>
  </si>
  <si>
    <t>10.1111/eva.13521</t>
  </si>
  <si>
    <t>Evolutionary Biology</t>
  </si>
  <si>
    <t>9Z6IT</t>
  </si>
  <si>
    <t>gold, Green Accepted, Green Published, Green Submitted</t>
  </si>
  <si>
    <t>WOS:000903890800001</t>
  </si>
  <si>
    <t>Collareta, A; Peri, E; Godfrey, SJ; Bianucci, G</t>
  </si>
  <si>
    <t>Collareta, Alberto; Peri, Emanuele; Godfrey, Stephen J.; Bianucci, Giovanni</t>
  </si>
  <si>
    <t>Just a different place to graze? An unusual occurrence of the echinoid feeding trace Gnathichnus pentax on a marine vertebrate coprolite (Miocene, Italy) and its palaeoethological implications</t>
  </si>
  <si>
    <t>CARNETS DE GEOLOGIE</t>
  </si>
  <si>
    <t>bromalite; coprophagy; Echinodermata; palaeoichnology; Pascichnia; Pietra leccese; sea urchin; Vertebrata</t>
  </si>
  <si>
    <t>PIETRA LECCESE; GEOLOGICAL SURVEY; SPERM-WHALE; FISH FECES; FOOD; CETACEA; BIOEROSION; RECORD; FOSSIL; PALEOECOLOGY</t>
  </si>
  <si>
    <t>Faeces produced by marine vertebrates and macro-invertebrates contain sufficient organic matter to represent a usable food source for a wide array of macroscopic animals. In some extant marine environments, coprophagy even represents a crucial trophic interaction in food webs. In ancient ecosystems, coprophagy by macroscopic animals is occasionally exemplified by coprolites that exhibit biting traces or burrows. Here, we report Gnathichnus pentax on an exquisitely preserved vertebratebitten vertebrate coprolite from the marine calcareous deposits of the Pietra leccese (Miocene, southern Italy). This unusual occurrence is interpreted as evidence of the feeding activity of a regular echinoid; in particular, it may represent either exploratory coprophagy or the browsing of an algal (microbial) film that locally developed on the exterior of the faeces. Strengthening the former interpretation, the development of microbial communities on submerged faeces often leads to their destruction; furthermore, some extant Antarctic echinoderms are well known to ordinarily feed on vertebrate faeces, and coprophagy is believed to be fairly widespread among sea urchins. Supporting the algal browsing hypothesis, in turn, only a limited area of the external surface of the faeces was subject to grazing, and the resulting trace is neatly defined, which suggest that the feeding sea urchin targeted a precise location on the dung's exterior when the latter was already rather firm. To our knowledge, the G. pentax specimen studied here represents the first published record of this ichnotaxon on a coprolite.</t>
  </si>
  <si>
    <t>[Collareta, Alberto; Peri, Emanuele; Bianucci, Giovanni] Univ Pisa, Dipartimento Sci Terra, Via Santa Maria 53, I-56126 Pisa, Italy; [Collareta, Alberto; Bianucci, Giovanni] Univ Pisa, Museo Storia Nat, Via Roma 79, I-56011 Calci, Italy; [Peri, Emanuele] Dottorato Reg Sci Terra Pegaso, Via Santa Maria 53, I-56126 Pisa, Italy; [Godfrey, Stephen J.] Calvert Marine Museum, Dept Paleontol, POB 97, Solomons, MD 20688 USA; [Godfrey, Stephen J.] Natl Museum Nat Hist, Smithsonian Inst, Washington, DC 20560 USA</t>
  </si>
  <si>
    <t>University of Pisa; University of Pisa; Smithsonian Institution; Smithsonian National Museum of Natural History</t>
  </si>
  <si>
    <t>Collareta, A (corresponding author), Univ Pisa, Dipartimento Sci Terra, Via Santa Maria 53, I-56126 Pisa, Italy.;Collareta, A (corresponding author), Univ Pisa, Museo Storia Nat, Via Roma 79, I-56011 Calci, Italy.</t>
  </si>
  <si>
    <t>alberto.collareta@unipi.it; emanuele.peri@phd.unipi.it; giovanni.bianucci@unipi.it</t>
  </si>
  <si>
    <t>Peri, Emanuele/0000-0001-8635-5379</t>
  </si>
  <si>
    <t>CARNETS GEOLOGIE</t>
  </si>
  <si>
    <t>BREST CEDEX 3</t>
  </si>
  <si>
    <t>UNIV BRETAGNE OCCIDENTALE, DEPT SCIENCES DE LA TERRE, 6, AVENUE LE GORGEU, BREST CEDEX 3, 29238, FRANCE</t>
  </si>
  <si>
    <t>1634-0744</t>
  </si>
  <si>
    <t>1765-2553</t>
  </si>
  <si>
    <t>CARNETS GEOL</t>
  </si>
  <si>
    <t>Carnets Geol.</t>
  </si>
  <si>
    <t>DEC 25</t>
  </si>
  <si>
    <t>10.2110/carnets.2022.2220</t>
  </si>
  <si>
    <t>Geology; Paleontology</t>
  </si>
  <si>
    <t>7K4QP</t>
  </si>
  <si>
    <t>WOS:000905269500003</t>
  </si>
  <si>
    <t>Yang, SM; He, Q; Shi, LJ; Wu, Y</t>
  </si>
  <si>
    <t>Yang, Simeng; He, Qing; Shi, Lijun; Wu, Ying</t>
  </si>
  <si>
    <t>Impact of Antarctic krill oil supplementation on skeletal muscle injury recovery after resistance exercise</t>
  </si>
  <si>
    <t>EUROPEAN JOURNAL OF NUTRITION</t>
  </si>
  <si>
    <t>Antarctic krill oil; Muscle damage; Muscle recovery; Resistance exercise</t>
  </si>
  <si>
    <t>PRO-INFLAMMATORY MARKERS; FISH-OIL; EUPHASIA-SUPERBA; REDOX PARAMETERS; OMEGA-3-FATTY-ACIDS; ASTAXANTHIN; PLASMA; ACIDS</t>
  </si>
  <si>
    <t>Background Antarctic krill oil (KO) is a natural source of n-3 polyunsaturated fatty acids (n-3 PUFAs), and is rich in phospholipids, Eicosapentaenoic acid (EPA), Docosahexaenoic acid (DHA), astaxanthin, flavonoids, vitamins, trace elements, and other bioactive substances. KO has been confirmed to have anti-inflammatory and immunomodulatory effects. n-3 PUFAs also have been purported to improve the recovery of muscular performance. Moreover, the phospholipids present in KO can enhance n-3 PUFA bioavailability because of its higher absorption rate in plasma compared to fish oil. Astaxanthin, found in Antarctic KO, is a red carotenoid and powerful antioxidant that inhibits oxidative stress after intense exercise. Hence, we examined the effect of KO supplementation on the recovery of exercise by measuring muscular performance, oxidant/antioxidant and anti-inflammatory activity, and the markers of muscle damage following a rigorous bout of resistance exercise.Methods 30 college-aged resistance-trained males (20.4 +/- 0.92 years, 74.09 +/- 7.23 kg, 180.13 +/- 4.72 cm) were randomly supplemented with 3 g/d KO or placebo (PL) for 3 days and continued to consume after resistance exercise for 3 days until the experiment finished. Before supplementation, pre-exercise performance assessments of knee isokinetic strength, 20 m sprint, hexagon test, and blood serum creatine kinase (CK), lactate dehydrogenase (LDH), superoxide dismutase (SOD), total antioxidant capacity (T-AOC), reactive oxygen species (ROS), malondialdehyde (MDA), interleukin-2 (IL-2), interleukin-6 (IL-6), and tumor necrosis factor-alpha (TNF-alpha) were completed. Then after 3 days of supplementation, participants completed a bout of muscle-damaging exercise, and subsequently, they performed and repeated the exercise performance assessments and blood-related indicators tests immediately (0 h), as well as at 6, 24, 48, and 72 h post-muscle-damaging exercise.Results Compared to the PL group, the serum CK of KO group was significantly lower at 24 h and 48 h post-exercise; the hexagon test time of the KO group was significantly lower than that of the PL group at 6 h and 24 h post-exercise; the KO group's isokinetic muscle strength showed different degrees of recovery than that of the PL group at 24 h and 48 h, and even over-recovery at 72 h post-exercise; the SOD level of the KO group was significantly higher than that of the PL group at 0, 6, and 24 h after exercise; the T-AOC level of the KO group was significantly higher than that of the PL group at 0, 6, and 72 h after exercise; the MDA level of the KO group was significantly lower than that of the PL group at 6 h; and there was no significant difference in serum IL-2, IL-6, and TNF-alpha between the two groups.Conclusion Our results demonstrated that 3 g/d KO supplementation and continued supplementation after exercise can alleviate exercise-induced muscle damage (EIMD) and promote post-exercise recovery.</t>
  </si>
  <si>
    <t>[Yang, Simeng; Shi, Lijun; Wu, Ying] Beijing Sport Univ, Beijing 100084, Peoples R China; [He, Qing] Aland Hlth Holding Ltd, Shanghai 200120, Peoples R China</t>
  </si>
  <si>
    <t>Beijing Sport University</t>
  </si>
  <si>
    <t>Wu, Y (corresponding author), Beijing Sport Univ, Beijing 100084, Peoples R China.</t>
  </si>
  <si>
    <t>wuying@bsu.edu.cn</t>
  </si>
  <si>
    <t>1436-6207</t>
  </si>
  <si>
    <t>1436-6215</t>
  </si>
  <si>
    <t>EUR J NUTR</t>
  </si>
  <si>
    <t>Eur. J. Nutr.</t>
  </si>
  <si>
    <t>10.1007/s00394-022-03077-6</t>
  </si>
  <si>
    <t>Nutrition &amp; Dietetics</t>
  </si>
  <si>
    <t>AF6O7</t>
  </si>
  <si>
    <t>WOS:000903827900001</t>
  </si>
  <si>
    <t>Cai, L; Bai, JH; Lan, YJ; Song, F; Wei, ZH</t>
  </si>
  <si>
    <t>Cai, Li; Bai, Jinhai; Lan, Yangjun; Song, Fei; Wei, Zehong</t>
  </si>
  <si>
    <t>Effects of composite mixture of protein sources in replacing fish meal on nutritional value and flavor quality of Pacific white shrimp (Litopenaeus vannamei)</t>
  </si>
  <si>
    <t>AQUACULTURE REPORTS</t>
  </si>
  <si>
    <t>Fish meal replacement; Amino acids; Fatty acids; Volatile compounds; Pacific white shrimp(Litopenaeusvannamei)</t>
  </si>
  <si>
    <t>VOLATILE COMPOUNDS; MUSCLE; DIETS; CONCENTRATE; AQUAFEEDS; BLEND; OIL</t>
  </si>
  <si>
    <t>An 8-week feeding trial was conducted to investigate the effects of fish meal partially or totally replaced with poultry by-product meal (PBM), antarctic krill meal (AKM), corn gluten meal (CGM), cottonseed meal (CM) and rice protein concentrate meal (RPM) on amino acids, fatty acids, nucleotides and volatile compounds of Pacific white shrimp (Litopenaeus vannamei). Results showed that shrimps fed with partial replacement of fish meal (50 %) with AKM and PBM (1:1) significantly increased the content of inosine monophosphate (IMP), the proportion of eicosapentaenoic acid (EPA), n-9 monounsaturated fatty acids (MUFAs), and significantly decreased the content of hypoxanthine (Hx), benzaldehyde, and the proportion of saturated fatty acids (SFAs). Dietary fish meal totally replaced by the whole-plant protein diet resulted in a lower value of essential amino acids to total amino acids (EAA / TAA), n-3 / n-6 PUFAs, and a lower proportion of docosahexaenoic acid (DHA), n-3 poly-unsaturated fatty acid (PUFAs). Principal component analysis and hierarchical cluster analysis revealed that shrimps fed diet with fish meal partially replaced by AKM and PBM (1:1) had the most similar volatile com-pounds profile to the fish meal-based diet. These results indicated that the composite mixture of PBM and AKM (1:1) is an excellent substitution for fish meal in shrimp diets.</t>
  </si>
  <si>
    <t>[Cai, Li; Bai, Jinhai; Lan, Yangjun; Wei, Zehong] Hunan Normal Univ, Coll Life Sci, Engn Res Ctr Polyploid Fish Reprod &amp; Breeding, State Key Lab Dev Biol Freshwater Fish,State Educ, Changsha 410081, Peoples R China; [Song, Fei] South China Normal Univ, Coll Life Sci, Guangdong Prov Key Lab Hlth &amp; Safe Aquaculture, Guangzhou 510631, Peoples R China; [Wei, Zehong] Hunan Normal Univ, Coll Life Sci, State Key Lab Dev Biol Freshwater Fish, 36 Lushan Rd, Changsha 410081, Peoples R China</t>
  </si>
  <si>
    <t>Hunan Normal University; South China Normal University; Hunan Normal University</t>
  </si>
  <si>
    <t>Wei, ZH (corresponding author), Hunan Normal Univ, Coll Life Sci, State Key Lab Dev Biol Freshwater Fish, 36 Lushan Rd, Changsha 410081, Peoples R China.</t>
  </si>
  <si>
    <t>zehongw@hunnu.edu.cn</t>
  </si>
  <si>
    <t>Bai, Jinhai/KHU-9148-2024</t>
  </si>
  <si>
    <t>High -Level Talent Agglomeration Program of Hunan, China [2019RS1044]; National Natural Science Foundation of China [31902383]</t>
  </si>
  <si>
    <t>High -Level Talent Agglomeration Program of Hunan, China; National Natural Science Foundation of China(National Natural Science Foundation of China (NSFC))</t>
  </si>
  <si>
    <t>This research was supported by High -Level Talent Agglomeration Program of Hunan, China (Grant No. 2019RS1044) , National Natural Science Foundation of China (Grant No. 31902383) .</t>
  </si>
  <si>
    <t>2352-5134</t>
  </si>
  <si>
    <t>AQUACULT REP</t>
  </si>
  <si>
    <t>Aquacult. Rep.</t>
  </si>
  <si>
    <t>10.1016/j.aqrep.2022.101437</t>
  </si>
  <si>
    <t>8G7ST</t>
  </si>
  <si>
    <t>WOS:000920544600001</t>
  </si>
  <si>
    <t>Melbourne-Thomas, J; Tommasi, D; Gehlen, M; Murphy, EJ; Beckensteiner, J; Bravo, F; Eddy, TD; Fischer, M; Fulton, E; Gogina, M; Hofmann, E; Ito, M; Mynott, S; Ortega-Cisneros, K; Osiecka, AN; Payne, MR; Saldívar-Lucio, R; Scherrer, KJN</t>
  </si>
  <si>
    <t>Melbourne-Thomas, Jess; Tommasi, Desiree; Gehlen, Marion; Murphy, Eugene J.; Beckensteiner, Jennifer; Bravo, Francisco; Eddy, Tyler D.; Fischer, Mibu; Fulton, Elizabeth; Gogina, Mayya; Hofmann, Eileen; Ito, Maysa; Mynott, Sara; Ortega-Cisneros, Kelly; Osiecka, Anna N.; Payne, Mark R.; Saldivar-Lucio, Romeo; Scherrer, Kim J. N.</t>
  </si>
  <si>
    <t>Integrating human dimensions in decadal-scale prediction for marine social-ecological systems: lighting the grey zone</t>
  </si>
  <si>
    <t>ICES JOURNAL OF MARINE SCIENCE</t>
  </si>
  <si>
    <t>decadal prediction; decision support tools; grey zone; human dimensions; Indigenous science; marine social-ecological systems</t>
  </si>
  <si>
    <t>CLIMATE-CHANGE; SCIENCE-FICTION; BLUE ECONOMY; MANAGEMENT; FISHERIES; IMPACTS; ECOSYSTEMS; FORECASTS; MODELS; FUTURE</t>
  </si>
  <si>
    <t>The dynamics of marine systems at decadal scales are notoriously hard to predict-hence references to this timescale as the grey zone for ocean prediction. Nevertheless, decadal-scale prediction is a rapidly developing field with an increasing number of applications to help guide ocean stewardship and sustainable use of marine environments. Such predictions can provide industry and managers with information more suited to support planning and management over strategic timeframes, as compared to seasonal forecasts or long-term (century-scale) predictions. The most significant advances in capability for decadal-scale prediction over recent years have been for ocean physics and biogeochemistry, with some notable advances in ecological prediction skill. In this paper, we argue that the process of lighting the grey zone by providing improved predictions at decadal scales should also focus on including human dimensions in prediction systems to better meet the needs and priorities of end users. Our paper reviews information needs for decision-making at decadal scales and assesses current capabilities for meeting these needs. We identify key gaps in current capabilities, including the particular challenge of integrating human elements into decadal prediction systems. We then suggest approaches for overcoming these challenges and gaps, highlighting the important role of co-production of tools and scenarios, to build trust and ensure uptake with end users of decadal prediction systems. We also highlight opportunities for combining narratives and quantitative predictions to better incorporate the human dimension in future efforts to light the grey zone of decadal-scale prediction.</t>
  </si>
  <si>
    <t>[Melbourne-Thomas, Jess; Fulton, Elizabeth] CSIRO Environm, Castray Esplanade, Battery Point, Tas 7004, Australia; [Melbourne-Thomas, Jess; Fischer, Mibu; Fulton, Elizabeth; Mynott, Sara] Univ Tasmania, Ctr Marine Socioecol, Hobart, Tas, Australia; [Tommasi, Desiree] NOAA, Southwest Fisheries Sci Ctr, 8901 La Jolla Shores Dr, La Jolla, CA 92037 USA; [Tommasi, Desiree] Univ Calif Santa Cruz, Inst Marine Sci, Santa Cruz, CA USA; [Gehlen, Marion] CEA Saclay, Bat 714,Site Orme Merisiers, F-91191 Ced Gif Sur Yvette, France; [Murphy, Eugene J.] British Antarctic Survey, Madingley Rd, Cambridge, England; [Beckensteiner, Jennifer] European Inst Marine Studies IUEM, Rue Dumt Urville, F-29280 Plouzane, France; [Bravo, Francisco] Fdn CSIRO Chile Res, Santiago 4700, Chile; [Eddy, Tyler D.] Mem Univ Newfoundland, Ctr Fisheries Ecosyst Res, Fisheries &amp; Marine Inst, 155 Ridge Rd, St John, NL A1C 5R3, Canada; [Fischer, Mibu] CSIRO Environm, 306 Carmody Rd, St Lucia, Qld 4067, Australia; [Gogina, Mayya] Leibniz Inst Baltic Sea Res, Seestr 15,18119, D-18119 Rostock, Germany; [Hofmann, Eileen] Old Dominion Univ, Ctr Coastal Phys Oceanog, Norfolk, VA 23508 USA; [Ito, Maysa] Unite Halieut Manche Mer Nord Ifremer, HMMN, IFREMER, 62200 Boulogne Mer, F-150 Quai Gambetta, France; [Ito, Maysa] GEOMAR Helmholtz Ctr Ocean Res Kiel, Marine Evolutionary Ecol, Diisternbrooker Weg 20, D-24105 Kiel, Germany; [Mynott, Sara] Univ Victoria, Sch Environm Studies, 3800 Finnerty Rd, Victoria, BC V8P 5C2, Canada; [Ortega-Cisneros, Kelly] Univ Cape Town, Dept Biol Sci, HW Pearson Bldg,Univ Ave N, ZA-7701 Cape Town, South Africa; [Osiecka, Anna N.] Univ Gdansk, Fac Biol, Dept Vertebrate Ecol &amp; Zool, Ul Wita Stwosza 59, PL-80308 Gdansk, Poland; [Payne, Mark R.] Danish Meterol Inst, Lyngbyvej 100, DK-2100 Copenhagen, Denmark; [Saldivar-Lucio, Romeo] CONACYT Ctr Invest Cient &amp; Educ Super Ensenada CI, Miraflores 334, La Paz 23050, BCS, Mexico; [Scherrer, Kim J. N.] Univ Bergen, Dept Biol Sci, Thormohlens Gate 53 A-B, N-5006 Bergen, Norway</t>
  </si>
  <si>
    <t>Commonwealth Scientific &amp; Industrial Research Organisation (CSIRO); University of Tasmania; National Oceanic Atmospheric Admin (NOAA) - USA; University of California System; University of California Santa Cruz; CEA; UK Research &amp; Innovation (UKRI); Natural Environment Research Council (NERC); NERC British Antarctic Survey; Universite de Bretagne Occidentale; Institut Universitaire Europeen de la Mer (IUEM); Commonwealth Scientific &amp; Industrial Research Organisation (CSIRO); Memorial University Newfoundland; Leibniz Institut fur Ostseeforschung Warnemunde; Old Dominion University; Ifremer; Helmholtz Association; GEOMAR Helmholtz Center for Ocean Research Kiel; University of Victoria; University of Cape Town; Fahrenheit Universities; University of Gdansk; Danish Meteorological Institute DMI; University of Bergen</t>
  </si>
  <si>
    <t>Melbourne-Thomas, J (corresponding author), CSIRO Environm, Castray Esplanade, Battery Point, Tas 7004, Australia.;Melbourne-Thomas, J (corresponding author), Univ Tasmania, Ctr Marine Socioecol, Hobart, Tas, Australia.</t>
  </si>
  <si>
    <t>Jess.Melbourne-Thomas@csiro.au</t>
  </si>
  <si>
    <t>Scherrer, Kim/V-3008-2019; Bravo, Francisco/L-1087-2019; Eddy, Tyler/ABE-7092-2021; Fulton, Beth/AAJ-1398-2021; Melbourne-Thomas, Jess/N-2437-2019; Osiecka, Anna/AAO-4124-2021; Payne, Mark/C-6844-2008</t>
  </si>
  <si>
    <t>Scherrer, Kim/0000-0001-6198-5745; Bravo, Francisco/0000-0002-4242-5731; Eddy, Tyler/0000-0002-2833-9407; Fulton, Beth/0000-0002-5904-7917; Melbourne-Thomas, Jess/0000-0001-6585-876X; Osiecka, Anna/0000-0001-5392-7895; Beckensteiner, Jennifer/0000-0002-3811-6506; Murphy, Eugene/0000-0002-7369-9196; Ortega-Cisneros, Kelly/0000-0003-2511-5448; Fischer, Mibu/0000-0002-1216-3451; Gehlen, Marion/0000-0002-9688-0692; Mynott, Sara/0000-0002-8549-7647; Ito, Maysa/0000-0003-1189-7338; Payne, Mark/0000-0001-5795-2481</t>
  </si>
  <si>
    <t>U.S. National Science Foundation [OCE-1840868]; U.S. National Oceanographic and Atmospheric Administration's Climate and Fisheries Adaptation Program [NA20OAR430507]</t>
  </si>
  <si>
    <t>U.S. National Science Foundation(National Science Foundation (NSF)); U.S. National Oceanographic and Atmospheric Administration's Climate and Fisheries Adaptation Program</t>
  </si>
  <si>
    <t>We thank all the invited speakers-Inna Senina, Mark Payne, Alan Haynie, Andrew Merrie, and Mibu Fischer-and all the participants of the virtual 18-22 October 2021 workshop Lighting the `grey zone': how canwe integrate human dimensions in decadal-scale prediction systems? at the IMBIZO 6 Marine Biosphere Research: Buoyant Solutions for Ocean Sustainability meeting for the many thought-provoking discussions that inspired this manuscript. A special thanks also to the IMBIZO 6 Organizing Committee, the IMBeR International Project Offices, and the workshop volunteers that helped with logistics and audio-visual issues. This publication resulted in part from support from the U.S. National Science Foundation (grant OCE-1840868) to the Scientific Committee on Oceanic Research (SCOR) and the U.S. National Oceanographic and Atmospheric Administration's Climate and Fisheries Adaptation Program (grant NA20OAR430507).</t>
  </si>
  <si>
    <t>1054-3139</t>
  </si>
  <si>
    <t>1095-9289</t>
  </si>
  <si>
    <t>ICES J MAR SCI</t>
  </si>
  <si>
    <t>ICES J. Mar. Sci.</t>
  </si>
  <si>
    <t>JAN 25</t>
  </si>
  <si>
    <t>10.1093/icesjms/fsac228</t>
  </si>
  <si>
    <t>9V3DA</t>
  </si>
  <si>
    <t>Green Submitted, hybrid, Green Accepted</t>
  </si>
  <si>
    <t>WOS:000903145400001</t>
  </si>
  <si>
    <t>Ferter, K; Otterå, H; Christman, M; Kleiven, AR; Weltersbach, MS; Gundersen, S; Djonne, C; Bjelland, O; Hartill, B; Lyle, J; Hyder, K; Borch, T; Volstad, JH</t>
  </si>
  <si>
    <t>Ferter, Keno; Ottera, Hakon; Christman, Mary; Kleiven, Alf Ring; Weltersbach, Marc Simon; Gundersen, Sofie; Djonne, Christine; Bjelland, Otte; Hartill, Bruce; Lyle, Jeremy; Hyder, Kieran; Borch, Trude; Volstad, Jon Helge</t>
  </si>
  <si>
    <t>Integrating complementary survey methods to estimate catches in Norway's complex marine recreational hook-and-line fishery</t>
  </si>
  <si>
    <t>access point survey; catch estimation; Norwegian coastal cod; off-site survey; probabilistic surveys; recreational fishing; roving creel survey</t>
  </si>
  <si>
    <t>COD GADUS-MORHUA; FISHING EFFORT; RELEASE; ATLANTIC; MANAGEMENT; RESOURCES; MORTALITY; SURVIVAL; BEHAVIOR; IMPACT</t>
  </si>
  <si>
    <t>Marine recreational fishing is popular in Norway, but current estimates of the catches by resident and tourist anglers are lacking due to several challenges, in particular Norway's long and intricate coastline with no defined access points and the large tourist fishery. To test methods for long-term monitoring of boat-based marine recreational anglers, estimate their catches, and characterize the fishery, we conducted a roving creel survey based on a novel spatial sampling frame and a survey of tourist fishing businesses in Troms and Hordaland County. These surveys showed that cod (Gadus morhua) and saithe (Pollachius virens) dominated the catches in Troms, while mackerel (Scomber scombrus) and saithe dominated the catches in Hordaland. The estimated total annual harvest of cod by all marine recreational anglers was 2 160 tonnes (relative standard error, or RSE 44%) in Troms and 73 tonnes (RSE 29%) in Hordaland, of which similar to 40% (in weight) were landed in registered tourist fishing businesses, based on data from the tourist fishing survey. The results indicate that recreational anglers in Hordaland harvest more cod in coastal waters than commercial fishers. This study provides information for developing marine recreational fisheries monitoring in challenging survey situations to support science-based fisheries management.</t>
  </si>
  <si>
    <t>[Ferter, Keno; Ottera, Hakon; Gundersen, Sofie; Djonne, Christine; Bjelland, Otte; Volstad, Jon Helge] Inst Marine Res, POB 1870, N-5817 Bergen, Norway; [Christman, Mary] MCC Stat Consulting LLC, 2219 NW 23rd Terrace, Gainesville, FL 32605 USA; [Kleiven, Alf Ring] Inst Marine Res, Flodevigen Stn,Nye Flodevigveien 20, N-4817 His, Norway; [Weltersbach, Marc Simon] Thunen Inst Baltic Sea Fisheries, Alter Hafen Sud 2, D-18069 Rostock, Germany; [Hartill, Bruce] Minist Primary Ind, 17 Maurice Wilson Ave, Auckland 2022, New Zealand; [Lyle, Jeremy] Univ Tasmania, Inst Marine &amp; Antarctic Studies, Private Bag 49, Hobart, Tas 7001, Australia; [Hyder, Kieran] Ctr Environm Fisheries &amp; Aquaculture Sci Cefas, Pakefiled Rd, Lowestoft NR33 0HT, Suffolk, England; [Hyder, Kieran] Univ East Anglia, Sch Environm Sci, Norwich Res Pk, Norwich NR4 7TJ, Norfolk, England; [Borch, Trude] Akvaplan Niva AS, Fram Ctr, POB 6606, N-9296 Tromso, Norway</t>
  </si>
  <si>
    <t>Institute of Marine Research - Norway; Institute of Marine Research - Norway; Johann Heinrich von Thunen Institute; University of Tasmania; Centre for Environment Fisheries &amp; Aquaculture Science; University of East Anglia; Akvaplan-niva</t>
  </si>
  <si>
    <t>Ferter, K (corresponding author), Inst Marine Res, POB 1870, N-5817 Bergen, Norway.</t>
  </si>
  <si>
    <t>keno@hi.no</t>
  </si>
  <si>
    <t>Lyle, Jeremy M/J-7170-2014; Volstad, Jon Helge/B-7451-2014</t>
  </si>
  <si>
    <t>Weltersbach, Marc Simon/0000-0001-9173-5157; Ottera, Hakon/0000-0003-2450-4142; Volstad, Jon Helge/0000-0001-8738-8543; Ferter, Keno/0000-0002-7201-2786; Kleiven, Alf Ring/0000-0002-9330-8340; Hyder, Kieran/0000-0003-1428-5679</t>
  </si>
  <si>
    <t>10.1093/icesjms/fsac216</t>
  </si>
  <si>
    <t>hybrid, Green Submitted</t>
  </si>
  <si>
    <t>WOS:000901418400001</t>
  </si>
  <si>
    <t>Ten, S; Konishi, K; Raga, JA; Pastene, LA; Aznar, FJ</t>
  </si>
  <si>
    <t>Ten, S.; Konishi, K.; Raga, J. A.; Pastene, L. A.; Aznar, F. J.</t>
  </si>
  <si>
    <t>Epibiotic fauna of the Antarctic minke whale as a reliable indicator of seasonal movements</t>
  </si>
  <si>
    <t>BARNACLES XENOBALANUS-GLOBICIPITIS; DOLPHINS TURSIOPS-TRUNCATUS; BALAENOPTERA-BONAERENSIS; CRUSTACEA-AMPHIPODA; CYAMIDS CRUSTACEA; FAMILY CYAMIDAE; HUMPBACK WHALE; ORCINUS-ORCA; SEA-TURTLES; NEW-ZEALAND</t>
  </si>
  <si>
    <t>Antarctic minke whales, Balaenoptera bonaerensis, breed in tropical and temperate waters of the Southern Hemisphere in winter and feed in Antarctic grounds in the austral summer. These seasonal migrations could be less defined than those of other whale species, but the evidence is scanty. We quantitatively describe the epibiotic fauna of Antarctic minke whales and explore its potential to trace migrations. Seven species were found on 125 out of 333 examined Antarctic minke whales captured during the last Antarctic NEWREP-A expedition in the Southern Ocean: the amphipod Balaenocyamus balaenopterae (prevalence=22.2%), the copepod Pennella balaenoptera (0.6%); three coronulid, obligate barnacles, Xenobalanus globicipitis (11.1%), Coronula reginae (8.7%), C. diadema (0.9%); and two lepadid, facultative barnacles, Conchoderma auritum (9.0%) and C. virgatum (0.3%). Species with prevalence&gt;8% exhibited a modest increase in their probability of occurrence with whale body length. Data indicated positive associations between coronulid barnacles and no apparent recruitment in Antarctic waters. All specimens of X. globicipitis were dead, showing progressive degradation throughout the sampling period, and a geographic analysis indicated a marked drop of occurrence where the minimum sea surface temperature is&lt;12 degrees C. Thus, field detection -with non-lethal methodologies, such as drones- of coronulid barnacles, especially X. globicipitis, on whales in the Southern Ocean could evince seasonal migration. Future investigations on geographical distribution, growth rate, and degradation (for X. globicipitis) could also assist in timing whales' migration.</t>
  </si>
  <si>
    <t>[Ten, S.; Raga, J. A.; Aznar, F. J.] Univ Valencia, Cavanilles Inst Biodivers &amp; Evolutionary Biol, Marine Zool Unit, Valencia, Spain; [Konishi, K.; Pastene, L. A.] Inst Cetacean Res, Tokyo, Japan; [Pastene, L. A.] Ctr Estudios Cuaternario Fuego Patagonia &amp; Antart, Punta Arenas, Chile</t>
  </si>
  <si>
    <t>University of Valencia</t>
  </si>
  <si>
    <t>Ten, S (corresponding author), Univ Valencia, Cavanilles Inst Biodivers &amp; Evolutionary Biol, Marine Zool Unit, Valencia, Spain.</t>
  </si>
  <si>
    <t>Sofia.Ten@uv.es</t>
  </si>
  <si>
    <t>Raga, Juan Antonio/L-7669-2014; Aznar, Francisco Javier/S-3427-2018</t>
  </si>
  <si>
    <t>Raga, Juan Antonio/0000-0003-2687-2539;</t>
  </si>
  <si>
    <t>Japanese Fisheries Agency, Government of Japan; Valencian Regional Government [AICO/2021/022]; University of Valencia [UV-INV-PREDOC15-265927]</t>
  </si>
  <si>
    <t>Japanese Fisheries Agency, Government of Japan; Valencian Regional Government; University of Valencia</t>
  </si>
  <si>
    <t>We thank crew and researchers for their help and assistance for obtaining the biological samples and data reported in this paper. Special thanks to researcher Kazuyoshi Nakai who examined all whales on board during the Antarctic cruise. We also thank Patricia Gozalbes Aparicio for her assistance in drawing Figure 1. The NEWREP-A program was conducted with permission and support from the Japanese Fisheries Agency, Government of Japan. This work was also supported by the Valencian Regional Government [project AICO/2021/022]. S. Ten benefitted from the predoctoral grant UV-INV-PREDOC15-265927, awarded by the University of Valencia.</t>
  </si>
  <si>
    <t>DEC 23</t>
  </si>
  <si>
    <t>10.1038/s41598-022-25929-1</t>
  </si>
  <si>
    <t>D0GU3</t>
  </si>
  <si>
    <t>WOS:000965605400020</t>
  </si>
  <si>
    <t>Sinha, AK; Parli, BV; Anilkumar, N</t>
  </si>
  <si>
    <t>Sinha, Alok K.; Parli, Bhaskar V.; Anilkumar, N.</t>
  </si>
  <si>
    <t>Bacterial distribution in Twilight zone of the Indian sector of Southern Ocean: V3- V4 rDNA hypervariable region data</t>
  </si>
  <si>
    <t>DATA IN BRIEF</t>
  </si>
  <si>
    <t>Metagenomics; Bacterial diversity; Southern ocean; Deep water</t>
  </si>
  <si>
    <t>Twilight zones in oceans represent the oceanic waters between 200 m to 1000 m in depth, wherein sunlight is diffused and intensity is &lt; 1% of surface value. The activities and diversity of marine micro-organisms in this unique zone are understudied, especially in the Indian Sector of the Southern Ocean. For a better understanding of the microbial environment and diversity in the twilight zone of the Indian sector of Southern Ocean, samples were collected from 200m depth in eddy-influenced waters of Subtropical Front (STF), Sub-Antarctic Front (SAF), Polar Front (PF), waters off Kerguelen (Kw), and Prydz Bay (Pb) waters. In this article, next generation sequencing (NGS) based amplicon data of 16s rDNA bacterial samples are presented. Hypervariable V3-V4 regions were sequenced using Hiseq platform, and data was processed using Mothur v 1.48.0, and database Silva 138.1nr. Total of nine different phyla is reported from the Southern Ocean at 200m, whereas at order level Synechococcales was found in STF waters only and SAR 11_ Clades were present in all stations.Twilight zones in oceans represent the oceanic waters between 200 m to 1000 m in depth, wherein sunlight is diffused and intensity is &lt; 1% of surface value. The activities and diversity of marine micro-organisms in this unique zone are understudied, especially in the Indian Sector of the Southern Ocean. For a better understanding of the microbial environment and diversity in the twilight zone of the Indian sector of Southern Ocean, samples were collected from 200m depth in eddy-influenced waters of Subtropical Front (STF), Sub-Antarctic Front (SAF), Polar Front (PF), waters off Kerguelen (Kw), and Prydz Bay (Pb) waters. In this article, next generation sequencing (NGS) based amplicon data of 16s rDNA bacterial samples are presented. Hypervariable V3-V4 regions were sequenced using Hiseq platform, and data was processed using Mothur v 1.48.0, and database Silva 138.1nr. Total of nine different phyla is reported from the Southern Ocean at 200m, whereas at order level Synechococcales was found in STF waters only and SAR 11_ Clades were present in all stations. (c) 2022 The Authors. Published by Elsevier Inc. This is an open access article under the CC BY license (http://creativecommons.org/licenses/by/4.0/)</t>
  </si>
  <si>
    <t>[Sinha, Alok K.; Parli, Bhaskar V.; Anilkumar, N.] Natl Ctr Polar &amp; Ocean Res, Ocean Sci Grp, Minist Earth Sci, Headland Sada 403804, Goa, India; [Sinha, Alok K.] Natl Ctr Polar &amp; Ocean Res, OSmart Hydrothermal Vent Grp, Minist Earth Sci, Headland Sada 403804, Goa, India</t>
  </si>
  <si>
    <t>Ministry of Earth Sciences (MoES) - India; National Centre for Polar and Ocean Research (NCPOR); Ministry of Earth Sciences (MoES) - India; National Centre for Polar and Ocean Research (NCPOR)</t>
  </si>
  <si>
    <t>Parli, BV (corresponding author), Natl Ctr Polar &amp; Ocean Res, Ocean Sci Grp, Minist Earth Sci, Headland Sada 403804, Goa, India.</t>
  </si>
  <si>
    <t>bhaskar@ncpor.res.in</t>
  </si>
  <si>
    <t>Parli, Bhaskar/D-3652-2019</t>
  </si>
  <si>
    <t>Parli, Bhaskar/0000-0002-0654-7520</t>
  </si>
  <si>
    <t>Ministry of Earth Sciences (MoES), Government of India (GoI)</t>
  </si>
  <si>
    <t>This work was carried out under SOCarP project funded by Ministry of Earth Sciences (MoES), Government of India (GoI).</t>
  </si>
  <si>
    <t>2352-3409</t>
  </si>
  <si>
    <t>DATA BRIEF</t>
  </si>
  <si>
    <t>Data Brief</t>
  </si>
  <si>
    <t>10.1016/j.dib.2022.108834</t>
  </si>
  <si>
    <t>8A9OI</t>
  </si>
  <si>
    <t>WOS:000916562500001</t>
  </si>
  <si>
    <t>Schellart, WP; Strak, V; Beniest, A; Duarte, JC; Rosas, FM</t>
  </si>
  <si>
    <t>Schellart, W. P.; Strak, V.; Beniest, A.; Duarte, J. C.; Rosas, F. M.</t>
  </si>
  <si>
    <t>Subduction invasion polarity switch from the Pacific to the Atlantic Ocean: A new geodynamic model of subduction initiation based on the Scotia Sea region</t>
  </si>
  <si>
    <t>EARTH-SCIENCE REVIEWS</t>
  </si>
  <si>
    <t>Subduction; Polarity reversal; Subduction initiation; Scotia Sea; Plate tectonics; Reconstruction; Numerical model; Geodynamics; South America; Antarctic Peninsula; Weddell Sea; Patagonia; South Sandwich arc; Tierra del Fuego; Cape Horn; South Georgia Island; South Orkney microcontinent</t>
  </si>
  <si>
    <t>MAGALLANES FORELAND BASIN; ANTARCTICA PLATE BOUNDARY; GULF-OF-MEXICO; BACK-ARC BASIN; TECTONIC EVOLUTION; DRAKE PASSAGE; SOUTH-GEORGIA; STRATIGRAPHIC RECORD; CONTINENTAL MARGINS; TERRANE ACCRETION</t>
  </si>
  <si>
    <t>Subduction zones and their associated slabs are the main drivers of plate tectonics and mantle flow, but how these zones initiate remains enigmatic. In the Scotia Sea region, subduction started in the Late Cretaceous/Early Cenozoic in a pristine ocean basin setting devoid of other subduction/collision zones. How this subduction zone initiated remains intensely debated, as exemplified by the variability of published plate tectonic reconstructions. Despite such variability, several works argue for a subduction initiation mechanism, in which a South America -Antarctica relative plate motion change, in combination with a particular plate boundary geometry in the western Weddell Sea, caused convergence across a transform plate boundary segment that subsequently evolved into a subduction zone. Here we discuss this kinematic model of subduction initiation, and, following geometric and kinematic arguments, highlight several unsolved issues that call for alternative explanations. Furthermore, we present new tectonic reconstructions of the Scotia region involving a simpler middle-Late Cretaceous plate boundary configuration, which avoid the geometric and kinematic problems of earlier reconstructions and that call for a new mechanism of subduction initiation. We refer to this mechanism as Subduction Invasion Polarity Switch (SIPS), which involves a long-lived and wide subduction zone (South American-Antarctic subduction zone) with lower mantle slab penetration, which imposes major horizontal trench-normal compressive deviatoric stresses on the overriding plate. This plate consists of a narrow continental lithospheric (land) bridge at the trench (Cretaceous-Early Cenozoic Antarctica-South America land bridge) with oceanic lithosphere behind it (Weddell Sea-Atlantic Ocean). The stresses cause shortening and thrusting at the continent-ocean boundary in the backarc region of the overriding plate, forcing oceanic lithosphere under continental lithosphere, starting the subduction initiation process, and eventually leading to a new, self-sustaining, subduction zone (Scotia sub-duction zone) with an opposite polarity compared to the long-lived subduction zone. The model thus involves invasion of a new subduction zone into a pristine ocean basin (Atlantic Ocean), with the primary driver being a long-lived subduction zone in another ocean basin. To test the physical viability of the SIPS model, we have conducted numerical geodynamic simulations of buoyancy-driven subduction. Numerical results demonstrate that the SIPS model is viable, with compressive stresses in the overriding plate resulting from strong trenchward basal drag induced by subduction-driven whole-mantle poloidal return flow and compression at the subduction zone plate boundary. Subduction initiation starts in the overriding plate after similar to 100 Myr of long-lived subduc-tion, eventually resulting in the formation of a new, opposite-dipping, subduction zone. This new subduction zone develops at the continent-ocean boundary for models without and with a pre-imposed weak zone. We further propose that the SIPS model might explain subduction initiation elsewhere, including the New Caledonia subduction zone in the Southwest Pacific, the Lesser Antilles-Puerto Rico subduction zone in the Caribbean region, and the subduction zones that consumed the Rocas Verdes and Arperos backarc basins in South America and Central America, respectively. We further postulate that active backarc shortening in the Japan Sea, with eastward under-thrusting of Japan Sea oceanic lithosphere below the Japan arc, represents an early stage of SIPS.</t>
  </si>
  <si>
    <t>[Schellart, W. P.; Strak, V.; Beniest, A.] Free Univ Amsterdam, NL-1081 HV Amsterdam, Netherlands; [Strak, V.] Aix Marseille Univ, CEREGE, Aix Provence, Aix En Provence, France; [Duarte, J. C.; Rosas, F. M.] Univ Lisbon, Fac Sci, Inst Dom Luiz, Lisbon, Portugal</t>
  </si>
  <si>
    <t>Vrije Universiteit Amsterdam; Aix-Marseille Universite; Universidade de Lisboa</t>
  </si>
  <si>
    <t>Schellart, WP (corresponding author), Free Univ Amsterdam, NL-1081 HV Amsterdam, Netherlands.</t>
  </si>
  <si>
    <t>w.p.schellart@vu.nl</t>
  </si>
  <si>
    <t>Schellart, Wouter P/A-1467-2008; Rosas, Filipe M/A-4104-2013; Duarte, Joao/J-8695-2012; Strak, Vincent/G-3689-2017</t>
  </si>
  <si>
    <t>Beniest, Anouk/0000-0002-2380-6221; Rosas, Filipe/0000-0002-6734-2916; Duarte, Joao/0000-0001-7505-3690; Schellart, Wouter/0000-0002-9802-0143; Strak, Vincent/0000-0002-8664-8419</t>
  </si>
  <si>
    <t>Vici Fellowship from the Dutch National Science Foundation (NWO) [016.VICI.170.110]; SURFsara, the Dutch national supercomputer facility [2019.055]; FCT through Instituto Dom Luiz (IDL) [UIDB/50019/2020]</t>
  </si>
  <si>
    <t>Vici Fellowship from the Dutch National Science Foundation (NWO)(Netherlands Organization for Scientific Research (NWO)); SURFsara, the Dutch national supercomputer facility; FCT through Instituto Dom Luiz (IDL)</t>
  </si>
  <si>
    <t>WPS would like to thank the editors of the Special Issue on plate tectonics for their formal invitation to submit a contribution to their Special Issue of Earth -Science Reviews. We would also like to thank editor Gillian Foulger, who did all the editorial work for this paper, and three anonymous reviewers, who provided constructive comments on the paper. We would further like to thank Louis Moresi, Mirko Velic, Julian Giordani, John Mansour and Owen Kaluza for technical support with, and development of, the Underworld2 code. This work has been funded by a Vici Fellowship (016.VICI.170.110) from the Dutch National Science Foundation (NWO) awarded to WPS, and has been supported by computational resources from SURFsara, the Dutch national supercomputer facility, through project number 2019.055. JCD and FMR acknowledge financial support from FCT through project UIDB/50019/2020 - Instituto Dom Luiz (IDL).</t>
  </si>
  <si>
    <t>0012-8252</t>
  </si>
  <si>
    <t>1872-6828</t>
  </si>
  <si>
    <t>EARTH-SCI REV</t>
  </si>
  <si>
    <t>Earth-Sci. Rev.</t>
  </si>
  <si>
    <t>10.1016/j.earscirev.2022.104277</t>
  </si>
  <si>
    <t>7T9HN</t>
  </si>
  <si>
    <t>WOS:000911751000001</t>
  </si>
  <si>
    <t>Ren, LY; Liu, YD; Liang, YT; Liu, BH; McMinn, A; Zheng, KY; Wang, ZY; Wang, HM; Shao, HB; Sung, YY; Mok, WJ; Wong, LL; Wang, M</t>
  </si>
  <si>
    <t>Ren, Linyi; Liu, Yundan; Liang, Yantao; Liu, Baohong; McMinn, Andrew; Zheng, Kaiyang; Wang, Ziyue; Wang, Hongmin; Shao, Hongbing; Sung, Yeong Yik; Mok, Wen Jye; Wong, Li Lian; Wang, Min</t>
  </si>
  <si>
    <t>Characterization and genomic Analysis of a novel Pseudomonas phage vB_PsaP_M1, representing a new viral family, Psaeviridae</t>
  </si>
  <si>
    <t>FRONTIERS IN MARINE SCIENCE</t>
  </si>
  <si>
    <t>bacteriophage; Pseudomonas; genomic and comparative genomic analysis; phylogenetic analysis; Psaeviridae</t>
  </si>
  <si>
    <t>YELLOW SEA; SEQUENCE; BACTERIOPHAGES; PROTEIN; SPECIFICITY; AERUGINOSA; BASEPLATE; INSIGHTS; VIRUSES; GENES</t>
  </si>
  <si>
    <t>Pseudomonas is a ubiquitous and ambiguous opportunistic pathogen, and plays an important ecological role in the ocean. Here, a new species, Pseudomonas phage vB_PsaP_M1, is described, which was isolated from the surface coastal waters of Qingdao, China. vB_PsaP_M1 contains a linear, double-stranded 89,387-bp genome with a GC content of 41.04% and encoding 184 putative open reading frames (ORFs). There were 50 conservative domains were predicted with BLASTp, including two auxiliary metabolic genes (Phosphate-inducible gene phoH and signal peptide peptidase A, sppA). Phylogenetic analysis of whole genome amino acid sequence and comparative genomic analysis showed that vB_PsaP_M1 has a distant evolutionary relationship with previously isolated viruses and can be grouped into a family-level novel viral cluster (VC_61) with eleven uncultured, assembled viral genomes, named as Psaeviridae. Psaeviridae contains two ORFs (ORFs 117 and 127), which were not detected in the genomes of other viral families, confirming the proposal for a new family. Combined with its ability to infect Pseudomonas and its representation of an unstudied viral family, vB_PsaP_M1 may be an important and novel model system for the study of interactions between viruses and host cells in marine ecosystems.</t>
  </si>
  <si>
    <t>[Ren, Linyi; Liu, Yundan; Liang, Yantao; McMinn, Andrew; Zheng, Kaiyang; Wang, Ziyue; Wang, Hongmin; Shao, Hongbing; Wang, Min] Ocean Univ China, Inst Evolut &amp; Marine Biodivers, Coll Marine Life Sci, Frontiers Sci Ctr Deep Ocean Multispheres &amp; Earth, Qingdao, Peoples R China; [Liu, Baohong] Shandong Univ, Dept Hosp Infect Management, Qilu Hosp, Qingdao, Peoples R China; [McMinn, Andrew] UMT, OUC Joint Ctr Marine Studies, Qingdao, Peoples R China; [Shao, Hongbing; Sung, Yeong Yik; Mok, Wen Jye; Wong, Li Lian; Wang, Min] Univ Tasmania, Inst Marine &amp; Antarctic Studies, Hobart, Tas, Australia; [Sung, Yeong Yik; Mok, Wen Jye; Wong, Li Lian] Univ Malaysia Terengganu, Inst Marine Biotechnol, Kuala Terengganu, Malaysia; [Wang, Min] Affiliated Hosp Qingdao Univ, Qingdao, Peoples R China; [Wang, Min] Ocean Univ China, Haide Coll, Qingdao, Peoples R China</t>
  </si>
  <si>
    <t>Ocean University of China; Shandong University; University of Tasmania; Universiti Malaysia Terengganu; Qingdao University; Ocean University of China</t>
  </si>
  <si>
    <t>Liang, YT; Wang, M (corresponding author), Ocean Univ China, Inst Evolut &amp; Marine Biodivers, Coll Marine Life Sci, Frontiers Sci Ctr Deep Ocean Multispheres &amp; Earth, Qingdao, Peoples R China.;Liu, BH (corresponding author), Shandong Univ, Dept Hosp Infect Management, Qilu Hosp, Qingdao, Peoples R China.;Wang, M (corresponding author), Univ Tasmania, Inst Marine &amp; Antarctic Studies, Hobart, Tas, Australia.;Wang, M (corresponding author), Affiliated Hosp Qingdao Univ, Qingdao, Peoples R China.;Wang, M (corresponding author), Ocean Univ China, Haide Coll, Qingdao, Peoples R China.</t>
  </si>
  <si>
    <t>liangyantao@ouc.edu.cn; gsyylbh@163.com; mingwang@ouc.edu.cn</t>
  </si>
  <si>
    <t>wong, li/ABF-6896-2021; Wang, Min/AFR-9645-2022; li, jixiang/JXN-7599-2024; Mok, Wen Jye/AAF-9229-2019; JIANG, Peng/KGL-3427-2024; Han, Yang/JVN-5921-2024</t>
  </si>
  <si>
    <t>wong, li/0000-0003-0649-2010; Wang, Min/0000-0002-2357-589X; Mok, Wen Jye/0000-0002-7629-8312; Yeong, Yik Sung/0000-0001-5897-9037</t>
  </si>
  <si>
    <t>Laoshan Laboratory; National Key Research and Development Program of China [LSKJ202203201]; Natural Science Foundation of China [2022YFC2807500]; Fundamental Research Funds for the Central Universities [42120104006, 41976117, 42176111, 42188102]; [202172002]; [201812002]; [202072001]</t>
  </si>
  <si>
    <t>Laoshan Laboratory; National Key Research and Development Program of China; Natural Science Foundation of China(National Natural Science Foundation of China (NSFC)); Fundamental Research Funds for the Central Universities(Fundamental Research Funds for the Central Universities); ; ;</t>
  </si>
  <si>
    <t>This work was supported by the Laoshan Laboratory (No. LSKJ202203201), National Key Research and Development Program of China (2022YFC2807500), Natural Science Foundation of China (No. 42120104006, 41976117, 42176111 and 42188102), and the Fundamental Research Funds for the Central Universities (202172002, 201812002, 202072001 and Andrew McMinn).</t>
  </si>
  <si>
    <t>2296-7745</t>
  </si>
  <si>
    <t>FRONT MAR SCI</t>
  </si>
  <si>
    <t>Front. Mar. Sci.</t>
  </si>
  <si>
    <t>10.3389/fmars.2022.1076885</t>
  </si>
  <si>
    <t>7O4TZ</t>
  </si>
  <si>
    <t>WOS:000908019000001</t>
  </si>
  <si>
    <t>Valente, A; Sathyendranath, S; Brotas, V; Groom, S; Grant, M; Jackson, T; Chuprin, A; Taberner, M; Airs, R; Antoine, D; Arnone, R; Balch, WM; Barker, K; Barlow, R; Bélanger, S; Berthon, JF; Borsheim, Y; Bracher, A; Brando, V; Brewin, RJW; Canuti, E; Chavez, FP; Cianca, A; Claustre, H; Clementson, L; Crout, R; Ferreira, A; Freeman, S; Frouin, R; García-Soto, C; Gibb, SW; Goericke, R; Gould, R; Guillocheau, N; Hooker, SB; Hu, CM; Kahru, M; Kampel, M; Klein, H; Kratzer, S; Kudela, R; Ledesma, J; Lohrenz, S; Loisel, H; Mannino, A; Martinez-Vicente, V; Matrai, P; McKee, D; Mitchell, BG; Moisan, T; Montes, E; Muller-Karger, F; Neeley, A; Novak, M; O'Dowd, L; Ondrusek, M; Platt, T; Poulton, AJ; Repecaud, M; Röttgers, R; Schroeder, T; Smyth, T; Smythe-Wright, D; Sosik, HM; Thomas, C; Thomas, R; Tilstone, G; Tracana, A; Twardowski, M; Vellucci, V; Voss, K; Werdell, J; Wernand, M; Wojtasiewicz, B; Wright, S; Zibordi, G; Besiktepe, S</t>
  </si>
  <si>
    <t>Valente, Andre; Sathyendranath, Shubha; Brotas, Vanda; Groom, Steve; Grant, Michael; Jackson, Thomas; Chuprin, Andrei; Taberner, Malcolm; Airs, Ruth; Antoine, David; Arnone, Robert; Balch, William M.; Barker, Kathryn; Barlow, Ray; Belanger, Simon; Berthon, Jean-Francois; Borsheim, Yngve; Bracher, Astrid; Brando, Vittorio; Brewin, Robert J. W.; Canuti, Elisabetta; Chavez, Francisco P.; Cianca, Andres; Claustre, Herve; Clementson, Lesley; Crout, Richard; Ferreira, Afonso; Freeman, Scott; Frouin, Robert; Garcia-Soto, Carlos; Gibb, Stuart W.; Goericke, Ralf; Gould, Richard; Guillocheau, Nathalie; Hooker, Stanford B.; Hu, Chuamin; Kahru, Mati; Kampel, Milton; Klein, Holger; Kratzer, Susanne; Kudela, Raphael; Ledesma, Jesus; Lohrenz, Steven; Loisel, Hubert; Mannino, Antonio; Martinez-Vicente, Victor; Matrai, Patricia; McKee, David; Mitchell, Brian G.; Moisan, Tiffany; Montes, Enrique; Muller-Karger, Frank; Neeley, Aimee; Novak, Michael; O'Dowd, Leonie; Ondrusek, Michael; Platt, Trevor; Poulton, Alex J.; Repecaud, Michel; Roettgers, Rudiger; Schroeder, Thomas; Smyth, Timothy; Smythe-Wright, Denise; Sosik, Heidi M.; Thomas, Crystal; Thomas, Rob; Tilstone, Gavin; Tracana, Andreia; Twardowski, Michael; Vellucci, Vincenzo; Voss, Kenneth; Werdell, Jeremy; Wernand, Marcel; Wojtasiewicz, Bozena; Wright, Simon; Zibordi, Giuseppe; Besiktepe, Sukru</t>
  </si>
  <si>
    <t>A compilation of global bio-optical in situ data for ocean colour satelliteapplications - version three</t>
  </si>
  <si>
    <t>EARTH SYSTEM SCIENCE DATA</t>
  </si>
  <si>
    <t>NORTH-ATLANTIC; ARCTIC-OCEAN; TIME-SERIES; SATELLITE; WATERS; PERFORMANCE; PHYTOPLANKTON; REFLECTANCE; VALIDATION; IRRADIANCE</t>
  </si>
  <si>
    <t>A global in situ data set for validation of ocean colour products from the ESA Ocean Colour Climate Change Initiative (OC-CCI) is presented. This version of the compilation, starting in 1997, now extends to 2021, which is important for the validation of the most recent satellite optical sensors such as Sentinel 3B OLCI and NOAA-20 VIIRS. The data set comprises in situ observations of the following variables: spectral remote-sensing reflectance, concentration of chlorophyll-a, spectral inherent optical properties, spectral diffuse attenuation coefficient, and total suspended matter. Data were obtained from multi-project archives acquired via open internet services or from individual projects acquired directly from data providers. Methodologies were implemented for homogenization, quality control, and merging of all data. Minimal changes were made on the original data, other than conversion to a standard format, elimination of some points, after quality control and averaging of observations that were close in time and space. The result is a merged table available in text format. Overall, the size of the data set grew with 148 432 rows, with each row representing a unique station in space and time (cf. 136 250 rows in previous version; Valente et al., 2019). Observations of remote-sensing reflectance increased to 68 641 (cf. 59 781 in previous version; Valente et al., 2019). There was also a near tenfold increase in chlorophyll data since 2016. Metadata of each in situ measurement (original source, cruise or experiment, principal investigator) are included in the final table. By making the metadata available, provenance is better documented and it is also possible to analyse each set of data separately.</t>
  </si>
  <si>
    <t>[Valente, Andre; Brotas, Vanda; Ferreira, Afonso; Tracana, Andreia] Univ Lisbon, Fac Ciencias, MARE Marine &amp; Environm Sci Ctr, P-1749016 Lisbon, Portugal; [Sathyendranath, Shubha; Brotas, Vanda; Groom, Steve; Grant, Michael; Jackson, Thomas; Chuprin, Andrei; Airs, Ruth; Brewin, Robert J. W.; Martinez-Vicente, Victor; Platt, Trevor; Smyth, Timothy; Tilstone, Gavin] Plymouth Marine Lab, Plymouth PL1 3DH, Devon, England; [Grant, Michael; Taberner, Malcolm] EUMETSAT, Eumetsat Allee 1, D-64295 Darmstadt, Germany; [Antoine, David; Claustre, Herve] Sorbonne Univ, CNRS, Lab Oceanog Villefranche, LOV, F-06230 Villefranche Sur Mer, France; [Antoine, David] Curtin Univ, Sch Earth &amp; Planetary Sci, Remote Sensing &amp; Satellite Res Grp, Perth, WA 6845, Australia; [Arnone, Robert] Univ Southern Mississippi, Stennis Space Ctr, MS USA; [Balch, William M.; Matrai, Patricia] Bigelow Lab Ocean Sci, 60 Bigelow Dr, East Boothbay, ME 04544 USA; [Barker, Kathryn] ARGANS Ltd, Plymouth, Devon, England; [Barker, Kathryn; Brando, Vittorio; Clementson, Lesley; Schroeder, Thomas; Wojtasiewicz, Bozena] CSIRO Oceans &amp; Atmosphere, Canberra, ACT, Australia; [Barker, Kathryn] Australian Res Data Commons, Caulfield, Australia; [Barlow, Ray] Bayworld Ctr Res &amp; Educ, Cape Town, South Africa; [Belanger, Simon] Univ Quebec Rimouski, Rimouski, PQ, Canada; [Berthon, Jean-Francois; Canuti, Elisabetta; Zibordi, Giuseppe] Joint Res Ctr, European Commiss, Ispra, Italy; [Besiktepe, Sukru] Dokuz Eylul Univ, Inst Marine Sci &amp; Technol, Izmir, Turkey; [Borsheim, Yngve] Inst Marine Res, Bergen, Norway; [Bracher, Astrid] Helmholtz Ctr Polar &amp; Marine Res, Alfred Wegener Inst, Bremerhaven, Germany; [Bracher, Astrid] Univ Bremen, Inst Environm Phys, Bremen, Germany; [Brando, Vittorio] CNR ISMAR, Rome, Italy; [Chavez, Francisco P.] Monterey Bay Aquarium Res Inst, Moss Landing, CA USA; [Cianca, Andres] PLOCAN Ocean Platform Canary Isl, Carretera Taliarte, Telde 35214, Gran Canaria, Spain; [Crout, Richard; Gould, Richard] Naval Res Lab, Stennis Space Ctr, MS USA; [Frouin, Robert; Goericke, Ralf; Kahru, Mati; Mitchell, Brian G.] Univ Calif San Diego, Scripps Inst Oceanog, La Jolla, CA 92093 USA; [Garcia-Soto, Carlos] Spanish Inst Oceanog IEO, Corazon de Maria 8, Madrid 28002, Spain; [Garcia-Soto, Carlos] Plentziako Itsas Estazioa Euskal Herriko Unibetsi, Plentzia 48620, Spain; [Gibb, Stuart W.] Univ Highlands &amp; Isl, North Highland Coll, Environm Res Inst, Thurso, Scotland; [Freeman, Scott; Hooker, Stanford B.; Mannino, Antonio; Neeley, Aimee; Novak, Michael; Thomas, Crystal; Werdell, Jeremy] NASA Goddard Space Flight Ctr, Greenbelt, MD USA; [Kampel, Milton] Natl Space Res Inst INPE, Earth Observat &amp; Geoinformat Div, Sao Jose Dos Campos, SP, Brazil; [Klein, Holger] Fed Maritime &amp; Hydrog Agcy, Operat Oceanog Grp, Hamburg, Germany; [Kratzer, Susanne] Stockholm Univ, Dept Ecol Environm &amp; Plant Sci, S-10691 Stockholm, Sweden; [Kudela, Raphael] Univ Calif Santa Cruz, Santa Cruz, CA 95064 USA; [Ledesma, Jesus] Inst Mar Peru, Callao, Peru; [Loisel, Hubert] Univ Lille, Univ Littoral Cote dOpale, Lab Oceanol &amp; Geosci, CNRS,UMR 8187,LOG, 32 Ave Foch, Wimereux, France; [McKee, David] Univ Strathclyde, Phys Dept, Glasgow G4 0NG, Lanark, Scotland; [Moisan, Tiffany] NASA Goddard Space Flight Ctr, Wallops Flight Facil, Wallops Isl, VA USA; [Muller-Karger, Frank] Univ S Florida, Coll Marine Sci, Inst Marine Remote Sensing ImaRS, Tampa, FL 33620 USA; [O'Dowd, Leonie] Marine Inst, Fisheries &amp; Ecosyst Advisory Serv, Galway, Ireland; [Ondrusek, Michael] NOAA NESDIS STAR SOCD, College Pk, MD USA; [Poulton, Alex J.] Heriot Watt Univ, Lyell Ctr Earth &amp; Marine Sci &amp; Technol, Edinburgh, Midlothian, Scotland; [Repecaud, Michel] IFREMER Ctr Brest, Plouzane, France; [Smythe-Wright, Denise] Natl Oceanog Ctr, Ocean Biogeochem &amp; Ecosyst, Waterfront Campus, Southampton, Hants, England; [Sosik, Heidi M.] Woods Hole Oceanog Inst, Biol Dept, Woods Hole, MA 02543 USA; [Twardowski, Michael] Harbor Branch Oceanog Inst Inc, Ft Pierce, FL USA; [Voss, Kenneth] Univ Miami, Coral Gables, FL 33124 USA; [Wernand, Marcel] Royal Netherlands Inst Sea Res, Texel, Netherlands; [Wright, Simon] Univ Tasmania, Australian Antarctic Div, Hobart, Tas, Australia; [Wright, Simon] Univ Tasmania, IMAS, Hobart, Tas, Australia; [Wright, Simon] Antarctic Climate &amp; Ecosyst Cooperat Res Ctr, Hobart, Tas, Australia; [Brewin, Robert J. W.] Univ Exeter, Coll Life &amp; Environm Sci, Ctr Geog &amp; Environm Sci, Penryn Campus, Penryn TR10 9FE, Cornwall, England; [Freeman, Scott] Sci Syst &amp; Applicat Inc, 10210 Greenbelt Rd,Suite 600, Lanham, MD USA; [Guillocheau, Nathalie] Univ Calif Santa Barbara, Earth Res Inst, Santa Barbara, CA 93106 USA; [Hu, Chuamin] Univ S Florida, Coll Marine Sci, 140 Seventh Ave South, St Petersburg, FL 33701 USA; [Lohrenz, Steven] Univ Massachusetts Dartmouth, Sch Marine Sci &amp; Technol, 836 South Rodney French Blvd, New Bedford, MA 02744 USA; [Montes, Enrique] NOAA, Ocean Chem &amp; Ecosyst Div, Atlantic Oceanog &amp; Meteorol Lab, Miami, FL USA; [Vellucci, Vincenzo] Sorbonne Univ, CNRS, Inst Mer Villefranche, IMEV, F-06230 Villefranche Sur Mer, France; [Roettgers, Rudiger] Helmholtz Zentrum Hereon, Inst Carbon Cycles, Geesthacht, Germany; [Thomas, Rob] Marine Inst, Galway, Ireland; [Montes, Enrique] Univ Miami, Cooperat Inst Marine &amp; Atmospher Studies CIMAS, 4600 Rickenbacker Causeway, Miami, FL 33149 USA; [Valente, Andre] AIR Ctr Atlantic Int Res Ctr, Parque Ciencia &amp; Tecnol Ilha Terceira, P-9700702 Angra Do Heroismo, Portugal</t>
  </si>
  <si>
    <t>Universidade de Lisboa; Plymouth Marine Laboratory; European Organisation for the Exploitation of Meteorological Satellites; Centre National de la Recherche Scientifique (CNRS); Sorbonne Universite; Curtin University; University of Southern Mississippi; Commonwealth Scientific &amp; Industrial Research Organisation (CSIRO); University of Quebec; Universite du Quebec a Rimouski; European Commission Joint Research Centre; EC JRC ISPRA Site; Dokuz Eylul University; Institute of Marine Research - Norway; Helmholtz Association; Alfred Wegener Institute, Helmholtz Centre for Polar &amp; Marine Research; University of Bremen; Consiglio Nazionale delle Ricerche (CNR); Istituto di Scienze Marine (ISMAR-CNR); Monterey Bay Aquarium Research Institute; United States Department of Defense; United States Navy; Naval Research Laboratory; University of California System; University of California San Diego; Scripps Institution of Oceanography; University of Basque Country; UHI Millennium Institute; National Aeronautics &amp; Space Administration (NASA); NASA Goddard Space Flight Center; Instituto Nacional de Pesquisas Espaciais (INPE); Stockholm University; University of California System; University of California Santa Cruz; Instituto del Mar del Peru; Centre National de la Recherche Scientifique (CNRS); CNRS - National Institute for Earth Sciences &amp; Astronomy (INSU); Universite du Littoral-Cote-d'Opale; Universite de Lille; University of Strathclyde; National Aeronautics &amp; Space Administration (NASA); NASA Goddard Space Flight Center; Wallops Flight Facility; State University System of Florida; University of South Florida; Marine Institute Ireland; Heriot Watt University; Ifremer; NERC National Oceanography Centre; Woods Hole Oceanographic Institution; Harbor Branch Oceanographic Institute Foundation; University of Miami; Utrecht University; Royal Netherlands Institute for Sea Research (NIOZ); Australian Antarctic Division; University of Tasmania; University of Tasmania; Antarctic Climate &amp; Ecosystems Cooperative Research Centre (ACE CRC); University of Exeter; Science Systems and Applications Inc; University of California System; University of California Santa Barbara; State University System of Florida; University of South Florida; University of Massachusetts System; University Massachusetts Dartmouth; National Oceanic Atmospheric Admin (NOAA) - USA; Atlantic Oceanographic &amp; Meteorological Laboratory (AOML); Sorbonne Universite; Centre National de la Recherche Scientifique (CNRS); Helmholtz Association; Helmholtz-Zentrum Hereon; Marine Institute Ireland; University of Miami</t>
  </si>
  <si>
    <t>Valente, A (corresponding author), Univ Lisbon, Fac Ciencias, MARE Marine &amp; Environm Sci Ctr, P-1749016 Lisbon, Portugal.;Valente, A (corresponding author), AIR Ctr Atlantic Int Res Ctr, Parque Ciencia &amp; Tecnol Ilha Terceira, P-9700702 Angra Do Heroismo, Portugal.</t>
  </si>
  <si>
    <t>adovalente@fc.ul.pt</t>
  </si>
  <si>
    <t>Gibb, Stuart W/D-5802-2013; McKee, David J C/D-6244-2013; Valente, Andre S. F. G./G-5244-2016; Brando, Vittorio/A-1321-2008; amplification, ³ - Arctic/AAU-6640-2020; Bélanger, Simon/ABH-0121-2022; Mannino, Antonio/I-3633-2014; Hooker, Stanford B/E-2162-2012; Brotas, Vanda/A-2410-2012; Poulton, Alex/A-9859-2012; Ferreira, Afonso/Y-3832-2018</t>
  </si>
  <si>
    <t>Brando, Vittorio/0000-0002-2193-5695; Bélanger, Simon/0000-0002-9172-8376; McKee, David/0000-0001-8023-5923; Brotas, Vanda/0000-0001-8612-4167; Canuti, Elisabetta/0000-0002-4357-8203; Barker, Kathryn/0000-0002-5152-0319; Brewin, Robert/0000-0001-5134-8291; Poulton, Alex/0000-0002-5149-6961; Ferreira, Afonso/0000-0002-2670-8125; REPECAUD, Michel/0000-0001-6338-0125; Bracher, Astrid/0000-0003-3025-5517; Vellucci, Vincenzo/0000-0001-5392-7457; Zibordi, Giuseppe/0000-0002-2253-1828; Andreia Filipa Goncalves, Tracana/0000-0002-5682-4063</t>
  </si>
  <si>
    <t>ESA OC-CCI project [4000101437/10/I-LG]; EU-METSAT Multi-mission Ocean Colour Algorithm Prototyping (OMAPS); European Union; [810139]; NERC [NE/R015953/1, NE/N001974/1, NE/P021409/1, NE/V000462/1] Funding Source: UKRI</t>
  </si>
  <si>
    <t>ESA OC-CCI project; EU-METSAT Multi-mission Ocean Colour Algorithm Prototyping (OMAPS); European Union(European Union (EU)); ; NERC(UK Research &amp; Innovation (UKRI)Natural Environment Research Council (NERC))</t>
  </si>
  <si>
    <t>This paper received funding from the ESA OC-CCI project (grant number 4000101437/10/I-LG), the EU-METSAT Multi-mission Ocean Colour Algorithm Prototyping (OMAPS), and the European Union's Horizon 2020 research and innovation programme under grant agreement 810139: Project Portugal Twinning for Innovation and Excellence in Marine Science and Earth Observation - PORTWIMS.</t>
  </si>
  <si>
    <t>1866-3508</t>
  </si>
  <si>
    <t>1866-3516</t>
  </si>
  <si>
    <t>EARTH SYST SCI DATA</t>
  </si>
  <si>
    <t>Earth Syst. Sci. Data</t>
  </si>
  <si>
    <t>10.5194/essd-14-5737-2022</t>
  </si>
  <si>
    <t>7H6XE</t>
  </si>
  <si>
    <t>Green Accepted, Green Submitted, gold</t>
  </si>
  <si>
    <t>WOS:000903343100001</t>
  </si>
  <si>
    <t>Kinzey, D; Cossio, AM; Reiss, CS; Watters, GM</t>
  </si>
  <si>
    <t>Kinzey, Douglas; Cossio, Anthony M.; Reiss, Christian S.; Watters, George M.</t>
  </si>
  <si>
    <t>Acoustic sampling of Antarctic krill with simulated underwater buoyancy gliders: Does the sawtooth dive pattern work?</t>
  </si>
  <si>
    <t>underwater autonomous gliders; simulation; acoustic sampling; Antarctic krill; accuracy</t>
  </si>
  <si>
    <t>SOUTH-SHETLAND ISLANDS; EUPHAUSIA-SUPERBA; SCOTIA SEA; ABUNDANCE; FISH; FISHERIES; MANAGEMENT; ECOSYSTEM; VARIABILITY</t>
  </si>
  <si>
    <t>Autonomous underwater gliders may be viable adjuncts to or in some cases replacements for ship-based oceanographic sampling. Gliders and ships acoustically sample the water column differently, with ships sampling all depths simultaneously in a single vertical pulse and gliders sampling shorter vertical segments of the water column in an up and down, sawtooth pattern. We simulated gliders following this flight pattern to sample the densities at depth of Antarctic krill (Euphausia superba), a patchily-distributed crustacean that is targeted by an international fishery. Krill densities from ship-based surveys conducted between 2001 to 2011 were treated as the true population densities sampled by the simulated gliders. Depth-integrated densities estimated from the glider sampling were compared to the population densities for each year. Coverage probabilities (the proportion of population means within a standard deviation of the glider sample means) for gliders diving to 150 m were near 100% in most years, better than the nominal 68%. Gliders diving to a maximum depth of 150 m estimated the annual population means better than gliders diving deeper because shallow dives provided more samples for a given length of trackline. Modeling the zero and non-zero data as separate distributions (the delta approach), an alternative to the lognormal CV approach used in this study, resulted in less accurate estimates of krill population densities. These results suggest that the sawtooth flight pattern of gliders can produce density estimates of krill comparable to the annual time series of density estimates from ship-based surveys. Gliders may also be useful to survey other patchily-distributed pelagic organisms.</t>
  </si>
  <si>
    <t>[Kinzey, Douglas; Cossio, Anthony M.; Reiss, Christian S.; Watters, George M.] NOAA Fisheries, Antarctic Ecosyst Res Div, Southwest Fisheries Sci Ctr, La Jolla, CA 92037 USA</t>
  </si>
  <si>
    <t>National Oceanic Atmospheric Admin (NOAA) - USA</t>
  </si>
  <si>
    <t>Kinzey, D (corresponding author), NOAA Fisheries, Antarctic Ecosyst Res Div, Southwest Fisheries Sci Ctr, La Jolla, CA 92037 USA.</t>
  </si>
  <si>
    <t>doug.kinzey@noaa.gov</t>
  </si>
  <si>
    <t>Watters, George/HPE-2184-2023; Cossio, Anthony/HLX-3335-2023</t>
  </si>
  <si>
    <t>Watters, George/0000-0002-6989-1273;</t>
  </si>
  <si>
    <t>10.3389/fmars.2022.1064181</t>
  </si>
  <si>
    <t>7O2ZI</t>
  </si>
  <si>
    <t>WOS:000907897300001</t>
  </si>
  <si>
    <t>Engelberts, JP; Robbins, SJ; Herbold, CW; Moeller, FU; Jehmlich, N; Laffy, PW; Wagner, M; Webster, NS</t>
  </si>
  <si>
    <t>Engelberts, Joan Pamela; Robbins, Steven J.; Herbold, Craig W.; Moeller, Florian U.; Jehmlich, Nico; Laffy, Patrick W.; Wagner, Michael; Webster, Nicole S.</t>
  </si>
  <si>
    <t>Metabolic reconstruction of the near complete microbiome of the model sponge Ianthella basta</t>
  </si>
  <si>
    <t>ENVIRONMENTAL MICROBIOLOGY</t>
  </si>
  <si>
    <t>CADHERIN DOMAINS; MARINE; GENOME; SYMBIONTS; DIVERSITY; RESOURCES; BACTERIUM; COVERAGE; ARCHAEA; CELLS</t>
  </si>
  <si>
    <t>Many marine sponges host highly diverse microbiomes that contribute to various aspects of host health. Although the putative function of individual groups of sponge symbionts has been increasingly described, the extreme diversity has generally precluded in-depth characterization of entire microbiomes, including identification of syntrophic partnerships. The Indo-Pacific sponge Ianthella basta is emerging as a model organism for symbiosis research, hosting only three dominant symbionts: a Thaumarchaeotum, a Gammaproteobacterium, and an Alphaproteobacterium and a range of other low abundance or transitory taxa. Here, we retrieved metagenome assembled genomes (MAGs) representing &gt; 90% of I. basta's microbial community, facilitating the metabolic reconstruction of the sponge's near complete microbiome. Through this analysis, we identified metabolic complementarity between microbes, including vitamin sharing, described the importance of low abundance symbionts, and characterized a novel microbe-host attachment mechanism in the Alphaproteobacterium. We further identified putative viral sequences, highlighting the role viruses can play in maintaining symbioses in I. basta through the horizontal transfer of eukaryotic-like proteins, and complemented this data with metaproteomics to identify active metabolic pathways in bacteria, archaea, and viruses. This data provide the framework to adopt I. basta as a model organism for studying host-microbe interactions and provide a basis for in-depth physiological experiments.</t>
  </si>
  <si>
    <t>[Engelberts, Joan Pamela; Robbins, Steven J.; Webster, Nicole S.] Univ Queensland, Australian Ctr Ecogenom, Sch Chem &amp; Mol Biosci, Brisbane, Qld, Australia; [Herbold, Craig W.; Moeller, Florian U.; Wagner, Michael] Univ Vienna, Ctr Microbiol &amp; Environm Syst Sci, Div Microbial Ecol, Vienna, Austria; [Jehmlich, Nico] UFZ Helmholtz Ctr Environm Res, Dept Mol Syst Biol, Leipzig, Germany; [Laffy, Patrick W.; Webster, Nicole S.] Australian Inst Marine Sci, Townsville, Qld, Australia; [Wagner, Michael] Aalborg Univ, Ctr Microbial Communities, Dept Chem &amp; Biosci, Aalborg, Denmark; [Webster, Nicole S.] Australian Antarctic Div, Kingston, Tas, Australia</t>
  </si>
  <si>
    <t>University of Queensland; University of Vienna; Helmholtz Association; Helmholtz Center for Environmental Research (UFZ); Australian Institute of Marine Science; Aalborg University; Australian Antarctic Division</t>
  </si>
  <si>
    <t>Engelberts, JP (corresponding author), Univ Queensland, Australian Ctr Ecogenom, Sch Chem &amp; Mol Biosci, Brisbane, Qld, Australia.</t>
  </si>
  <si>
    <t>j.engelberts@uqconnect.edu.au</t>
  </si>
  <si>
    <t>Herbold, Craig William/S-4397-2018; Robbins, Steven/R-7116-2019; Engelberts, J. Pamela/AAW-5997-2021; Jehmlich, Nico/B-5403-2009; Wagner, Michael/A-7801-2011</t>
  </si>
  <si>
    <t>Herbold, Craig William/0000-0003-3479-0197; Engelberts, J. Pamela/0000-0002-1185-3741; Jehmlich, Nico/0000-0002-5638-6868; Robbins, Steven/0000-0003-4592-084X; Wagner, Michael/0000-0002-9778-7684</t>
  </si>
  <si>
    <t>European Research Council [294343]; Austrian Science Fund [Z-383-B]</t>
  </si>
  <si>
    <t>European Research Council(European Research Council (ERC)); Austrian Science Fund(Austrian Science Fund (FWF))</t>
  </si>
  <si>
    <t>European Research Council, Grant/Award Number: 294343; Austrian Science Fund, Grant/Award Number: Z-383-B</t>
  </si>
  <si>
    <t>1462-2912</t>
  </si>
  <si>
    <t>1462-2920</t>
  </si>
  <si>
    <t>ENVIRON MICROBIOL</t>
  </si>
  <si>
    <t>Environ. Microbiol.</t>
  </si>
  <si>
    <t>10.1111/1462-2920.16302</t>
  </si>
  <si>
    <t>K5AP2</t>
  </si>
  <si>
    <t>WOS:000903365500001</t>
  </si>
  <si>
    <t>Raath-Krüger, MJ; Schöb, C; McGeoch, MA; Burger, DA; Strydom, T; le Roux, PC</t>
  </si>
  <si>
    <t>Raath-Krueger, Morgan J.; Schoeb, Christian; McGeoch, Melodie A.; Burger, Divan A.; Strydom, Tanya; le Roux, Peter C.</t>
  </si>
  <si>
    <t>Long-term spatially-replicated data show no physical cost to a benefactor species in a facilitative plant-plant interaction</t>
  </si>
  <si>
    <t>OIKOS</t>
  </si>
  <si>
    <t>beneficiary feedback effects; bidirectional plant-plant interactions; cost of facilitation; long-term dataset; repeat photography; sub-Antarctic</t>
  </si>
  <si>
    <t>STRESS-GRADIENT HYPOTHESIS; CUSHION PLANT; BIOTIC INTERACTIONS; ONTOGENIC SHIFTS; AZORELLA-SELAGO; SEMIARID PLANT; CLIMATE-CHANGE; COMMUNITY; DYNAMICS; ACAULIS</t>
  </si>
  <si>
    <t>Facilitation is an interaction where one species (the benefactor) positively impacts another (the beneficiary). However, the reciprocal effects of beneficiaries on their benefactors are typically only documented using short-term datasets. We use Azorella selago, a cushion plant species and benefactor, and a co-occurring grass species, Agrostis magellanica, on sub-Antarctic Marion Island, comparing cushion plants and the grasses growing on them over a 13-year period using a correlative approach. We additionally compare the feedback effect of A. magellanica on A. selago identified using our long-term dataset with data collected from a single time period. We hypothesized that A. selago size and vitality would be negatively affected by A. magellanica cover and that the effect of A. magellanica on A. selago would become more negative with increasing beneficiary cover and abiotic-severity, due to, e.g. more intense competition for resources. We additionally hypothesized that A. magellanica cover would increase more on cushion plants with greater dead stem cover, since dead stems do not inhibit grass colonization or growth. The relationship between A. magellanica cover and A. selago size and vitality was not significant in the long-term dataset, and the feedback effect of A. magellanica on A. selago did not vary significantly with altitude or aspect; however, data from a single time period did not consistently identify this same lack of correlation. Moreover, A. selago dead stem cover was not significantly related to an increase in A. magellanica cover over the long term; however, we observed contrasting results from short-term datasets. Long-term datasets may, therefore, be more robust (and practical) for assessing beneficiary feedback effects than conventional approaches, particularly when benefactors are slow-growing. For the first time using a long-term dataset, we show a lack of physical cost to a benefactor species in a facilitative interaction, in contrast to the majority of short-term studies.</t>
  </si>
  <si>
    <t>[Raath-Krueger, Morgan J.] Univ Johannesburg, Dept Zool, Ctr Ecol Genom &amp; Wildlife Conservat, Auckland Pk, South Africa; [Schoeb, Christian] Swiss Fed Inst Technol, Inst Agr Sci, Zurich, Switzerland; [McGeoch, Melodie A.] La Trobe Univ, Sch Life Sci, Dept Ecol Environm &amp; Evolut, Bundoora, Vic, Australia; [Burger, Divan A.] Univ Pretoria, Dept Stat, Pretoria, South Africa; [Strydom, Tanya; le Roux, Peter C.] Univ Pretoria, Dept Plant &amp; Soil Sci, Pretoria, South Africa; [Schoeb, Christian] Univ Rey Juan Carlos, Area Biodiversidad &amp; Conservac, Madrid, Spain; [Burger, Divan A.] Cytel Inc, Waltham, MA USA</t>
  </si>
  <si>
    <t>University of Johannesburg; Swiss Federal Institutes of Technology Domain; ETH Zurich; La Trobe University; University of Pretoria; University of Pretoria; Universidad Rey Juan Carlos; Cytel</t>
  </si>
  <si>
    <t>Raath-Krüger, MJ (corresponding author), Univ Johannesburg, Dept Zool, Ctr Ecol Genom &amp; Wildlife Conservat, Auckland Pk, South Africa.</t>
  </si>
  <si>
    <t>morganj.r@hotmail.com</t>
  </si>
  <si>
    <t>le Roux, Peter Christiaan/E-7784-2011; Raath-Krüger, Morgan/AAM-8871-2020; Schob, Christian/B-6083-2008; McGeoch, Melodie/F-8353-2011; Burger, Divan Aristo/V-1986-2017</t>
  </si>
  <si>
    <t>le Roux, Peter Christiaan/0000-0002-7941-7444; Raath-Krüger, Morgan/0000-0002-3326-1165; Schob, Christian/0000-0003-4472-2286; McGeoch, Melodie/0000-0003-3388-2241; Burger, Divan Aristo/0000-0001-8096-6371; Strydom, Tanya/0000-0001-6067-1349</t>
  </si>
  <si>
    <t>South African National Antarctic Program (SANAP) [110726]; National Research Foundation of South Africa (NRF) [SFH150727131155, SFH180522333135]; NRF Postdoctoral Grant [PDG190329424983]; Swiss National Science Foundation [PPOOP3_170645]</t>
  </si>
  <si>
    <t>South African National Antarctic Program (SANAP); National Research Foundation of South Africa (NRF)(National Research Foundation - South Africa); NRF Postdoctoral Grant; Swiss National Science Foundation(Swiss National Science Foundation (SNSF))</t>
  </si>
  <si>
    <t>This research was funded by the South African National Antarctic Program (SANAP; unique grant no. 110726), the National Research Foundation of South Africa (NRF Scarce Skills Doctoral Scholarships, grant no. SFH150727131155 and SFH180522333135; NRF Postdoctoral Grant, grant no.PDG190329424983) and the Swiss National Science Foundation (PPOOP3_170645).</t>
  </si>
  <si>
    <t>0030-1299</t>
  </si>
  <si>
    <t>1600-0706</t>
  </si>
  <si>
    <t>Oikos</t>
  </si>
  <si>
    <t>10.1111/oik.09617</t>
  </si>
  <si>
    <t>A9LS1</t>
  </si>
  <si>
    <t>WOS:000901650600001</t>
  </si>
  <si>
    <t>Mikkelsen, EK; Weir, JT</t>
  </si>
  <si>
    <t>Mikkelsen, Else K.; Weir, Jason T.</t>
  </si>
  <si>
    <t>Phylogenomics Reveals that Mitochondrial Capture and Nuclear Introgression Characterize Skua Species Proposed to be of Hybrid Origin</t>
  </si>
  <si>
    <t>SYSTEMATIC BIOLOGY</t>
  </si>
  <si>
    <t>ADAPTIVE INTROGRESSION; ENIGMATIC PHYLOGENY; APOSTATIC SELECTION; PARASITIC JAEGER; HYBRIDIZATION; SPECIATION; EVOLUTION; AVES; DIVERSITY; GENOMES</t>
  </si>
  <si>
    <t>The skuas and jaegers (Stercorariidae) are an enigmatic family of seven seabird species that breed at Arctic and Antarctic latitudes. The phylogenetic relationships amongst the species have been controversial, with one of the biggest enigmas involving the Pomarine Jaeger (Stercorarius pomarinus), which has been proposed to represent a hybrid species originating from the merging of distant lineages within the complex. We inferred a phylogeny for the family using multispecies coalescent methods with whole-genome sequencing for all seven species of Stercorariidae, and document an evolutionary history rich in introgression. We uncover evidence for mitochondrial capture and nuclear introgression between S. pomarinus and Stercorarius skua, providing a potential avenue for adaptive introgression. One candidate for adaptive introgression is the MC1R plumage gene which appears to have introgressed from one of the large skuas into S. pomarinus, where it now forms the basis of the dark-morph color polymorphism of that species. We further highlight a complex biogeographical history of interchange between the Arctic and Antarctic, with unexpected close ancestry between S. skua of the northern hemisphere and Stercorarius antarcticus of the southern hemisphere. These results highlight the dynamic history of introgression during pelagic seabird radiation. [Incomplete lineage sorting; introgression; mitochondrial capture; phylogenomics; skua; species tree; stercorariidae; whole-genome resequencing.]</t>
  </si>
  <si>
    <t>[Mikkelsen, Else K.; Weir, Jason T.] Univ Toronto, Dept Ecol &amp; Evolutionary Biol, Toronto, ON, Canada; [Weir, Jason T.] Univ Toronto, Dept Biol, Toronto, ON, Canada; [Mikkelsen, Else K.] Univ Toronto, Dept Ecol &amp; Evolutionary Biol, 1265 Mil Trail, Toronto, ON M1C 1A4, Canada</t>
  </si>
  <si>
    <t>University of Toronto; University of Toronto; University of Toronto</t>
  </si>
  <si>
    <t>Mikkelsen, EK (corresponding author), Univ Toronto, Dept Ecol &amp; Evolutionary Biol, 1265 Mil Trail, Toronto, ON M1C 1A4, Canada.</t>
  </si>
  <si>
    <t>else.mikkelsen@mail.utoronto.ca</t>
  </si>
  <si>
    <t>Weir, Jason T./A-2920-2009</t>
  </si>
  <si>
    <t>Mikkelsen, Else/0000-0002-9734-0233</t>
  </si>
  <si>
    <t>Natural Sciences and Engineering Research Council of Canada [411293437]; E.K.M., NSERC Discovery [RGPIN-2016-06538, RGPIN-2022-04817]; NSERC Discovery Accelerator [492890]; University of Toronto Scarborough (Research Excellence Faculty Scholar award to J.T.W.)</t>
  </si>
  <si>
    <t>Natural Sciences and Engineering Research Council of Canada(Natural Sciences and Engineering Research Council of Canada (NSERC)CGIAR); E.K.M., NSERC Discovery(Natural Sciences and Engineering Research Council of Canada (NSERC)); NSERC Discovery Accelerator(Natural Sciences and Engineering Research Council of Canada (NSERC)); University of Toronto Scarborough (Research Excellence Faculty Scholar award to J.T.W.)</t>
  </si>
  <si>
    <t>This work was supported by the Natural Sciences and Engineering Research Council of Canada (CGS-D fellowship [grant number 411293437] to E.K.M., NSERC Discovery Grant [grant number RGPIN-2016-06538, RGPIN-2022-04817] and NSERC Discovery Accelerator Grant [grant number 492890] to J.T.W.); and the University of Toronto Scarborough (Research Excellence Faculty Scholar award to J.T.W.).</t>
  </si>
  <si>
    <t>1063-5157</t>
  </si>
  <si>
    <t>1076-836X</t>
  </si>
  <si>
    <t>SYST BIOL</t>
  </si>
  <si>
    <t>Syst. Biol.</t>
  </si>
  <si>
    <t>MAY 19</t>
  </si>
  <si>
    <t>10.1093/sysbio/syac078</t>
  </si>
  <si>
    <t>H0GQ5</t>
  </si>
  <si>
    <t>WOS:000942853700001</t>
  </si>
  <si>
    <t>Artemieva, IM</t>
  </si>
  <si>
    <t>Artemieva, Irina M.</t>
  </si>
  <si>
    <t>Back-arc basins: A global view from geophysical synthesis and analysis</t>
  </si>
  <si>
    <t>Subduction; Lithosphere extension; Isostasy; Buoyancy; Crustal thickness; Magmatic underplating; Lower crust; Heat flow; Cooling plate model; Slab dip</t>
  </si>
  <si>
    <t>SOUTH CHINA SEA; OCEANIC CRUSTAL THICKNESS; ANTARCTIC RIFT SYSTEM; NORTH FIJI BASIN; GULF-OF-MEXICO; BLACK-SEA; HEAT-FLOW; SUBDUCTION-ZONE; MANTLE WEDGE; ISLAND-ARC</t>
  </si>
  <si>
    <t>This global study of 31 off-shore back-arc basins and subbasins (BABs) identifies their principal characteristics based on a broad spectrum of geophysical and subduction-related parameters. My synthesis is used to identify trends in the evolution of back-arc basins for improving our understanding of subduction systems in general. The analysis, based on the present plate configuration, demonstrates that geophysical characteristics and fate of the back-arc basins are essentially controlled by the tectonic type of the overriding plate, which controls the lithosphere thermo-compositional structure and rheology. The type of the plate governs the length of the extensional zone in back-arc settings along the trench, the efficiency of lithosphere stretching, and the crustal structure, buoyancy and bathymetry of the BABs. Subduction dip angle apparently controls the location of the slab melting zone and the efficiency of slab roll-back with feedback links to other parameters. By the tectonic nature of the overriding plate (the downgoing plate is always oceanic) the back-arc basins are split into active BABs formed by ocean-ocean, arc-ocean, and continent-ocean convergence, and extinct back-arc basins. By geophysical characteristics, BABs formed on continental plates are subdivided into active BABs with and without seafloor spreading, and extinct BABs are subdivided into the Pacific BABs, possibly formed on oceanic plates, and the non-Pacific BABs with reworked continental or arc fragments. Six types of BABs are distinctly different. Extension of the overriding oceanic plate above a steeply dipping old oceanic plate, preferentially subducting nearly westwards, forms large deep back-arc basins with a thin oceanic type crust. In contrast, BABs on the overriding continental or arc plates form at small opening rates and often by shallow subduction of younger oceanic plates with a random subduction orientation; these BABs have small sizes, shallow bathymetry, and hyperextended or transitional similar to 20 km thick arc-or continental-type crust typical of passive margins. The presence of a 2-5 km thick high-Vp lowermost crustal layer, characteristic of BABs in all settings, indicates the importance of magmatic underplating in the crustal growth. Conditions required for the initiation of a back-arc basin and transition from stretching to seafloor opening depend on the nature of the overriding plate. BABs formed on oceanic plates always evolve to seafloor spreading. BABs formed on continental or arc plates require long spreading duration with large (&gt;8 cm/y) opening rates and a large crustal thinning factor of 2.8-5.0 to progress from crustal extension to seafloor spreading. On the present Earth such transition does not happen in the back-arc basins formed behind a shallow subduction (&lt;45 degrees) of a young (&lt;40 My) oceanic plate. The nature of the overriding plate also determines the fate of back-arc basins after termination of lithosphere extension: the extinct Pacific back-arc basins with oceanic-type crust evolve towards deep old normal oceans, while the shallow non-Pacific BABs with low heat flow and thick crust are likely to preserve their continental or arc affinity. BABs do not follow the oceanic cooling plate model predictions. Distinctly different geophysical signatures for mid-ocean ridge spreading and for back-arc seafloor spreading are caused by principally different dynamics.</t>
  </si>
  <si>
    <t>[Artemieva, Irina M.] China Acad Geol Sci, SinoProbe Lab, Beijing 100037, Peoples R China; [Artemieva, Irina M.] China Univ Geosci, Sch Earth Sci, State Key Lab GPMR, Wuhan 430074, Peoples R China; [Artemieva, Irina M.] GEOMAR Helmholtz Ctr Ocean Res, Sect Marine Geodynam, D-24148 Kiel, Germany</t>
  </si>
  <si>
    <t>China University of Geosciences; Helmholtz Association; GEOMAR Helmholtz Center for Ocean Research Kiel</t>
  </si>
  <si>
    <t>Artemieva, IM (corresponding author), China Acad Geol Sci, SinoProbe Lab, Beijing 100037, Peoples R China.;Artemieva, IM (corresponding author), China Univ Geosci, Sch Earth Sci, State Key Lab GPMR, Wuhan 430074, Peoples R China.</t>
  </si>
  <si>
    <t>iartemieva@geomar.de</t>
  </si>
  <si>
    <t>Artemieva, Irina M./ABH-8216-2020</t>
  </si>
  <si>
    <t>Artemieva, Irina M./0000-0002-3207-2901</t>
  </si>
  <si>
    <t>National Science Foundation of China [92055210]</t>
  </si>
  <si>
    <t>National Science Foundation of China(National Natural Science Foundation of China (NSFC))</t>
  </si>
  <si>
    <t>The National Science Foundation of China grant No. 92055210 is acknowledged. Comments of the handling editor C. Doglioni, an anonymous reviewer and Li S.-Z. are appreciated. The author is grateful to several colleagues for constructive, detailed and interesting comments to an intermediate version of the manuscript, and to H. Thybo and A. Shulgin for numerous discussions of the initial results.</t>
  </si>
  <si>
    <t>10.1016/j.earscirev.2022.104242</t>
  </si>
  <si>
    <t>7T5PQ</t>
  </si>
  <si>
    <t>WOS:000911498600001</t>
  </si>
  <si>
    <t>Hoem, FS; Sauermilch, I; Aleksinski, AK; Huber, M; Peterse, F; Sangiorgi, F; Bijl, PK</t>
  </si>
  <si>
    <t>Hoem, Frida S.; Sauermilch, Isabel; Aleksinski, Adam K.; Huber, Matthew; Peterse, Francien; Sangiorgi, Francesca; Bijl, Peter K.</t>
  </si>
  <si>
    <t>Strength and variability of the Oligocene Southern Ocean surface temperature gradient</t>
  </si>
  <si>
    <t>ICE-SHEET VARIABILITY; OFFSHORE WILKES LAND; ANTARCTIC CIRCUMPOLAR CURRENT; LATE EOCENE; CLIMATE SENSITIVITY; DRAKE PASSAGE; ROSS SEA; EVOLUTION; MARINE; PALEOCEANOGRAPHY</t>
  </si>
  <si>
    <t>Large Oligocene Antarctic ice sheets co-existed with warm proximal waters offshore Wilkes Land. Here we provide a broader Southern Ocean perspective to such warmth by reconstructing the strength and variability of the Oligocene Australian-Antarctic latitudinal sea surface temperature gradient. Our Oligocene TEX86-based sea surface temperature record from offshore southern Australia shows temperate (20-29 &amp; DEG;C) conditions throughout, despite northward tectonic drift. A persistent sea surface temperature gradient (similar to 5-10 &amp; DEG;C) exists between Australia and Antarctica, which increases during glacial intervals. The sea surface temperature gradient increases from similar to 26 Ma, due to Antarctic-proximal cooling. Meanwhile, benthic foraminiferal oxygen isotope decline indicates ice loss/deep-sea warming. These contrasting patterns are difficult to explain by greenhouse gas forcing alone. Timing of the sea surface temperature cooling coincides with deepening of Drake Passage and matches results of ocean model experiments that demonstrate that Drake Passage opening cools Antarctic proximal waters. We conclude that Drake Passage deepening cooled Antarctic coasts which enhanced thermal isolation of Antarctica.</t>
  </si>
  <si>
    <t>[Hoem, Frida S.; Sauermilch, Isabel; Peterse, Francien; Sangiorgi, Francesca; Bijl, Peter K.] Univ Utrecht, Dept Earth Sci, Utrecht, Netherlands; [Aleksinski, Adam K.; Huber, Matthew] Purdue Univ, Dept Earth Atmospher &amp; Planetary Sci, W Lafayette, IN USA</t>
  </si>
  <si>
    <t>Utrecht University; Purdue University System; Purdue University</t>
  </si>
  <si>
    <t>Hoem, FS (corresponding author), Univ Utrecht, Dept Earth Sci, Utrecht, Netherlands.</t>
  </si>
  <si>
    <t>Frida.snho@gmail.com</t>
  </si>
  <si>
    <t>Peterse, Francien/AAY-1473-2021; Huber, Matthew/A-7677-2008</t>
  </si>
  <si>
    <t>Peterse, Francien/0000-0001-8781-2826; Huber, Matthew/0000-0002-2771-9977; Sangiorgi, Francesca/0000-0003-4233-6154; Hoem, Frida/0000-0002-8834-6799</t>
  </si>
  <si>
    <t>IODP; NWO polar programme [ALW.2016.001]; ERC [802835]; NSF OPP [1842059]; European Research Council (ERC) [802835] Funding Source: European Research Council (ERC); Directorate For Geosciences; Office of Polar Programs (OPP) [1842059] Funding Source: National Science Foundation</t>
  </si>
  <si>
    <t>IODP; NWO polar programme; ERC(European Research Council (ERC)); NSF OPP(National Science Foundation (NSF)NSF - Directorate for Geosciences (GEO)); European Research Council (ERC)(European Research Council (ERC)Spanish Government); Directorate For Geosciences; Office of Polar Programs (OPP)(National Science Foundation (NSF)NSF - Directorate for Geosciences (GEO))</t>
  </si>
  <si>
    <t>This work used archived samples and data provided and curated by the IODP and its predecessors. This work was financially supported by the NWO polar programme (ALW.2016.001). We thank Jose Guitian, Heather Stoll and Lena Thole for providing the subset of samples from ETH Zuerich. We also thank Mariska Hoorweg for technical support and Suning Hou for additional discussion. IS and PB acknowledges funding through ERC starting grant 802835 OceaNice. MH acknowledges support from NSF OPP grant 1842059.</t>
  </si>
  <si>
    <t>DEC 22</t>
  </si>
  <si>
    <t>10.1038/s43247-022-00666-5</t>
  </si>
  <si>
    <t>7H3VQ</t>
  </si>
  <si>
    <t>Green Submitted, gold, Green Published</t>
  </si>
  <si>
    <t>WOS:000903133900002</t>
  </si>
  <si>
    <t>Sutton, AJ; Battisti, R; Carter, B; Evans, W; Newton, J; Alin, S; Bates, NR; Cai, WJ; Currie, K; Feely, RA; Sabine, C; Tanhua, T; Tilbrook, B; Wanninkhof, R</t>
  </si>
  <si>
    <t>Sutton, Adrienne J.; Battisti, Roman; Carter, Brendan; Evans, Wiley; Newton, Jan; Alin, Simone; Bates, Nicholas R.; Cai, Wei-Jun; Currie, Kim; Feely, Richard A.; Sabine, Christopher; Tanhua, Toste; Tilbrook, Bronte; Wanninkhof, Rik</t>
  </si>
  <si>
    <t>Advancing best practices for assessing trends of ocean acidification time series</t>
  </si>
  <si>
    <t>best practices; ocean acidification; biogeochemistry; trends; time series</t>
  </si>
  <si>
    <t>CLIMATE-CHANGE; NATURAL VARIABILITY; CARBON; CO2; PCO(2); WATER; SEA; AUTOCORRELATION; CONSTANT; SEAWATER</t>
  </si>
  <si>
    <t>Assessing the status of ocean acidification across ocean and coastal waters requires standardized procedures at all levels of data collection, dissemination, and analysis. Standardized procedures for assuring quality and accessibility of ocean carbonate chemistry data are largely established, but a common set of best practices for ocean acidification trend analysis is needed to enable global time series comparisons, establish accurate records of change, and communicate the current status of ocean acidification within and outside the scientific community. Here we expand upon several published trend analysis techniques and package them into a set of best practices for assessing trends of ocean acidification time series. These best practices are best suited for time series capable of characterizing seasonal variability, typically those with sub-seasonal (ideally monthly or more frequent) data collection. Given ocean carbonate chemistry time series tend to be sparse and discontinuous, additional research is necessary to further advance these best practices to better address uncharacterized variability that can result from data discontinuities. This package of best practices and the associated open-source software for computing and reporting trends is aimed at helping expand the community of practice in ocean acidification trend analysis. A broad community of practice testing these and new techniques across different data sets will result in improvements and expansion of these best practices in the future.</t>
  </si>
  <si>
    <t>[Sutton, Adrienne J.; Battisti, Roman; Carter, Brendan; Alin, Simone; Feely, Richard A.] NOAA, Pacific Marine Environm Lab, Seattle, WA 98115 USA; [Battisti, Roman; Carter, Brendan] Univ Washington, Cooperat Inst Climate Ocean &amp; Ecosyst Studies, Seattle, WA USA; [Evans, Wiley] Hakai Inst, Heriot Bay, BC, Canada; [Newton, Jan] Univ Washington, Appl Phys Lab, Seattle, WA USA; [Newton, Jan] Univ Washington, Washington Ocean Acidificat Ctr, Seattle, WA USA; [Bates, Nicholas R.] Bermuda Inst Ocean Sci, St Georges, Bermuda; [Bates, Nicholas R.] Univ Southampton, Dept Ocean &amp; Earth Sci, Southampton, England; [Bates, Nicholas R.] Arizona State Univ, Global Futures Lab, Tempe, AZ USA; [Cai, Wei-Jun] Univ Delaware, Sch Marine Sci &amp; Policy, Newark, DE USA; [Currie, Kim] NOAA, Atlantic Oceanog &amp; Meteorol Lab, Miami, FL USA; [Sabine, Christopher] Univ Hawaii Manoa, Honolulu, HI USA; [Tanhua, Toste] GEOMAR Helmholtz Ctr Ocean Res Kiel, Kiel, Germany; [Tilbrook, Bronte] Commonwealth Sci &amp; Ind Res Org CSIRO, Oceans &amp; Atmosphere &amp; Australian Antarctic Program, Hobart, Tas, Australia</t>
  </si>
  <si>
    <t>National Oceanic Atmospheric Admin (NOAA) - USA; University of Washington; University of Washington Seattle; Hakai Institute; University of Washington; University of Washington Seattle; University of Washington; University of Washington Seattle; Bermuda Institute of Ocean Sciences; University of Southampton; NERC National Oceanography Centre; Arizona State University; Arizona State University-Tempe; University of Delaware; National Oceanic Atmospheric Admin (NOAA) - USA; Atlantic Oceanographic &amp; Meteorological Laboratory (AOML); University of Hawaii System; University of Hawaii Manoa; Helmholtz Association; GEOMAR Helmholtz Center for Ocean Research Kiel; Commonwealth Scientific &amp; Industrial Research Organisation (CSIRO)</t>
  </si>
  <si>
    <t>Sutton, AJ (corresponding author), NOAA, Pacific Marine Environm Lab, Seattle, WA 98115 USA.</t>
  </si>
  <si>
    <t>Tanhua, Toste/HLX-5402-2023; Alin, Simone/J-6836-2017; Tilbrook, Bronte/A-1522-2012; Sutton, Adrienne/C-7725-2015; Evans, Wiley/U-8250-2018</t>
  </si>
  <si>
    <t>Alin, Simone/0000-0002-8283-1910; Sutton, Adrienne/0000-0002-7414-7035; Cai, Wei-Jun/0000-0003-3606-8325; Evans, Wiley/0000-0002-5450-0903</t>
  </si>
  <si>
    <t>NOAA's Ocean Acidification Program; Global Ocean Acidification Observing Network</t>
  </si>
  <si>
    <t>NOAA's Ocean Acidification Program and the Global Ocean Acidification Observing Network.</t>
  </si>
  <si>
    <t>10.3389/fmars.2022.1045667</t>
  </si>
  <si>
    <t>7U3DJ</t>
  </si>
  <si>
    <t>Green Published, gold, Green Accepted</t>
  </si>
  <si>
    <t>WOS:000912014300001</t>
  </si>
  <si>
    <t>Morley, SA; Chu, JWF; Peck, LS; Bates, AE</t>
  </si>
  <si>
    <t>Morley, S. A.; Chu, J. W. F.; Peck, L. S.; Bates, A. E.</t>
  </si>
  <si>
    <t>Temperatures leading to heat escape responses in Antarctic marine ectotherms match acute thermal limits</t>
  </si>
  <si>
    <t>FRONTIERS IN PHYSIOLOGY</t>
  </si>
  <si>
    <t>escape behaviour; thermal reaction norm; acute temperature; macrophysiology; polar marine</t>
  </si>
  <si>
    <t>TOLERANCE</t>
  </si>
  <si>
    <t>Thermal tolerance windows are key indicators of the range of temperatures tolerated by animals and therefore, a measure of resilience to climate change. In the ocean, where ectotherms are immersed, body temperatures are tightly coupled to environmental temperature and species have few options for thermoregulation. However, mobile species do have the ability to orientate towards optimal temperatures and move away from sub-optimal or dangerous temperatures. Escape responses are one such locomotory behavior, which typically manifests as a series of violent flicking movements that move individuals out of dangerous environments. We tested 11 species of Antarctic marine ectotherms, from one of the most stable shallow water marine environments, with an annual temperature range of -2 degrees C to +2 degrees C, that are vulnerable to small degrees of warming. Three species, the clam Laternula elliptica, the sea cucumber Cucumaria georgiana, and the brittlestar Ophionotus victoriae, showed no, or virtually no, escape response to temperature. Escape responses from a further eight species had a median response temperature of 11.2 (interquartile range, 10 degrees C-15.7 degrees C), which is well above current environmental temperatures but close to the range for acute lethal limits of Antarctic marine ectotherms (CTmax range, 17.2 degrees C-26.6 degrees C). This highlights that both acute tolerance limits and escape responses, fall outside current environmental temperatures, but also those predicted for 100s of years in the Southern Ocean. In a warmer Southern Ocean Antarctic fauna may not have the capacity to use temperature to select optimal thermal conditions, which leaves adaptation as a primary mechanism for their persistence.</t>
  </si>
  <si>
    <t>[Morley, S. A.; Peck, L. S.] NERC, British Antarctic Survey, Cambridge, England; [Chu, J. W. F.] Fisheries &amp; Oceans Canada, Pacific Enterprise Sci Ctr, West Vancouver, BC, Canada; [Bates, A. E.] Univ Victoria, Biol Dept, Victoria, BC, Canada</t>
  </si>
  <si>
    <t>UK Research &amp; Innovation (UKRI); Natural Environment Research Council (NERC); NERC British Antarctic Survey; Fisheries &amp; Oceans Canada; University of Victoria</t>
  </si>
  <si>
    <t>Morley, SA (corresponding author), NERC, British Antarctic Survey, Cambridge, England.</t>
  </si>
  <si>
    <t>smor@bas.ac.uk</t>
  </si>
  <si>
    <t>Chu, Jackson Wing Four/0000-0002-7776-9446</t>
  </si>
  <si>
    <t>UK Natural Environment Research Council; NSERC; Scientific Committee on Antarctic Research Fellowship</t>
  </si>
  <si>
    <t>UK Natural Environment Research Council(UK Research &amp; Innovation (UKRI)Natural Environment Research Council (NERC)); NSERC(Natural Sciences and Engineering Research Council of Canada (NSERC)); Scientific Committee on Antarctic Research Fellowship</t>
  </si>
  <si>
    <t>Funding was provided by the UK Natural Environment Research Council core funding to the British Antarctic Survey, the NSERC Postdoctoral Fellowship program and a Scientific Committee on Antarctic Research Fellowship to JC.</t>
  </si>
  <si>
    <t>1664-042X</t>
  </si>
  <si>
    <t>FRONT PHYSIOL</t>
  </si>
  <si>
    <t>Front. Physiol.</t>
  </si>
  <si>
    <t>10.3389/fphys.2022.1077376</t>
  </si>
  <si>
    <t>Physiology</t>
  </si>
  <si>
    <t>7O9UR</t>
  </si>
  <si>
    <t>WOS:000908360500001</t>
  </si>
  <si>
    <t>Liu, Y; Moore, JK; Primeau, F; Wang, WL</t>
  </si>
  <si>
    <t>Liu, Y.; Moore, J. K.; Primeau, F.; Wang, W. L.</t>
  </si>
  <si>
    <t>Reduced CO2 uptake and growing nutrient sequestration from slowing overturning circulation</t>
  </si>
  <si>
    <t>ANTARCTIC BOTTOM WATER; OCEAN CARBON STORAGE; EXPORT PRODUCTION; DEEP CONVECTION; CLIMATE; PROJECTIONS; FEEDBACK; DECLINE; IMPACT; DRIVEN</t>
  </si>
  <si>
    <t>Current Earth system models (ESMs) project dramatic slowing (28-42% by 2100) of Atlantic Meridional Overturning Circulation and Southern Meridional Overturning Circulation (SMOC) across a range of climate scenarios, with a complete shutdown of SMOC possible by year 2300. Slowing meridional overturning circulation (MOC) differentially impacts the ocean biological and solubility carbon pumps, leaving the net impact on ocean carbon uptake uncertain. Here using a suite of ESMs, we show that slowing MOC reduces anthropogenic carbon uptake by the solubility pump but increases deep-ocean storage of carbon and nutrients by the biological pump. The net effect reduces ocean uptake of anthropogenic CO2. The deep-ocean nutrient sequestration will increasingly depress global-scale, marine net primary production over time. MOC slowdown represents a positive feedback that could extend or intensify peak-warmth climate conditions on multi-century timescales.</t>
  </si>
  <si>
    <t>[Liu, Y.; Moore, J. K.; Primeau, F.] Univ Calif Irvine, Dept Earth Syst Sci, Irvine, CA 92697 USA; [Wang, W. L.] Xiamen Univ, Coll Ocean &amp; Earth Sci, State Key Lab Marine Environm Sci, Xiamen, Peoples R China</t>
  </si>
  <si>
    <t>University of California System; University of California Irvine; Xiamen University</t>
  </si>
  <si>
    <t>Liu, Y; Moore, JK (corresponding author), Univ Calif Irvine, Dept Earth Syst Sci, Irvine, CA 92697 USA.</t>
  </si>
  <si>
    <t>yil45@uci.edu; jkmoore@uci.edu</t>
  </si>
  <si>
    <t>; Primeau, Francois/A-7310-2011</t>
  </si>
  <si>
    <t>Moore, Jefferson/0000-0001-8188-6779; Primeau, Francois/0000-0001-7452-9415; Liu, Yi/0000-0003-4901-561X; Wang, Wei-Lei/0000-0002-3201-7224</t>
  </si>
  <si>
    <t>Reducing Uncertainties in Biogeochemical Interactions through Synthesis and Computation Scientific Focus Area (RUBISCO SFA) under the Regional and Global Analysis Program Area (RGMA); Earth System Model Development Program Area (ESMD) in the Earth and Environmental Sciences Division of the Biological and Environmental Research Division of the US Department of Energy Office of Science; World Climate Research Programme; US Department of Energy's Program for Climate Model Diagnosis and Intercomparison; US Department of Energy BER RGMA (RUBISCO SFA); US Department of Energy DOE-BER ESMD [DE-SC0016539, DE-SC0021267, DE-SC0022177]; U.S. Department of Energy (DOE) [DE-SC0022177, DE-SC0021267] Funding Source: U.S. Department of Energy (DOE)</t>
  </si>
  <si>
    <t>Reducing Uncertainties in Biogeochemical Interactions through Synthesis and Computation Scientific Focus Area (RUBISCO SFA) under the Regional and Global Analysis Program Area (RGMA); Earth System Model Development Program Area (ESMD) in the Earth and Environmental Sciences Division of the Biological and Environmental Research Division of the US Department of Energy Office of Science; World Climate Research Programme; US Department of Energy's Program for Climate Model Diagnosis and Intercomparison(United States Department of Energy (DOE)); US Department of Energy BER RGMA (RUBISCO SFA)(United States Department of Energy (DOE)); US Department of Energy DOE-BER ESMD(United States Department of Energy (DOE)); U.S. Department of Energy (DOE)(United States Department of Energy (DOE))</t>
  </si>
  <si>
    <t>We thank the thousands of scientists worldwide who contributed to the development of the Earth system models for CMIP and to carrying out the CMIP6 simulations. We received support from the Reducing Uncertainties in Biogeochemical Interactions through Synthesis and Computation Scientific Focus Area (RUBISCO SFA) under the Regional and Global Analysis Program Area (RGMA) and the Earth System Model Development Program Area (ESMD) in the Earth and Environmental Sciences Division of the Biological and Environmental Research Division of the US Department of Energy Office of Science. The Coupled Model Intercomparison Project received support from the World Climate Research Programme and the US Department of Energy's Program for Climate Model Diagnosis and Intercomparison. We acknowledge funding from US Department of Energy BER RGMA (RUBISCO SFA) (J.K.M., Y.L.), US Department of Energy DOE-BER ESMD grant DE-SC0016539 (J.K.M., F.P., W.L.W.), US Department of Energy DOE-BER ESMD grant DE-SC0021267 (F.P., J.K.M.) and US Department of Energy DOE-BER ESMD grant DE-SC0022177 (J.K.M., F.P.).</t>
  </si>
  <si>
    <t>10.1038/s41558-022-01555-7</t>
  </si>
  <si>
    <t>WOS:000903135300004</t>
  </si>
  <si>
    <t>Castro-Cera, L; Vega-Díaz, D; Eriksen, RS; Leblanc, K; Hallegraeff, GM</t>
  </si>
  <si>
    <t>Castro-Cera, Luis; Vega-Diaz, Dario; Eriksen, Ruth S.; Leblanc, Karine; Hallegraeff, Gustaaf M.</t>
  </si>
  <si>
    <t>New observations on the rarely reported tropical dinoflagellates Tripos lanceolatus and T. schroeteri from the Colombian Caribbean, South Pacific and Indian Oceans</t>
  </si>
  <si>
    <t>BOTANICA MARINA</t>
  </si>
  <si>
    <t>biodiversity; phytoplankton; taxonomy; Tripos digitatus; Tripos lanceolatus; Tripos schroeteri</t>
  </si>
  <si>
    <t>CERATIUM DINOPHYCEAE</t>
  </si>
  <si>
    <t>We report the circumtropical dinoflagellate Tripos lanceolatus (Kofoid) F. Gomez from the Colombian Caribbean, provide a new record from the tropical western Pacific off Tonga, and the first record from the Australian sector of the Indian Ocean. We present the first scanning electron micrographs of thecal ornamentation and apical pore structure which show its morphological similarities to T. furca (Ehrenberg) F. Gomez within the subgenus Biceratium. We also report the more widely distributed tropical species T. schroeteri (B. Schroder) F. Gomez from the Colombian Caribbean, and compare it to the first scanning electron micrographs of the morphologically similar T. digitatus (F. Schutt) F. Gomez within the subgenus Archaeceratium.</t>
  </si>
  <si>
    <t>[Eriksen, Ruth S.; Hallegraeff, Gustaaf M.] Univ Tasmania, Inst Marine &amp; Antarctic Studies, Private Bag 129, Hobart, Tas 7001, Australia; [Castro-Cera, Luis] Univ Magdalena, Grp Invest Biodiversidad &amp; Ecol Aplicada, Santa Marta 470004, Colombia; [Vega-Diaz, Dario] Lifeproof AP Carrera 10 5-90 Corregimiento La Pla, Barranquilla, Colombia; [Eriksen, Ruth S.] CSIRO Oceans &amp; Atmosphere, Hobart, Tas 7000, Australia; [Leblanc, Karine] Aix Marseille Univ, Univ Toulon, CNRS, IRD,MIO 110, F-13288 Marseille, France</t>
  </si>
  <si>
    <t>University of Tasmania; Universidad del Magdalena; Commonwealth Scientific &amp; Industrial Research Organisation (CSIRO); Institut de Recherche pour le Developpement (IRD); Centre National de la Recherche Scientifique (CNRS); Aix-Marseille Universite</t>
  </si>
  <si>
    <t>Hallegraeff, GM (corresponding author), Univ Tasmania, Inst Marine &amp; Antarctic Studies, Private Bag 129, Hobart, Tas 7001, Australia.</t>
  </si>
  <si>
    <t>lcastroc@unimagdalena.edu.co; dariovegad@yahoo.com; Ruth.Eriksen@csiro.au; karine.leblanc@osupytheas.fr; hallegraeff@utas.edu.au</t>
  </si>
  <si>
    <t>Castro, Luis/HLG-7612-2023; Hallegraeff, Gustaaf/C-8351-2013; Eriksen, Ruth/J-7760-2014</t>
  </si>
  <si>
    <t>Hallegraeff, Gustaaf/0000-0001-8464-7343; Eriksen, Ruth/0000-0002-5184-2465; Vega, Dario/0000-0003-1832-0160; Castro Cera, Luis Eduardo/0000-0002-2564-0296</t>
  </si>
  <si>
    <t>WALTER DE GRUYTER GMBH</t>
  </si>
  <si>
    <t>GENTHINER STRASSE 13, D-10785 BERLIN, GERMANY</t>
  </si>
  <si>
    <t>0006-8055</t>
  </si>
  <si>
    <t>1437-4323</t>
  </si>
  <si>
    <t>BOT MAR</t>
  </si>
  <si>
    <t>Bot. Marina</t>
  </si>
  <si>
    <t>FEB 23</t>
  </si>
  <si>
    <t>10.1515/bot-2022-0050</t>
  </si>
  <si>
    <t>8N8XF</t>
  </si>
  <si>
    <t>WOS:000902405100001</t>
  </si>
  <si>
    <t>Keys, BC; Grant, ML; Rodemann, T; Mylius, KA; Pinfold, TL; Rivers-Auty, J; Lavers, JL</t>
  </si>
  <si>
    <t>Keys, Bianca C.; Grant, Megan L.; Rodemann, Thomas; Mylius, Karli A.; Pinfold, Terry L.; Rivers-Auty, Jack; Lavers, Jennifer L.</t>
  </si>
  <si>
    <t>New Methods for the Quantification of Ingested Nano- and Ultrafine Plastics in Seabirds</t>
  </si>
  <si>
    <t>ENVIRONMENTAL SCIENCE &amp; TECHNOLOGY</t>
  </si>
  <si>
    <t>flow cytometry; FT-IR; Lord Howe Island; microplastics; plastic pollution; shearwater; Tasmania</t>
  </si>
  <si>
    <t>SHORT-TAILED SHEARWATER; MICROPLASTIC POLLUTION; PUFFINUS-TENUIROSTRIS; DEBRIS; FOOD</t>
  </si>
  <si>
    <t>Plastic ingestion has been documented in a plethora of taxa. However, there is a significant gap in the detection of nanoand ultrafine particles due to size limitations of commonly used techniques. Using two Australian seabird species as case studies, the flesh-footed shearwater (FFSH) Ardenna carneipes and shorttailed shearwater (STSH) A. tenuirostris, we tested a novel approach of flow cytometry to quantify ingested particles &lt;70 mu m in the fecal precursor (guano; colon and cloacal contents) of both species. This method provided the first baseline data set for these species for plastics in the 200 nm-70 mu m particle size ranges and detected a mean of 553.50 +/- 91.21 and 350.70 +/- 52.08 plastics (count/mg fecal precursor, wet mass) in STSH and FFSH, respectively, whereas Fourier transform infrared spectroscopy (FT-IR) provided accurate measurements of polymer compositions and quantities in the size range above 5.5 x 5.5 mu m(2). The abundance of nano- and ultrafine particles in the guano (count/mg) was not significantly different between species (p-value = 0.051), suggesting that foraging distribution or prey items, but not species, may contribute to the consumption of small plastics. In addition, there was no correlation between macroplastics in the stomach compared to the fecal precursor, indicating that small particles are likely bioaccumulating (e.g., through shedding and digestive fragmentation) and/or being directly ingested. Combining flow cytometry with FT-IR provides a powerful quantitative and qualitative analysis tool for detecting particles orders of magnitude smaller than that are currently explored with wider applications across taxa and marine environments.</t>
  </si>
  <si>
    <t>[Keys, Bianca C.; Mylius, Karli A.; Lavers, Jennifer L.] Inst Marine &amp; Antarctic Studies, Battery Point, Tas 7004, Australia; [Grant, Megan L.] Univ Tasmania, Inst Marine &amp; Antarctic Studies, Newnham, Tas 7248, Australia; [Rodemann, Thomas] Univ Tasmania, Cent Sci Lab, Hobart, Tas 7001, Australia; [Pinfold, Terry L.; Rivers-Auty, Jack] Univ Tasmania, Tasmanian Sch Med, Hobart, Tas 7000, Australia</t>
  </si>
  <si>
    <t>University of Tasmania; University of Tasmania; University of Tasmania; University of Tasmania</t>
  </si>
  <si>
    <t>Lavers, JL (corresponding author), Inst Marine &amp; Antarctic Studies, Battery Point, Tas 7004, Australia.;Rivers-Auty, J (corresponding author), Univ Tasmania, Tasmanian Sch Med, Hobart, Tas 7000, Australia.</t>
  </si>
  <si>
    <t>jack.auty@utas.edu.au; Jennifer.Lavers1@nhm.ac.uk</t>
  </si>
  <si>
    <t>Lavers, Jennifer/IWM-5417-2023; Lavers, Jennifer/O-4831-2017</t>
  </si>
  <si>
    <t>Lavers, Jennifer/0000-0001-7596-6588; Rodemann, Thomas/0000-0003-2356-1153; Keys, Bianca/0000-0002-9082-8420; Grant, Megan/0000-0002-0407-8468</t>
  </si>
  <si>
    <t>Australian Wildlife Society; New South Wales Office of Environment Heritage</t>
  </si>
  <si>
    <t>The authors gratefully acknowledge the traditional owners of lutruwita where this research took place. Funding was provided by the Australian Wildlife Society and two anonymous donors (via BirdLife Tasmania and Detached Cultural Organization) , who provided direct support to the student that greatly assisted with the cost-of-living crisis as well as J.L.L.?s salary. We would like to extend our gratitude to Dr. Eric Woehler for his advice and support during the early stages of this project, as well as the many Adrift Lab members who donated their time, and the Department of Natural Resources and Environment Tasmania, Bonorong Wildlife Sanctuary, and Lord Howe Island community. Assistance in the field was provided by generous volunteers (S. Stuckenbrock, P. Sharp, J. Gilligan, C. Woods) . Samples were collected with permission from the Lord Howe Island Board (Permit no. LHIB 07/18) . Research was undertaken with permission from the UTAS Animal Ethics Committee (Permit no. A0018480) and New South Wales Office of Environment &amp; Heritage (License nos. SL102382 and SL100619) . Finally, we thank the three anonymous reviewers, who provided comprehensive and constructive feedback on earlier versions of this manuscript.</t>
  </si>
  <si>
    <t>AMER CHEMICAL SOC</t>
  </si>
  <si>
    <t>1155 16TH ST, NW, WASHINGTON, DC 20036 USA</t>
  </si>
  <si>
    <t>0013-936X</t>
  </si>
  <si>
    <t>1520-5851</t>
  </si>
  <si>
    <t>ENVIRON SCI TECHNOL</t>
  </si>
  <si>
    <t>Environ. Sci. Technol.</t>
  </si>
  <si>
    <t>JAN 10</t>
  </si>
  <si>
    <t>10.1021/acs.est.2c06973</t>
  </si>
  <si>
    <t>Engineering, Environmental; Environmental Sciences</t>
  </si>
  <si>
    <t>E2JB8</t>
  </si>
  <si>
    <t>WOS:000905047200001</t>
  </si>
  <si>
    <t>Kvale, K; Oschlies, A</t>
  </si>
  <si>
    <t>Kvale, Karin; Oschlies, Andreas</t>
  </si>
  <si>
    <t>Recovery from microplastic-induced marine deoxygenation may take centuries</t>
  </si>
  <si>
    <t>NATURE GEOSCIENCE</t>
  </si>
  <si>
    <t>SYSTEM CLIMATE MODEL; SINKING RATES; UNIVERSITY</t>
  </si>
  <si>
    <t>Climate change and plastics pollution are dual threats to marine environments. Here we use biogeochemical and microplastic modelling to show that even if there is complete removal of microplastics and cessation of deposition in the oceans in 2022, regional recovery from microplastic-induced remineralization and water column deoxygenation could take hundreds of years for coastal upwelling zones, the North Pacific and Southern Ocean. Surface stratification and reduced sea ice cover further impede regional recovery, highlighting the importance of aggressive mitigation of plastic pollution.</t>
  </si>
  <si>
    <t>[Kvale, Karin; Oschlies, Andreas] GEOMAR Helmholtz Ctr Ocean Res Kiel, Biogeochem Modelling, Kiel, Germany; [Kvale, Karin] GNS Sci, Lower Hutt, New Zealand</t>
  </si>
  <si>
    <t>Helmholtz Association; GEOMAR Helmholtz Center for Ocean Research Kiel; GNS Science - New Zealand</t>
  </si>
  <si>
    <t>Kvale, K; Oschlies, A (corresponding author), GEOMAR Helmholtz Ctr Ocean Res Kiel, Biogeochem Modelling, Kiel, Germany.;Kvale, K (corresponding author), GNS Sci, Lower Hutt, New Zealand.</t>
  </si>
  <si>
    <t>k.kvale@gns.cri.nz; aoschlies@geomar.de</t>
  </si>
  <si>
    <t>Kvale, Karin/T-1231-2018; Oschlies, Andreas/F-9749-2012</t>
  </si>
  <si>
    <t>Kvale, Karin/0000-0001-8043-5431; Oschlies, Andreas/0000-0002-8295-4013</t>
  </si>
  <si>
    <t>New Zealand Ministry of Business, Innovation and Employment within Antarctic Science Platform [ANTA1801]; New Zealand Ministry of Business, Innovation and Employment (MBIE) through Global Change through Time programme (Strategic Science Investment Fund) [C05X1702]</t>
  </si>
  <si>
    <t>New Zealand Ministry of Business, Innovation and Employment within Antarctic Science Platform(New Zealand Ministry of Business, Innovation and Employment (MBIE)); New Zealand Ministry of Business, Innovation and Employment (MBIE) through Global Change through Time programme (Strategic Science Investment Fund)</t>
  </si>
  <si>
    <t>We would like to acknowledge computer resources made available by Kiel University. K.K. acknowledges support from the New Zealand Ministry of Business, Innovation and Employment within the Antarctic Science Platform, grant ANTA1801. K.K. also acknowledges support from the New Zealand Ministry of Business, Innovation and Employment (MBIE) through the Global Change through Time programme (Strategic Science Investment Fund, contract C05X1702). Figure plotting used the Ferret plotting programme. Ferret is a product of the US National Oceanic and Atmospheric Administration's Pacific Marine Environmental Laboratory.</t>
  </si>
  <si>
    <t>1752-0894</t>
  </si>
  <si>
    <t>1752-0908</t>
  </si>
  <si>
    <t>NAT GEOSCI</t>
  </si>
  <si>
    <t>Nat. Geosci.</t>
  </si>
  <si>
    <t>10.1038/s41561-022-01096-w</t>
  </si>
  <si>
    <t>9W3VX</t>
  </si>
  <si>
    <t>WOS:000903163700002</t>
  </si>
  <si>
    <t>Holland, PR; O'Connor, GK; Bracegirdle, TJ; Dutrieux, P; Naughten, KA; Steig, EJ; Schneider, DP; Jenkins, A; Smith, JA</t>
  </si>
  <si>
    <t>Holland, Paul R.; O'Connor, Gemma K.; Bracegirdle, Thomas J.; Dutrieux, Pierre; Naughten, Kaitlin A.; Steig, Eric J.; Schneider, David P.; Jenkins, Adrian; Smith, James A.</t>
  </si>
  <si>
    <t>Anthropogenic and internal drivers of wind changes over the Amundsen Sea, West Antarctica, during the 20th and 21st centuries</t>
  </si>
  <si>
    <t>CRYOSPHERE</t>
  </si>
  <si>
    <t>PINE ISLAND GLACIER; GROUNDING LINE RETREAT; SOUTHERN ANNULAR MODE; STRATOSPHERIC OZONE; OCEANOGRAPHIC CONTROLS; PRESSURE TRENDS; GREENHOUSE-GAS; ICE; CLIMATE; EMBAYMENT</t>
  </si>
  <si>
    <t>Ocean-driven ice loss from the West Antarctic Ice Sheet is asignificant contributor to sea-level rise. Recent ocean variability in theAmundsen Sea is controlled by near-surface winds. We combine palaeoclimatereconstructions and climate model simulations to understand past and futureinfluences on Amundsen Sea winds from anthropogenic forcing and internalclimate variability. The reconstructions show strong historical wind trends.External forcing from greenhouse gases and stratospheric ozone depletiondrove zonally uniform westerly wind trends centred over the deep SouthernOcean. Internally generated trends resemble a South Pacific Rossby wavetrain and were highly influential over the Amundsen Sea continental shelf.There was strong interannual and interdecadal variability over the AmundsenSea, with periods of anticyclonic wind anomalies in the 1940s and 1990s,when rapid ice-sheet loss was initiated. Similar anticyclonic anomaliesprobably occurred prior to the 20th century but without causing the presentice loss. This suggests that ice loss may have been triggered naturally inthe 1940s but failed to recover subsequently due to the increasingimportance of anthropogenic forcing from greenhouse gases (since the 1960s)and ozone depletion (since the 1980s). Future projections also featurestrong wind trends. Emissions mitigation influences wind trends over thedeep Southern Ocean but has less influence on winds over the Amundsen Seashelf, where internal variability creates a large and irreducibleuncertainty. This suggests that strong emissions mitigation is needed tominimise ice loss this century but that the uncontrollable future influenceof internal climate variability could be equally important.</t>
  </si>
  <si>
    <t>[Holland, Paul R.; Bracegirdle, Thomas J.; Dutrieux, Pierre; Naughten, Kaitlin A.; Smith, James A.] British Antarctic Survey, Madingley Rd, Cambridge CB3 0ET, England; [O'Connor, Gemma K.; Steig, Eric J.] Univ Washington, Dept Earth &amp; Space Sci, Seattle, WA USA; [Steig, Eric J.] Univ Washington, Dept Atmospher Sci, Seattle, WA USA; [Schneider, David P.] Natl Ctr Atmospher Res, Boulder, CO USA; [Schneider, David P.] Univ Colorado, Cooperat Inst Res Environm Sci, Boulder, CO USA; [Jenkins, Adrian] Northumbria Univ, Dept Geog &amp; Environm Sci, Newcastle Upon Tyne, England</t>
  </si>
  <si>
    <t>UK Research &amp; Innovation (UKRI); Natural Environment Research Council (NERC); NERC British Antarctic Survey; University of Washington; University of Washington Seattle; University of Washington; University of Washington Seattle; National Center Atmospheric Research (NCAR) - USA; University of Colorado System; University of Colorado Boulder; Northumbria University</t>
  </si>
  <si>
    <t>Holland, PR (corresponding author), British Antarctic Survey, Madingley Rd, Cambridge CB3 0ET, England.</t>
  </si>
  <si>
    <t>p.holland@bas.ac.uk</t>
  </si>
  <si>
    <t>Holland, Paul R/G-2796-2012; Dutrieux, Pierre/GVS-2890-2022; Schneider, David P/E-2726-2010; Jenkins, Adrian/IUN-2406-2023; Steig, Eric J/G-9088-2015</t>
  </si>
  <si>
    <t>Dutrieux, Pierre/0000-0002-8066-934X; Jenkins, Adrian/0000-0002-9117-0616; Naughten, Kaitlin/0000-0001-9475-9162; Bracegirdle, Thomas/0000-0002-8868-4739; Smith, James/0000-0002-1333-2544</t>
  </si>
  <si>
    <t>1994-0416</t>
  </si>
  <si>
    <t>1994-0424</t>
  </si>
  <si>
    <t>Cryosphere</t>
  </si>
  <si>
    <t>10.5194/tc-16-5085-2022</t>
  </si>
  <si>
    <t>7D0OZ</t>
  </si>
  <si>
    <t>WOS:000900202400001</t>
  </si>
  <si>
    <t>Dotto, TS; Heywood, KJ; Hall, RA; Scambos, TA; Zheng, YX; Nakayama, Y; Hyogo, S; Snow, T; Wåhlin, AK; Wild, C; Truffer, M; Muto, A; Alley, KE; Boehme, L; Bortolotto, GA; Tyler, SW; Pettit, E</t>
  </si>
  <si>
    <t>Dotto, Tiago S.; Heywood, Karen J.; Hall, Rob A.; Scambos, Ted A.; Zheng, Yixi; Nakayama, Yoshihiro; Hyogo, Shuntaro; Snow, Tasha; Wahlin, Anna K.; Wild, Christian; Truffer, Martin; Muto, Atsuhiro; Alley, Karen E.; Boehme, Lars; Bortolotto, Guilherme A.; Tyler, Scott W.; Pettit, Erin</t>
  </si>
  <si>
    <t>Ocean variability beneath Thwaites Eastern Ice Shelf driven by the Pine Island Bay Gyre strength</t>
  </si>
  <si>
    <t>NATURE COMMUNICATIONS</t>
  </si>
  <si>
    <t>AMUNDSEN SEA EMBAYMENT; WEST ANTARCTICA; MELTING ICE; GLACIER; WATER; CIRCULATION; RETREAT; IMPACT; MODEL; BED</t>
  </si>
  <si>
    <t>West Antarctic ice-shelf thinning is primarily caused by ocean-driven basal melting. Here we assess ocean variability below Thwaites Eastern Ice Shelf (TEIS) and reveal the importance of local ocean circulation and sea-ice. Measurements obtained from two sub-ice-shelf moorings, spanning January 2020 to March 2021, show warming of the ice-shelf cavity and an increase in meltwater fraction of the upper sub-ice layer. Combined with ocean modelling results, our observations suggest that meltwater from Pine Island Ice Shelf feeds into the TEIS cavity, adding to horizontal heat transport there. We propose that a weakening of the Pine Island Bay gyre caused by prolonged sea-ice cover from April 2020 to March 2021 allowed meltwater-enriched waters to enter the TEIS cavity, which increased the temperature of the upper layer. Our study highlights the sensitivity of ocean circulation beneath ice shelves to local atmosphere-sea-ice-ocean forcing in neighbouring open oceans.</t>
  </si>
  <si>
    <t>[Dotto, Tiago S.; Heywood, Karen J.; Hall, Rob A.; Zheng, Yixi] Univ East Anglia, Sch Environm Sci, Ctr Ocean &amp; Atmospher Sci, Norwich, England; [Scambos, Ted A.] Univ Colorado Boulder, Cooperat Inst Res Environm Sci, Earth Sci &amp; Observat Ctr, Boulder, CO USA; [Nakayama, Yoshihiro] Hokkaido Univ, Inst Low Temp Sci, Sapporo, Hokkaido, Japan; [Hyogo, Shuntaro] Hokkaido Univ, Grad Sch Environm Sci, Sapporo, Hokkaido, Japan; [Snow, Tasha] Colorado Sch Mines, Dept Geophys, Golden, CO USA; [Wahlin, Anna K.] Univ Gothenburg, Dept Marine Sci, Gothenburg, Sweden; [Wild, Christian; Pettit, Erin] Oregon State Univ, Coll Earth Ocean &amp; Atmospher Sci, Corvallis, OR USA; [Truffer, Martin] Univ Alaska Fairbanks, Geophys Inst &amp; Dept Phys, Fairbanks, AL USA; [Muto, Atsuhiro] Temple Univ, Dept Earth &amp; Environm Sci, Philadelphia, PA USA; [Alley, Karen E.] Univ Manitoba, Ctr Earth Observat Sci, Winnipeg, MB, Canada; [Boehme, Lars; Bortolotto, Guilherme A.] Univ St Andrews, Scottish Oceans Inst, St Andrews, Fife, Scotland; [Tyler, Scott W.] Univ Nevada, Dept Geol Sci &amp; Engn, Reno, NV USA</t>
  </si>
  <si>
    <t>University of East Anglia; University of Colorado System; University of Colorado Boulder; Hokkaido University; Hokkaido University; Colorado School of Mines; University of Gothenburg; Oregon State University; University of Alaska System; University of Alaska Fairbanks; Pennsylvania Commonwealth System of Higher Education (PCSHE); Temple University; University of Manitoba; University of St Andrews; Nevada System of Higher Education (NSHE); University of Nevada Reno</t>
  </si>
  <si>
    <t>Dotto, TS (corresponding author), Univ East Anglia, Sch Environm Sci, Ctr Ocean &amp; Atmospher Sci, Norwich, England.</t>
  </si>
  <si>
    <t>t.segabinazzi-dotto@uea.ac.uk</t>
  </si>
  <si>
    <t>Alley, Karen E/HGE-5249-2022; Wahlin, Anna/U-3790-2017; Heywood, Karen/L-1757-2016; Hall, Rob/C-8007-2012</t>
  </si>
  <si>
    <t>Alley, Karen E/0000-0003-0358-3806; Wahlin, Anna/0000-0003-1799-6476; Heywood, Karen/0000-0001-9859-0026; Zheng, Yixi/0000-0003-3136-1311; Bortolotto, Guilherme Augusto/0000-0002-5343-6575; Snow, Tasha/0000-0001-5697-5470; SCAMBOS, Ted A./0000-0003-4268-6322; Segabinazzi Dotto, Tiago/0000-0003-0565-6941; Hall, Rob/0000-0002-3665-6322; Muto, Atsuhiro/0000-0002-1722-2457</t>
  </si>
  <si>
    <t>National Science Foundation (NSF) [1929991]; Natural Environment Research Council (NERC) [NE/S006419/1]; NERC [NE/S006591/1]; China Scholarship Council; University of East Anglia; European Research Council [741120]; Japanese Ministry of Education, Culture, Sports, Science, and Technology [19K23447, 21K13989]; JST, the establishment of university fellowships towards the creation of science and technology innovation [JPMJFS2101]; NSF-U.S. Antarctic Programand NERC-British Antarctic Survey; NERC [NE/S006419/1, NE/S006591/1] Funding Source: UKRI; European Research Council (ERC) [741120] Funding Source: European Research Council (ERC)</t>
  </si>
  <si>
    <t>National Science Foundation (NSF)(National Science Foundation (NSF)); Natural Environment Research Council (NERC)(UK Research &amp; Innovation (UKRI)Natural Environment Research Council (NERC)); NERC(UK Research &amp; Innovation (UKRI)Natural Environment Research Council (NERC)); China Scholarship Council(China Scholarship Council); University of East Anglia; European Research Council(European Research Council (ERC)); Japanese Ministry of Education, Culture, Sports, Science, and Technology(Ministry of Education, Culture, Sports, Science and Technology, Japan (MEXT)); JST, the establishment of university fellowships towards the creation of science and technology innovation; NSF-U.S. Antarctic Programand NERC-British Antarctic Survey; NERC(UK Research &amp; Innovation (UKRI)Natural Environment Research Council (NERC)); European Research Council (ERC)(European Research Council (ERC)Spanish Government)</t>
  </si>
  <si>
    <t>We thank the scientists, technicians, and ship crew involved in the installation of theAMIGOSmoorings and ocean data collection. This work is from the TARSAN project, a component of the International Thwaites Glacier Collaboration (ITGC; https://thwaitesglacier.org/).T.A.S., T.S., C.W., M.T., A.M., K.E.A., S.W.T., and E.P. thank the support from National Science Foundation (NSF) Grant 1929991. T.S.D., K.J.H., R.A.H., and A.K.W. thank the support from Natural Environment Research Council (NERC) Grant NE/S006419/1. L.B. and G.A.B. thank support from NERC Grant NE/S006591/1. Y.Z. acknowledges support from the China Scholarship Council, the University of East Anglia, and the European Research Council (under H2020-EU.1.1.; Grant 741120). Y.N. received support from the Grants-in-Aid for Scientific Research (19K23447, 21K13989) of the Japanese Ministry of Education, Culture, Sports, Science, and Technology. S.H. was supported by JST, the establishment of university fellowships towards the creation of science and technology innovation (Grant JPMJFS2101). Logisticswere provided by NSF-U.S. Antarctic Programand NERC-British Antarctic Survey. ITGC Contribution No. ITGC-062.</t>
  </si>
  <si>
    <t>2041-1723</t>
  </si>
  <si>
    <t>NAT COMMUN</t>
  </si>
  <si>
    <t>Nat. Commun.</t>
  </si>
  <si>
    <t>DEC 21</t>
  </si>
  <si>
    <t>10.1038/s41467-022-35499-5</t>
  </si>
  <si>
    <t>M1XD6</t>
  </si>
  <si>
    <t>Green Published, Green Accepted, gold, Green Submitted</t>
  </si>
  <si>
    <t>WOS:001028170500012</t>
  </si>
  <si>
    <t>Paul, AJ; Bach, LT; Arístegui, J; von der Esch, E; Hernández-Hernández, N; Piiparinen, J; Ramajo, L; Spilling, K; Riebesell, U</t>
  </si>
  <si>
    <t>Paul, Allanah Joy; Bach, Lennart Thomas; Aristegui, Javier; von der Esch, Elisabeth; Hernandez-Hernandez, Nauzet; Piiparinen, Jonna; Ramajo, Laura; Spilling, Kristian; Riebesell, Ulf</t>
  </si>
  <si>
    <t>Upwelled plankton community modulates surface bloom succession and nutrientavailability in a natural plankton assemblage</t>
  </si>
  <si>
    <t>DISSOLVED ORGANIC-MATTER; OXYGEN MINIMUM ZONE; PHYTOPLANKTON; STOICHIOMETRY; ABSORPTION; PACIFIC; NITRATE; GROWTH; VARIABILITY; LIMITATION</t>
  </si>
  <si>
    <t>Upwelling of nutrient-rich waters into the sunlit surface layer of the ocean supports high primary productivity in eastern boundary upwelling systems (EBUSs). However, subsurface waters contain not only macronutrients (N, P, Si) but also micronutrients, organic matter and seed microbial communities that may modify the response to macronutrient inputs via upwelling. These additional factors are often neglected when investigating upwelling impacts on surface ocean productivity. Here, we investigated how different components of upwelled water (macronutrients, organic nutrients and seed communities) drive the response of surface plankton communities to upwelling in the Peruvian coastal zone. Results from our short-term (10 d) study show that the most influential drivers in upwelled deep water are (1) the ratio of inorganic nutrients (NOx : PO43-) and (2) the microbial community present that can seed heterogeneity in phytoplankton succession and modify the stoichiometry of residual inorganic nutrients after phytoplankton blooms. Hence, this study suggests that phytoplankton succession after upwelling is modified by factors other than the physical supply of inorganic nutrients. This would likely affect trophic transfer and overall productivity in these highly fertile marine ecosystems.</t>
  </si>
  <si>
    <t>[Paul, Allanah Joy; von der Esch, Elisabeth; Riebesell, Ulf] GEOMAR Helmholtz Ctr Ocean Res Kiel, Kiel, Germany; [Bach, Lennart Thomas] Univ Tasmania, Inst Marine &amp; Antarctic Studies, Hobart, Tas, Australia; [Aristegui, Javier; Hernandez-Hernandez, Nauzet] Univ Palmas Gran Canaria ULPGC, Inst Oceanog &amp; Cambio Global IOCAG, Las Palmas Gran Canaria, Spain; [Piiparinen, Jonna; Spilling, Kristian] Finnish Environm Inst, Marine Res Ctr, Helsinki, Finland; [Ramajo, Laura] Ctr Adv Studies Arid Zones CEAZA, Coquimbo, Chile; [Ramajo, Laura] Univ Catol Norte UCN, Fac Ciencias Mar, Dept Biol Marina, Coquimbo, Chile; [Ramajo, Laura] Ctr Climate &amp; Resilience Res CR 2, Santiago, Chile; [Spilling, Kristian] Univ Agder, Ctr Coastal Res, Kristiansand, Norway</t>
  </si>
  <si>
    <t>Helmholtz Association; GEOMAR Helmholtz Center for Ocean Research Kiel; University of Tasmania; Universidad de Las Palmas de Gran Canaria; Finnish Environment Institute; University of Agder</t>
  </si>
  <si>
    <t>Paul, AJ (corresponding author), GEOMAR Helmholtz Ctr Ocean Res Kiel, Kiel, Germany.</t>
  </si>
  <si>
    <t>apaul@geomar.de</t>
  </si>
  <si>
    <t>Spilling, Kristian/KEH-0764-2024; Hernández-Hernández, Nauzet/AAH-5738-2019; Spilling, Kristian/L-7932-2014; Arístegui, Javier/D-5833-2013; Ramajo, Laura/AAW-5058-2021</t>
  </si>
  <si>
    <t>Hernández-Hernández, Nauzet/0000-0003-1503-4214; Arístegui, Javier/0000-0002-7526-7741; Ramajo, Laura/0000-0001-6707-685X; Bach, Lennart/0000-0003-0202-3671; Paul, Allanah/0000-0003-1037-5239</t>
  </si>
  <si>
    <t>Collaborative Research Centre Climate-Biogeochemistry Interactions in the Tropical Ocean - German Research Foundation (DFG) [SFB 754]; EU project AQUACOSM [731065]; Leibniz Award; Agencia Nacional de Investigacion y Desarrollo (ANID-CENTROS REGIONALES) [R20F0008]; Fondo Nacional de Desarrollo Cientifico y Tecnologico (FONDECYT) [3170156]; Australian Research Council [FT200100846]; Academy of Finland [259164]; Helmholtz International Fellow Award, 2015 (Helmholtz Association, Germany); Australian Research Council [FT200100846] Funding Source: Australian Research Council</t>
  </si>
  <si>
    <t>Collaborative Research Centre Climate-Biogeochemistry Interactions in the Tropical Ocean - German Research Foundation (DFG)(German Research Foundation (DFG)); EU project AQUACOSM; Leibniz Award; Agencia Nacional de Investigacion y Desarrollo (ANID-CENTROS REGIONALES); Fondo Nacional de Desarrollo Cientifico y Tecnologico (FONDECYT)(Comision Nacional de Investigacion Cientifica y Tecnologica (CONICYT)CONICYT FONDECYT); Australian Research Council(Australian Research Council); Academy of Finland(Research Council of Finland); Helmholtz International Fellow Award, 2015 (Helmholtz Association, Germany); Australian Research Council(Australian Research Council)</t>
  </si>
  <si>
    <t>This research has been supported by the Collaborative Research Centre SFB 754 Climate-Biogeochemistry Interactions in the Tropical Ocean financed by the German Research Foundation (DFG), the EU project AQUACOSM (grant no. 731065), the Leibniz Award 2012 (granted to Ulf Riebesell), the Agencia Nacional de Investigacion y Desarrollo (ANID-CENTROS REGIONALES (grant no. R20F0008)), the Fondo Nacional de Desarrollo Cientifico y Tecnologico (FONDECYT, Project no. 3170156), the Australian Research Council (grant no. FT200100846), and the Academy of Finland (grant no. 259164). Javier Aristegui was supported by a Helmholtz International Fellow Award, 2015 (Helmholtz Association, Germany).</t>
  </si>
  <si>
    <t>10.5194/bg-19-5911-2022</t>
  </si>
  <si>
    <t>8V8FW</t>
  </si>
  <si>
    <t>Green Submitted, Green Accepted, gold</t>
  </si>
  <si>
    <t>WOS:000930863800001</t>
  </si>
  <si>
    <t>Gille-Petzoldt, J; Gohl, K; Uenzelmann-Neben, G; Grützner, J; Klages, JP</t>
  </si>
  <si>
    <t>Gille-Petzoldt, Johanna; Gohl, Karsten; Uenzelmann-Neben, Gabriele; Gruetzner, Jens; Klages, Johann P.</t>
  </si>
  <si>
    <t>IODP Expedition 379 Scientists</t>
  </si>
  <si>
    <t>West Antarctic Ice Sheet Dynamics in the Amundsen Sea Sector since the Late Miocene-Tying IODP Expedition 379 Results to Seismic Data</t>
  </si>
  <si>
    <t>Amundsen Sea; Pliocene; core-log seismic integration; IODP Expedition 379; West Antarctic Ice Sheet; sediment drift</t>
  </si>
  <si>
    <t>CONTINENTAL-MARGIN SEDIMENTS; CIRCUMPOLAR DEEP-WATER; EARLY PLIOCENE; HIGH-LATITUDE; STABILITY; MARINE; RECORD; RISE; STRATIGRAPHY; CIRCULATION</t>
  </si>
  <si>
    <t>Observations of rapid ongoing grounding line retreat, ice shelf thinning and accelerated ice flow from the West Antarctic Ice Sheet (WAIS) may forebode a possible collapse if global temperatures continue to increase. Understanding and reconstructing West Antarctic Ice Sheet dynamics in past warmer-than-present times will inform about its behavior as an analogue for future climate scenarios. International Ocean Discovery Program (IODP) Expedition 379 visited the Amundsen Sea sector of Antarctica to obtain geological records suitable for this purpose. During the expedition, cores from two drill sites at the Resolution Drift on the continental rise returned sediments whose deposition was possibly influenced by West Antarctic Ice Sheet dynamics from late Miocene to Holocene times. To examine the West Antarctic Ice Sheet dynamics, shipboard physical properties and sedimentological data are correlated with seismic data and extrapolated across the Resolution Drift via core-log-seismic integration. An interval with strongly variable physical properties, high diatom abundance and ice-rafted debris occurrence, correlating with partially high amplitude seismic reflection characteristics was identified between 4.2 and 3.2 Ma. Sedimentation during this interval is interpreted as having occurred during an extended warm period with a dynamic West Antarctic Ice Sheet in the Amundsen Sea sector. These records compare to those of other drill sites in the Ross Sea and the Bellingshausen Sea, and thus suggest an almost simultaneous occurrence of extended warm periods in all three locations.</t>
  </si>
  <si>
    <t>[Gille-Petzoldt, Johanna; Gohl, Karsten; Uenzelmann-Neben, Gabriele; Gruetzner, Jens; Klages, Johann P.] Alfred Wegener Inst Helmholtz, Ctr Polar &amp; Marine Res, Div Geosci, Bremerhaven, Germany; [Gille-Petzoldt, Johanna] Univ Bremen, Dept Geosci, Bremen, Germany</t>
  </si>
  <si>
    <t>Gille-Petzoldt, J (corresponding author), Alfred Wegener Inst Helmholtz, Ctr Polar &amp; Marine Res, Div Geosci, Bremerhaven, Germany.;Gille-Petzoldt, J (corresponding author), Univ Bremen, Dept Geosci, Bremen, Germany.</t>
  </si>
  <si>
    <t>johanna.gille-petzoldt@awi.de</t>
  </si>
  <si>
    <t>Renaudie, Johan/D-9077-2012</t>
  </si>
  <si>
    <t>Renaudie, Johan/0000-0002-9107-1984; Gruetzner, Jens/0000-0001-5445-2393; Horikawa, Keiji/0000-0003-0337-0413; Uenzelmann-Neben, Gabriele/0000-0002-0115-5923</t>
  </si>
  <si>
    <t>Alfred Wegener Institute; Deutsche Forschungsgemeinschaft (DFG) [GO 724/19-1, 527 IODP]; International Ocean Discovery Program (IODP)</t>
  </si>
  <si>
    <t>Alfred Wegener Institute; Deutsche Forschungsgemeinschaft (DFG)(German Research Foundation (DFG)); International Ocean Discovery Program (IODP)</t>
  </si>
  <si>
    <t>This study was supplied by institutional funds of the Alfred Wegener Institute and by grant no. GO 724/19-1 from the Deutsche Forschungsgemeinschaft (DFG) in the framework of the Priority Program 527 IODP. Expedition 379 was funded by the International Ocean Discovery Program (IODP).</t>
  </si>
  <si>
    <t>10.3389/feart.2022.976703</t>
  </si>
  <si>
    <t>8C9LA</t>
  </si>
  <si>
    <t>gold, Green Accepted, Green Published</t>
  </si>
  <si>
    <t>WOS:000917920700001</t>
  </si>
  <si>
    <t>Neal, L; Wiklund, H; Gunton, LM; Rabone, M; Bribiesca-Contreras, G; Dahlgren, TG; Glover, AG</t>
  </si>
  <si>
    <t>Neal, Lenka; Wiklund, Helena; Gunton, Laetitia M.; Rabone, Muriel; Bribiesca-Contreras, Guadalupe; Dahlgren, Thomas G.; Glover, Adrian G.</t>
  </si>
  <si>
    <t>Abyssal fauna of polymetallic nodule exploration areas, eastern Clarion-Clipperton Zone, central Pacific Ocean: Amphinomidae and Euphrosinidae (Annelida, Amphinomida)</t>
  </si>
  <si>
    <t>ZOOKEYS</t>
  </si>
  <si>
    <t>Amphinomida; CCZ; COI; deep-sea mining; molecular phylogeny; species distribution; taxonomic novelty; 18S; 16S</t>
  </si>
  <si>
    <t>MULTIPLE SEQUENCE ALIGNMENT; SOUTHERN-OCEAN; POLYCHAETE DIVERSITY; MOLECULAR PHYLOGENY; SEA; GENUS; SLOPE; BIODIVERSITY; BIOGEOGRAPHY; ARCHINOMIDAE</t>
  </si>
  <si>
    <t>This is a contribution in a series of taxonomic publications on benthic fauna of polymetallic nodule fields in the eastern abyssal Clarion-Clipperton Zone (CCZ). The material was collected during environmental surveys targeting exploration contract areas 'UK-1', 'OMS' and 'NORI-D', as well as an Area of Particular Environmental Interest, 'APEI-6'. The annelid families Amphinomidae and Euphrosinidae are investi-gated here. Taxonomic data are presented for six species from 41 CCZ-collected specimens as identified by a combination of morphological and genetic approaches; of the six species, three are here described as new, one species is likely to be new but in too poor condition to be formalised and the two others likely belong to known species. Description of three new species Euphrosinella georgievae sp. nov., Euphrosinopsis ahearni sp. nov., and Euphrosinopsis halli sp. nov. increases the number of formally described new annelid species from the targeted areas to 21 and CCZ-wide to 52. Molecular data suggest that four of the species reported here are known from CCZ only, but within CCZ they have a wide distribution. In contrast, the species identified as Bathychloeia cf. sibogae Horst, 1910 was found to have a wide distribution within the Pacific based on both morphological and molecular data, using comparative material from the abyssal South Pacific. Bathychloeia cf. balloniformis Boggemann, 2009 was found to be restricted to APEI-6 based on DNA data available from CCZ specimens only, but morphological data from other locations suggest potentially a wide abyssal distribution. The genus Euphrosinopsis was previously known only from Antarc-tic waters, and Euphrosinella georgievae sp. nov. was recovered as a sister taxon to the Antarctic specimens of Euphrosinella cf. cirratoformis in our molecular phylogenetic analysis, strengthening the hypothesised link between the deep-sea and Antarctic benthic fauna.</t>
  </si>
  <si>
    <t>[Neal, Lenka; Wiklund, Helena; Rabone, Muriel; Bribiesca-Contreras, Guadalupe; Glover, Adrian G.] Life Sci Dept, Nat Hist Museum, London SW7 5BD, England; [Wiklund, Helena; Dahlgren, Thomas G.] Univ Gothenburg, Dept Marine Sci, Box 463, S-40530 Gothenburg, Sweden; [Wiklund, Helena; Dahlgren, Thomas G.] Gothenburg Global Biodivers Ctr, Box 463, S-40530 Gothenburg, Sweden; [Gunton, Laetitia M.] Australian Museum Res Inst, 1 William St, Sydney, NSW 2010, Australia; [Dahlgren, Thomas G.] NORCE Norwegian Res Ctr, Bergen, Norway</t>
  </si>
  <si>
    <t>Natural History Museum London; University of Gothenburg; University of Gothenburg; Australian Museum; Norwegian Research Centre (NORCE)</t>
  </si>
  <si>
    <t>Glover, AG (corresponding author), Life Sci Dept, Nat Hist Museum, London SW7 5BD, England.</t>
  </si>
  <si>
    <t>a.glover@nhm.ac.uk</t>
  </si>
  <si>
    <t>gunton, laetitia/JQI-6474-2023</t>
  </si>
  <si>
    <t>Dahlgren, Thomas/0000-0001-6854-2031</t>
  </si>
  <si>
    <t>UK Sea-bed Resources Ltd; Natural Environment Research Council [NE/T002913/1]; Metals Company; TMC the metals company Inc. (The Metals Company) through its subsidiary Nauru Ocean Resources Inc. (NORI); UK Seabed Resources; NERC [NE/T002913/1, NE/T003537/1] Funding Source: UKRI</t>
  </si>
  <si>
    <t>UK Sea-bed Resources Ltd; Natural Environment Research Council(UK Research &amp; Innovation (UKRI)Natural Environment Research Council (NERC)); Metals Company; TMC the metals company Inc. (The Metals Company) through its subsidiary Nauru Ocean Resources Inc. (NORI); UK Seabed Resources; NERC(UK Research &amp; Innovation (UKRI)Natural Environment Research Council (NERC))</t>
  </si>
  <si>
    <t>We thank the masters, crew, and technical staff on the RV 'Melville', RV 'Thomas G Thompson', M/V #Pacific Constructor', and Maersk Launcher for their outstanding support. We acknowledge the expert leadership of the research cruises and ABYSSLINE project by Prof Craig R Smith, University of Hawaii. We received help sorting and sieving samples at sea from science teams in successful deep-sea coring operations on all cruises. Joke Bleeker communicated information about type material held at Naturalis Biodiversity Centre, Leiden. We would also like thank Eva Stewart for providing the map in Fig. 1. This research was supported by funding from UK Sea-bed Resources Ltd, The Metals Company and Natural Environment Research Council grant 'SMARTEX - Seabed Mining and Resilience to Experimental Impact' grant NE/T002913/1. Adrian G. Glover and Thomas D. Dahlgren have received support from TMC the metals company Inc. (The Metals Company) through its subsidiary Nauru Ocean Resources Inc. (NORI) . NORI holds exploration rights to the NORI-D contract area in the CCZ regulated by the International Seabed Authority and sponsored by the government of Nauru. This is contribution TMC/NORI/D/ [002] . We also acknowledge the continued support of UK Seabed Resources over the last eight years for funding the fundamental taxonomic studies necessary to inform the regulation of potential industrial activity. Furthermore, we acknowledge the continued support from the NHMUK Consultancy team (Harry Rousham, Robyn Fryer, Kate Rowland) .</t>
  </si>
  <si>
    <t>1313-2989</t>
  </si>
  <si>
    <t>1313-2970</t>
  </si>
  <si>
    <t>ZooKeys</t>
  </si>
  <si>
    <t>10.3897/zookeys.1137.86150</t>
  </si>
  <si>
    <t>7M6WZ</t>
  </si>
  <si>
    <t>WOS:000906796700003</t>
  </si>
  <si>
    <t>Cavallo, A; Clark, MS; Peck, LS; Harper, EM; Sleight, VA</t>
  </si>
  <si>
    <t>Cavallo, Alessandro; Clark, Melody S.; Peck, Lloyd S.; Harper, Elizabeth M.; Sleight, Victoria A.</t>
  </si>
  <si>
    <t>Evolutionary conservation and divergence of the transcriptional regulation of bivalve shell secretion across life-history stages</t>
  </si>
  <si>
    <t>ROYAL SOCIETY OPEN SCIENCE</t>
  </si>
  <si>
    <t>shell development; evo devo; mollusc; biomineralization</t>
  </si>
  <si>
    <t>LATERNULA-ELLIPTICA; EXPRESSION; GENES; CLAM; BIOMINERALIZATION; IDENTIFICATION; MOLLUSKS; MATRIX</t>
  </si>
  <si>
    <t>Adult molluscs produce shells with diverse morphologies and ornamentations, different colour patterns and microstructures. The larval shell, however, is a phenotypically more conserved structure. How do developmental and evolutionary processes generate varying diversity at different life-history stages within a species? Using live imaging, histology, scanning electron microscopy and transcriptomic profiling, we have described shell development in a heteroconchian bivalve, the Antarctic clam, Laternula elliptica, and compared it to adult shell secretion processes in the same species. Adult downstream shell genes, such as those encoding extracellular matrix proteins and biomineralization enzymes, were largely not expressed during shell development. Instead, a development-specific downstream gene repertoire was expressed. Upstream regulatory genes such as transcription factors and signalling molecules were largely conserved between developmental and adult shell secretion. Comparing heteroconchian data with recently reported pteriomorphian larval shell development data suggests that, despite being phenotypically more conserved, the downstream effectors constituting the larval shell 'tool-kit' may be as diverse as that of adults. Overall, our new data suggest that a larval shell formed using development-specific downstream effector genes is a conserved and ancestral feature of the bivalve lineage, and possibly more broadly across the molluscs.</t>
  </si>
  <si>
    <t>[Cavallo, Alessandro; Clark, Melody S.; Peck, Lloyd S.; Sleight, Victoria A.] British Antarctic Survey, Biodivers Evolut &amp; Adaptat Team, Cambridge CB3 0ET, England; [Harper, Elizabeth M.] Univ Cambridge, Dept Earth Sci, Cambridge CB2 1TN, England; [Sleight, Victoria A.] Univ Cambridge, Dept Zool, Cambridge CB2 1TN, England; [Sleight, Victoria A.] Univ Aberdeen, Sch Biol Sci, Aberdeen AB24 3FX, Scotland; [Cavallo, Alessandro] Univ Oxford, MRC Weatherall Inst Mol Med, MRC Mol Haematol Unit, Oxford, England</t>
  </si>
  <si>
    <t>UK Research &amp; Innovation (UKRI); Natural Environment Research Council (NERC); NERC British Antarctic Survey; University of Cambridge; University of Cambridge; University of Aberdeen; University of Oxford</t>
  </si>
  <si>
    <t>Sleight, VA (corresponding author), British Antarctic Survey, Biodivers Evolut &amp; Adaptat Team, Cambridge CB3 0ET, England.;Sleight, VA (corresponding author), Univ Cambridge, Dept Zool, Cambridge CB2 1TN, England.;Sleight, VA (corresponding author), Univ Aberdeen, Sch Biol Sci, Aberdeen AB24 3FX, Scotland.</t>
  </si>
  <si>
    <t>victoria.sleight@abdn.ac.uk</t>
  </si>
  <si>
    <t>Sleight, Victoria A./AHE-7337-2022; Harper, Elizabeth M/B-3890-2008; Clark, Melody S/D-7371-2014</t>
  </si>
  <si>
    <t>Sleight, Victoria A./0000-0003-0550-8500;</t>
  </si>
  <si>
    <t>Andrew Gillis</t>
  </si>
  <si>
    <t>Acknowledgements We are grateful to Andrew Gillis for use of paraffin histology and microscopy equipment and enthusiastic support of this work and the British Antarctic Survey Rothera marine team for collecting the adult Laternula elliptica broodstock.</t>
  </si>
  <si>
    <t>ROYAL SOC</t>
  </si>
  <si>
    <t>6-9 CARLTON HOUSE TERRACE, LONDON SW1Y 5AG, ENGLAND</t>
  </si>
  <si>
    <t>2054-5703</t>
  </si>
  <si>
    <t>ROY SOC OPEN SCI</t>
  </si>
  <si>
    <t>R. Soc. Open Sci.</t>
  </si>
  <si>
    <t>10.1098/rsos.221022</t>
  </si>
  <si>
    <t>7F3JQ</t>
  </si>
  <si>
    <t>Green Published, Green Submitted, gold, Green Accepted</t>
  </si>
  <si>
    <t>WOS:000901748500004</t>
  </si>
  <si>
    <t>Jones, MR; Chance, R; Dadic, R; Hannula, HR; May, R; Ward, M; Carpenter, LJ</t>
  </si>
  <si>
    <t>Jones, Matthew R.; Chance, Rosie; Dadic, Ruzica; Hannula, Henna-Reetta; May, Rebecca; Ward, Martyn; Carpenter, Lucy J.</t>
  </si>
  <si>
    <t>Environmental iodine speciation quantification in seawater and snow using ion exchange chromatography and UV spectrophotometric detection</t>
  </si>
  <si>
    <t>ANALYTICA CHIMICA ACTA</t>
  </si>
  <si>
    <t>Iodine speciation; Ion -exchange chromatography (IC); Seawater; Iodide; Iodate; Dissolved organic iodine</t>
  </si>
  <si>
    <t>PERFORMANCE LIQUID-CHROMATOGRAPHY; DISSOLVED ORGANIC IODINE; NEAR-SURFACE WATERS; SODIUM-CHLORIDE; IODATE-IODINE; MARINE WATERS; SEA; CHEMISTRY; BROMIDE; SAMPLES</t>
  </si>
  <si>
    <t>The behaviour and distribution of iodine in the environment are of significant interest in a range of scientific disciplines, from health, as iodine is an essential element for humans and animals, to climate and air quality, to geochemistry. Aquatic environments are the reservoir for iodine, where it exists in low concentrations as iodide, iodate and dissolved organic iodine and in which it undergoes redox reactions. The current measurement techniques for iodine species are typically time-consuming, subject to relatively poor precision and require specialist instrumentation including those that require mercury as an electrode. We present a new method for measuring iodine species, that is tailored towards lower dissolved organic carbon waters, such as seawater, rainwater and snow, using ion exchange chromatography (IC) with direct ultra-violet spectrophotometric detection of iodide and without the need for sample pre-concentration. Simple chemical amendments to the sample allow for the quantification of both iodate and dissolved organic iodine in addition to iodide. The developed IC method, which takes 16 min, was applied to contrasting samples that encompass a wide range of aqueous environments, from Arctic sea-ice snow (low concentrations) to coastal seawater (complex sample matrix). Linear calibrations are demonstrated for all matrices, using gravimetrically prepared potassium iodide standards. The detection limit for the iodide ion is 0.12 nM based on the standard deviation of the blank, while</t>
  </si>
  <si>
    <t>[Jones, Matthew R.; Chance, Rosie; Ward, Martyn; Carpenter, Lucy J.] Univ York, Wolfson Atmospher Chem Lab, York YO10 5DD, North Yorkshire, England; [Dadic, Ruzica] Victoria Univ Wellington, Antarctic Res Ctr, Wellington 6140, New Zealand; [Dadic, Ruzica] WSL Inst Snow &amp; Avalanche Res SLF, CH-7260 Davos, Switzerland; [Hannula, Henna-Reetta] Space &amp; Earth Observat Ctr, Finnish Meteorol Inst, Helsinki 00101, Finland; [May, Rebecca] Plymouth Marine Lab, Prospect Pl, Plymouth PL1 3DH, Devon, England; [May, Rebecca] Bermuda Inst Ocean Sci BIOS, Ferry Rd, St Georges, Bermuda</t>
  </si>
  <si>
    <t>University of York - UK; Victoria University Wellington; Swiss Federal Institutes of Technology Domain; Swiss Federal Institute for Forest, Snow &amp; Landscape Research; Finnish Meteorological Institute; Plymouth Marine Laboratory; Bermuda Institute of Ocean Sciences</t>
  </si>
  <si>
    <t>Jones, MR (corresponding author), Univ York, Wolfson Atmospher Chem Lab, York YO10 5DD, North Yorkshire, England.</t>
  </si>
  <si>
    <t>matthew_r_jones@rocketmail.com</t>
  </si>
  <si>
    <t>Carpenter, Laura/JPY-0437-2023; jones, matthew ross/C-2369-2017</t>
  </si>
  <si>
    <t>jones, matthew ross/0000-0001-8077-2331; Carpenter, Lucy/0000-0002-6257-3950; Hannula, Henna-Reetta/0000-0003-0792-8795; Ward, Martyn/0000-0003-4104-7430; Dadic, Ruzica/0000-0003-1303-1896; Chance, Rosie/0000-0002-5906-176X</t>
  </si>
  <si>
    <t>European Research Council (ERC) under the European Union [833290]; Swiss Polar Institute (SPI) [DIRCR-2018-003]; WSL Institute for Snow and Avalanche Research SLF [WSL 201812N1678]; European Union [730965]; European Research Council (ERC) [833290] Funding Source: European Research Council (ERC)</t>
  </si>
  <si>
    <t>European Research Council (ERC) under the European Union(European Research Council (ERC)); Swiss Polar Institute (SPI); WSL Institute for Snow and Avalanche Research SLF; European Union(European Union (EU)); European Research Council (ERC)(European Research Council (ERC)Spanish Government)</t>
  </si>
  <si>
    <t>This work was funded by a European Research Council (ERC) (project O3-SML; grant agreement no. 833290) grant under the European Union's Horizon 2020 programme to LJC. RD was funded by the Swiss Polar Institute (SPI reference DIRCR-2018-003) and WSL Institute for Snow and Avalanche Research SLF, WSL 201812N1678.Berth fees associated with the participation of RD and HRH in the DEARice project were covered by the European Union's Horizon 2020 research and innovation program projects ARICE (grant 730965). The snow samples used in this work come from the international Multidisciplinary drifting Observatory for the Study of the Arctic Climate (MOSAiC) with the tag MOSAiC20192020 (AWI_PS122_00) [80]. We thank all those who contributed to MOSAiC and made that endeavour possible as listed in Nixdorf et al., 2021 [81]. We are especially grateful to Plymouth Marine Laboratory and the crew of the RV Plymouth Quest, for collecting and filtering seawater samples. We thank the three anonymous reviewers for their time, insights and comments that helped improve this paper.</t>
  </si>
  <si>
    <t>0003-2670</t>
  </si>
  <si>
    <t>1873-4324</t>
  </si>
  <si>
    <t>ANAL CHIM ACTA</t>
  </si>
  <si>
    <t>Anal. Chim. Acta</t>
  </si>
  <si>
    <t>10.1016/j.aca.2022.340700</t>
  </si>
  <si>
    <t>Chemistry, Analytical</t>
  </si>
  <si>
    <t>Chemistry</t>
  </si>
  <si>
    <t>7K0BL</t>
  </si>
  <si>
    <t>WOS:000904950200002</t>
  </si>
  <si>
    <t>Soler, GA; Edgar, GJ; Barrett, NS; Stuart-Smith, RD; Oh, E; Cooper, A; Ridgway, KR; Ling, SD</t>
  </si>
  <si>
    <t>Soler, G. A.; Edgar, G. J.; Barrett, N. S.; Stuart-Smith, R. D.; Oh, E.; Cooper, A.; Ridgway, K. R.; Ling, S. D.</t>
  </si>
  <si>
    <t>Warming signals in temperate reef communities following more than a decade of ecological stability</t>
  </si>
  <si>
    <t>PROCEEDINGS OF THE ROYAL SOCIETY B-BIOLOGICAL SCIENCES</t>
  </si>
  <si>
    <t>climate change; functional traits; kelp; marine macroinvertebrates; reef fishes; tropicalization</t>
  </si>
  <si>
    <t>CLIMATE-CHANGE; MARINE; CORAL; ABUNDANCE; HOTSPOTS; TRENDS; RISK</t>
  </si>
  <si>
    <t>Ecosystem structure and function are increasingly threatened by changing climate, with profound effects observed globally in recent decades. Based on standardized visual censuses of reef biodiversity, we describe 27 years of community-level change for fishes, mobile macroinvertebrates and macroalgae in the Tasmanian ocean-warming hotspot. Significant ecological change was observed across 94 reef sites (5-10 m depth range) spanning four coastal regions between three periods (1992-95, 2006-07, 2017-19), which occurred against a background of pronounced sea temperature rise (+0.80 degrees C on average). Overall, fish biomass increased, macroinvertebrate species richness and abundance decreased and macroalgal cover decreased, particularly during the most recent decade. While reef communities were relatively stable and warming was slight between the 1990s and mid-2000s (+0.12 degrees C mean temperature rise), increased abundances of warm affinity fishes and invertebrates accompanied warming during the most recent decade (+0.68 degrees C rise). However, significant rises in the community temperature index (CTI) were only found for fishes, invertebrates and macroalgae in some regions. Coastal warming was associated with increased fish biomass of non-targeted species in fished zones but had little effect on reef communities within marine reserves. Higher abundances of larger fishes and lobsters inside reserves appeared to negate impacts of 'thermophilization'.</t>
  </si>
  <si>
    <t>[Soler, G. A.; Edgar, G. J.; Barrett, N. S.; Stuart-Smith, R. D.; Oh, E.; Cooper, A.; Ridgway, K. R.; Ling, S. D.] Univ Tasmania, Inst Marine &amp; Antarctic Studies, Private Bag 129, Hobart, Tas 7001, Australia; [Ridgway, K. R.] CSIRO Hobart, Battery Point, Tas 7004, Australia</t>
  </si>
  <si>
    <t>Soler, GA (corresponding author), Univ Tasmania, Inst Marine &amp; Antarctic Studies, Private Bag 129, Hobart, Tas 7001, Australia.</t>
  </si>
  <si>
    <t>german.soler@utas.edu.au</t>
  </si>
  <si>
    <t>Edgar, Graham/AAY-3797-2020; Stuart-Smith, Rick/I-5214-2019; Barrett, Neville/J-7593-2014; Ling, Scott/J-7161-2014</t>
  </si>
  <si>
    <t>Edgar, Graham/0000-0003-0833-9001; Stuart-Smith, Rick/0000-0002-8874-0083; Ridgway, Ken/0000-0002-5861-1360; Barrett, Neville/0000-0002-6167-1356; Oh, Elizabeth/0000-0001-7061-5068; Ling, Scott/0000-0002-5544-8174; Soler, German/0000-0001-7093-0228</t>
  </si>
  <si>
    <t>0962-8452</t>
  </si>
  <si>
    <t>1471-2954</t>
  </si>
  <si>
    <t>P ROY SOC B-BIOL SCI</t>
  </si>
  <si>
    <t>Proc. R. Soc. B-Biol. Sci.</t>
  </si>
  <si>
    <t>10.1098/rspb.2022.1649</t>
  </si>
  <si>
    <t>Biology; Ecology; Evolutionary Biology</t>
  </si>
  <si>
    <t>Life Sciences &amp; Biomedicine - Other Topics; Environmental Sciences &amp; Ecology; Evolutionary Biology</t>
  </si>
  <si>
    <t>7B0FO</t>
  </si>
  <si>
    <t>WOS:000898820800003</t>
  </si>
  <si>
    <t>Tyler, J; Younger, JL</t>
  </si>
  <si>
    <t>Tyler, Joshua; Younger, Jane L.</t>
  </si>
  <si>
    <t>Diving into a dead-end: asymmetric evolution of diving drives diversity and disparity shifts in waterbirds</t>
  </si>
  <si>
    <t>niche adaptation; convergence; macroevolution; ratchets; Aequorlitornithes</t>
  </si>
  <si>
    <t>TRAIT-DEPENDENT SPECIATION; ADAPTIVE RADIATION; BIRDS; DIVERSIFICATION; PHYLOGENIES; SELECTION; REVEALS; RATES; AVES</t>
  </si>
  <si>
    <t>Diving is a relatively uncommon and highly specialized foraging strategy in birds, mostly observed within the Aequorlitornithes (waterbirds) by groups such as penguins, cormorants and alcids. Three key diving techniques are employed within waterbirds: wing-propelled pursuit diving (e.g. penguins), foot-propelled pursuit diving (e.g. cormorants) and plunge diving (e.g. gannets). How many times diving evolved within waterbirds, whether plunge diving is an intermediate state between aerial foraging and submarine diving, and whether the transition to a diving niche is reversible are not known. Here, we elucidate the evolutionary history of diving in waterbirds. We show that diving has been acquired independently at least 14 times within waterbirds, and this acquisition is apparently irreversible, in a striking example of asymmetric evolution. All three modes of diving have evolved independently, with no evidence for plunge diving as an intermediate evolutionary state. Net diversification rates differ significantly between diving versus non-diving lineages, with some diving clades apparently prone to extinction. We find that body mass is evolving under multiple macroevolutionary regimes, with unique optima for each diving type with varying degrees of constraint. Our findings highlight the vulnerability of highly specialized lineages during the ongoing sixth mass extinction.</t>
  </si>
  <si>
    <t>[Tyler, Joshua; Younger, Jane L.] Univ Bath, Milner Ctr Evolut, Dept Life Sci, Bath BA2 7AY, England; [Younger, Jane L.] Univ Tasmania, Inst Marine &amp; Antarctic Studies, Hobart, Tas 7004, Australia</t>
  </si>
  <si>
    <t>University of Bath; University of Tasmania</t>
  </si>
  <si>
    <t>Tyler, J (corresponding author), Univ Bath, Milner Ctr Evolut, Dept Life Sci, Bath BA2 7AY, England.</t>
  </si>
  <si>
    <t>jmbt20@bath.ac.uk</t>
  </si>
  <si>
    <t>Younger, Jane/0000-0001-5974-7350; Tyler, Josh/0000-0002-2917-3621</t>
  </si>
  <si>
    <t>10.1098/rspb.2022.2056</t>
  </si>
  <si>
    <t>WOS:000898820800009</t>
  </si>
  <si>
    <t>Xing, QJ; Munday, D; Klocker, A; Sauermilch, I; Whittaker, J</t>
  </si>
  <si>
    <t>Xing, Qianjiang; Munday, David; Klocker, Andreas; Sauermilch, Isabel; Whittaker, Joanne</t>
  </si>
  <si>
    <t>The sensitivity of the Eocene-Oligocene Southern Ocean to the strength and position of wind stress</t>
  </si>
  <si>
    <t>ANTARCTIC CIRCUMPOLAR CURRENT; MOMENTUM BALANCE; DRAKE PASSAGE; EDDY SATURATION; HEAT-TRANSPORT; TIME-SERIES; FORM STRESS; MODEL; CIRCULATION; CLIMATE</t>
  </si>
  <si>
    <t>The early Cenozoic opening of the Tasmanian Gateway (TG) and Drake Passage (DP), alongside the synergistic action of the westerly winds, led to a Southern Ocean transition from large, subpolar gyres to the onset of the Antarctic Circumpolar Current (ACC). However, the impact of the changing latitudinal position and strength of the wind stress in altering the early Southern Ocean circulation has been poorly addressed. Here, we use an eddy-permitting ocean model (0.25 degrees) with realistic late Eocene paleo-bathymetry to investigate the sensitivity of the Southern Ocean to paleo-latitudinal migrations (relative to the gateways) and strengthening of the wind stress. We find that southward wind stress shifts of 5 or 10 degrees, with a shallow TG (300 m), lead to dominance of subtropical waters in the high latitudes and further warming of the Antarctic coast (increase by 2 degrees C). Southward migrations of wind stress with a deep TG (1500 m) cause the shrinking of the subpolar gyres and cooling of the surface waters in the Southern Ocean (decrease by 3-4 degrees C). With a 1500 m deep TG and maximum westerly winds aligning with both the TG and DP, we observe a proto-ACC with a transport of similar to 47.9 Sv. This impedes the meridional transport of warm subtropical waters to the Antarctic coast, thus laying a foundation for thermal isolation of the Antarctic. Intriguingly, proto-ACC flow through the TG is much more sensitive to strengthened wind stress compared to the DP. We suggest that topographic form stress can balance surface wind stress at depth to support the proto-ACC while the sensitivity of the transport is likely associated with the momentum budget between wind stress and near-surface topographic form stress driven by the subtropical gyres. In summary, this study proposes that the cooling of Eocene Southern Ocean is a consequence of a combination of gateway deepening and the alignment of maximum wind stress with both gateways.</t>
  </si>
  <si>
    <t>[Xing, Qianjiang] Univ Tasmania, Inst Marine &amp; Antarctic Studies, CSIRO UTAS Quantitat Marine Sci PhD Program, Hobart, Tas, Australia; [Xing, Qianjiang; Whittaker, Joanne] Univ Tasmania, Inst Marine &amp; Antarctic Studies, Hobart, Australia; [Munday, David] British Antarctic Survey, Cambridge, England; [Klocker, Andreas] NORCE Norwegian Res Ctr, Bjerknes Ctr Climate Res, Bergen, Norway; [Sauermilch, Isabel] Univ Utrecht, Dept Earth Sci, Utrecht, Netherlands</t>
  </si>
  <si>
    <t>University of Tasmania; Commonwealth Scientific &amp; Industrial Research Organisation (CSIRO); University of Tasmania; UK Research &amp; Innovation (UKRI); Natural Environment Research Council (NERC); NERC British Antarctic Survey; Bjerknes Centre for Climate Research; Norwegian Research Centre (NORCE); Utrecht University</t>
  </si>
  <si>
    <t>Xing, QJ (corresponding author), Univ Tasmania, Inst Marine &amp; Antarctic Studies, CSIRO UTAS Quantitat Marine Sci PhD Program, Hobart, Tas, Australia.;Xing, QJ (corresponding author), Univ Tasmania, Inst Marine &amp; Antarctic Studies, Hobart, Australia.</t>
  </si>
  <si>
    <t>qianjiang.xing@utas.edu.au</t>
  </si>
  <si>
    <t>Klocker, Andreas/E-4632-2011; Munday, David R/R-1986-2016; Whittaker, Joanne/B-3695-2010</t>
  </si>
  <si>
    <t>Munday, David R/0000-0003-1920-708X; Whittaker, Joanne/0000-0002-3170-3935; Xing, Qianjiang/0000-0001-8697-206X</t>
  </si>
  <si>
    <t>Australian Research Council; ERC [DP180102280]; [802835]</t>
  </si>
  <si>
    <t>Australian Research Council(Australian Research Council); ERC(European Research Council (ERC));</t>
  </si>
  <si>
    <t>This work was funded by the Australian Research Council Discovery Project (DP180102280). Isabel Sauermilch is supported by the ARC Discovery Project (DP180102280) and ERC starting grant OceaNice (802835).</t>
  </si>
  <si>
    <t>10.5194/cp-18-2669-2022</t>
  </si>
  <si>
    <t>7F4WM</t>
  </si>
  <si>
    <t>WOS:000901849800001</t>
  </si>
  <si>
    <t>Picard, G; Leduc-Leballeur, M; Banwell, AF; Brucker, L; Macelloni, G</t>
  </si>
  <si>
    <t>Picard, Ghislain; Leduc-Leballeur, Marion; Banwell, Alison F.; Brucker, Ludovic; Macelloni, Giovanni</t>
  </si>
  <si>
    <t>The sensitivity of satellite microwave observations to liquid water in the Antarctic snowpack</t>
  </si>
  <si>
    <t>GREENLAND ICE-SHEET; SURFACE MASS-BALANCE; BRIGHTNESS TEMPERATURE; SOIL-MOISTURE; BRIEF COMMUNICATION; TIME-SERIES; MELT; SHELF; MODEL; SCATTERING</t>
  </si>
  <si>
    <t>Surface melting on the Antarctic Ice Sheet has been monitored by satellite microwave radiometry for over 40 years. Despite this long perspective, our understanding of the microwave emission from wet snow is still limited, preventing the full exploitation of these observations to study supraglacial hydrology. Using the Snow Microwave Radiative Transfer (SMRT) model, this study investigates the sensitivity of microwave brightness temperature to snow liquid water content at frequencies from 1.4 to 37 GHz. We first determine the snowpack properties for eight selected coastal sites by retrieving profiles of density, grain size and ice layers from microwave observations when the snowpack is dry during wintertime. Second, a series of brightness temperature simulations is run with added water. The results show that (i) a small quantity of liquid water (P-center dot 0.5 kgm(-2)) can be detected, but the actual quantity cannot be retrieved out of the full range of possible water quantities; (ii) the detection of a buried wet layer is possible up to a maximum depth of 1 to 6 m depending on the frequency (6-37 GHz) and on the snow properties (grain size, density) at each site; (iii) surface ponds and water-saturated areas may prevent melt detection, but the current coverage of these waterbodies in the large satellite field of view is presently too small in Antarctica to have noticeable effects; and (iv) at 1.4 GHz, while the simulations are less reliable, we found a weaker sensitivity to liquid water and the maximal depth of detection is relatively shallow (&lt; 10 m) compared to the typical radiation penetration depth in dry firn (asymptotic to 1000 m) at this low frequency. These numerical results pave the way for the development of improved multi frequency algorithms to detect melt intensity and the depth of liquid water below the surface in the Antarctic snowpack.</t>
  </si>
  <si>
    <t>[Picard, Ghislain] Univ Grenoble Alpes, Inst Geosci Environm IGE, CNRS, UMR 5001, Grenoble, France; [Picard, Ghislain] Geol Survey Denmark &amp; Greenland GEUS, DK-1350 Copenhagen, Denmark; [Leduc-Leballeur, Marion; Macelloni, Giovanni] Inst Appl Phys Nello Carrara, Sesto Fiorentino, Italy; [Banwell, Alison F.] Univ Colorado Boulder, Cooperat Inst Res Environm Sci CIRES, Boulder, CO USA; [Brucker, Ludovic] US Natl Ice Ctr, NOAA, NESDIS, Ctr Satellite Applicat &amp; Res, College Pk, MD USA</t>
  </si>
  <si>
    <t>Centre National de la Recherche Scientifique (CNRS); CNRS - National Institute for Earth Sciences &amp; Astronomy (INSU); Communaute Universite Grenoble Alpes; Universite Grenoble Alpes (UGA); Geological Survey Of Denmark &amp; Greenland; Consiglio Nazionale delle Ricerche (CNR); Istituto di Fisica Applicata Nello Carrara (IFAC-CNR); University of Colorado System; University of Colorado Boulder; National Oceanic Atmospheric Admin (NOAA) - USA</t>
  </si>
  <si>
    <t>Picard, G (corresponding author), Univ Grenoble Alpes, Inst Geosci Environm IGE, CNRS, UMR 5001, Grenoble, France.;Picard, G (corresponding author), Geol Survey Denmark &amp; Greenland GEUS, DK-1350 Copenhagen, Denmark.</t>
  </si>
  <si>
    <t>ghislain.picard@univ-grenoble-alpes.fr</t>
  </si>
  <si>
    <t>Leduc-Leballeur, Marion/AAK-9880-2021; Picard, Ghislain/D-4246-2013; Banwell, Alison/W-8180-2018</t>
  </si>
  <si>
    <t>Leduc-Leballeur, Marion/0000-0001-7579-7024; Picard, Ghislain/0000-0003-1475-5853; Banwell, Alison/0000-0001-9545-829X; Brucker, Ludovic/0000-0001-7102-8084</t>
  </si>
  <si>
    <t>European Space Agency [4000112698/14/NL/LvH]; project 4D Antarctica [ESA/AO/1-9570/18/I-DT]; US National Science Foundation (NSF) [1841607]</t>
  </si>
  <si>
    <t>European Space Agency(European Space Agency); project 4D Antarctica; US National Science Foundation (NSF)(National Science Foundation (NSF))</t>
  </si>
  <si>
    <t>This research has been supported by the European Space Agency (grant no. 4000112698/14/NL/LvH) and project 4D Antarctica (no. ESA/AO/1-9570/18/I-DT). Alison F. Banwell received support from the US National Science Foundation (NSF) to the University of Colorado Boulder (award no. 1841607).</t>
  </si>
  <si>
    <t>10.5194/tc-16-5061-2022</t>
  </si>
  <si>
    <t>7C6KN</t>
  </si>
  <si>
    <t>WOS:000899919400001</t>
  </si>
  <si>
    <t>Condie, CM; Alexander, KA; Fulton, EA; Vince, J; Condie, SA</t>
  </si>
  <si>
    <t>Condie, Corrine M.; Alexander, Karen A.; Fulton, Elizabeth A.; Vince, Joanna; Condie, Scott A.</t>
  </si>
  <si>
    <t>Reducing socio-ecological conflict using social influence modelling</t>
  </si>
  <si>
    <t>ENVIRONMENTAL CONFLICT; AQUACULTURE; MEDIA; CONTROVERSY; EVOLUTION; TASMANIA; LESSONS; LICENSE; ISLAND</t>
  </si>
  <si>
    <t>Polarisation of opinions across communities can lead to social conflict, reputational damage and the disruption of operations and markets. Social influence models have been widely used to better understand processes driving conflict from a theoretical perspective. Using aquaculture as a case study, we demonstrate how such models can be extended to accurately hindcast the transition from population consensus to high conflict, including observed catastrophic tipping points. We then use the model to quantitatively evaluate strategies aimed at reducing aquaculture conflict. We found that persuasive advocacy was ineffective and often counterproductive, whereas meaningful engagement, collaborative learning and improving scientific literacy targeted broadly across the population was effective in moderating opinions and reducing conflict. When such messaging was targeted too narrowly or too infrequently, it tended to be negated by ongoing exchange of misinformation within the population. Both the modelling approach and lessons on effective communication strategies are relevant to a broad range of environmental conflicts.</t>
  </si>
  <si>
    <t>[Condie, Corrine M.; Alexander, Karen A.] Univ Tasmania, Inst Marine &amp; Antarctic Studies, Hobart, Tas, Australia; [Condie, Corrine M.; Alexander, Karen A.; Fulton, Elizabeth A.; Vince, Joanna; Condie, Scott A.] Univ Tasmania, Ctr Marine Socioecol, Hobart, Tas, Australia; [Alexander, Karen A.] Heriot Watt Univ, Int Ctr Isl Technol, Stromness, Scotland; [Fulton, Elizabeth A.; Condie, Scott A.] CSIRO Environm, Hobart, Tas, Australia; [Vince, Joanna] Univ Tasmania, Sch Social Sci, Launceston, Tas, Australia</t>
  </si>
  <si>
    <t>University of Tasmania; University of Tasmania; Heriot Watt University; University of Tasmania</t>
  </si>
  <si>
    <t>Condie, CM (corresponding author), Univ Tasmania, Inst Marine &amp; Antarctic Studies, Hobart, Tas, Australia.;Condie, CM (corresponding author), Univ Tasmania, Ctr Marine Socioecol, Hobart, Tas, Australia.</t>
  </si>
  <si>
    <t>cm.condie@utas.edu.au</t>
  </si>
  <si>
    <t>Fulton, Beth/AAJ-1398-2021; Vince, Joanna Zofia/J-7465-2014; Alexander, Karen/O-7042-2017</t>
  </si>
  <si>
    <t>Fulton, Beth/0000-0002-5904-7917; Vince, Joanna Zofia/0000-0002-4469-7634; Alexander, Karen/0000-0001-8801-413X</t>
  </si>
  <si>
    <t>Australian Government Research Training Program Scholarship</t>
  </si>
  <si>
    <t>Australian Government Research Training Program Scholarship(Australian GovernmentDepartment of Industry, Innovation and Science)</t>
  </si>
  <si>
    <t>Our thanks to the Tasmanian Salmon Growers Association for access to community survey results. C.M.C. is supported by an Australian Government Research Training Program Scholarship.</t>
  </si>
  <si>
    <t>DEC 20</t>
  </si>
  <si>
    <t>10.1038/s41598-022-26570-8</t>
  </si>
  <si>
    <t>D6KM8</t>
  </si>
  <si>
    <t>WOS:000969800000062</t>
  </si>
  <si>
    <t>Koerich, G; Fraser, CI; Lee, CK; Morgan, FJ; Tonkin, JD</t>
  </si>
  <si>
    <t>Koerich, Gabrielle; Fraser, Ceridwen I.; Lee, Charles K.; Morgan, Fraser J.; Tonkin, Jonathan D.</t>
  </si>
  <si>
    <t>Forecasting the future of life in Antarctica</t>
  </si>
  <si>
    <t>TRENDS IN ECOLOGY &amp; EVOLUTION</t>
  </si>
  <si>
    <t>EMPEROR PENGUIN; CLIMATE; MODELS; DISPERSAL; EXPANSION; DYNAMICS</t>
  </si>
  <si>
    <t>Antarctic ecosystems are under increasing anthropogenic pressure, but efforts to predict the responses of Antarctic biodiversity to environmental change are hindered by considerable data challenges. Here, we illustrate how novel data capture technologies provide exciting opportunities to sample Antarctic biodiver-sity at wider spatiotemporal scales. Data integration frameworks, such as point process and hierarchical models, can mitigate weaknesses in individual data sets, improving confidence in their predictions. Increasing process knowledge in models is imperative to achieving improved forecasts of Antarctic biodiversity, which can be attained for data-limited species using hybrid modelling frame-works. Leveraging these state-of-the-art tools will help to overcome many of the data scarcity challenges presented by the remoteness of Antarctica, enabling more robust forecasts both near-and long-term.</t>
  </si>
  <si>
    <t>[Koerich, Gabrielle; Tonkin, Jonathan D.] Univ Canterbury, Sch Biol Sci, Private Bag 4800, Christchurch 8140, New Zealand; [Fraser, Ceridwen I.] Univ Otago, Dept Marine Sci, POB 56, Dunedin 9054, New Zealand; [Lee, Charles K.] Univ Waikato, Int Ctr Terr Antarctic Res, Sch Sci, Private Bag 3105, Hamilton 3105, New Zealand; [Morgan, Fraser J.] Manaaki Whenua Landcare Res, Auckland 1072, New Zealand; [Morgan, Fraser J.; Tonkin, Jonathan D.] Ctr Res Excellence Complex Syst, Punaha Matatini, Auckland, New Zealand; [Tonkin, Jonathan D.] Bioprotect Aotearoa, Ctr Res Excellence, Canterbury, New Zealand</t>
  </si>
  <si>
    <t>University of Canterbury; University of Otago; University of Waikato; Landcare Research - New Zealand</t>
  </si>
  <si>
    <t>Koerich, G; Tonkin, JD (corresponding author), Univ Canterbury, Sch Biol Sci, Private Bag 4800, Christchurch 8140, New Zealand.;Tonkin, JD (corresponding author), Ctr Res Excellence Complex Syst, Punaha Matatini, Auckland, New Zealand.;Tonkin, JD (corresponding author), Bioprotect Aotearoa, Ctr Res Excellence, Canterbury, New Zealand.</t>
  </si>
  <si>
    <t>gabrielle.koerich@pg.canterbury.ac.nz; jonathan.tonkin@canterbury.ac.nz</t>
  </si>
  <si>
    <t>Lee, Charles/AAC-9417-2019; Tonkin, Jonathan D/J-4120-2013</t>
  </si>
  <si>
    <t>Lee, Charles/0000-0002-6562-4733; Tonkin, Jonathan D/0000-0002-6053-291X; Koerich, Gabrielle/0000-0002-0875-622X</t>
  </si>
  <si>
    <t>New Zealand Antarctic Science Platform [ANTA1801]; Rutherford Discovery Fellowships [RDF-18-UOC-007, RDF-UOO-1803]; TePnaha Matatini Centres of Research Excellence - Tertiary Education Commission, New Zealand; Bioprotection Aotearoa Centres of Research Excellence - Tertiary Education Commission, New Zealand</t>
  </si>
  <si>
    <t>New Zealand Antarctic Science Platform; Rutherford Discovery Fellowships(Royal Society of New Zealand); TePnaha Matatini Centres of Research Excellence - Tertiary Education Commission, New Zealand; Bioprotection Aotearoa Centres of Research Excellence - Tertiary Education Commission, New Zealand</t>
  </si>
  <si>
    <t>Support for all authors was provided by the New Zealand Antarctic Science Platform (ANTA1801) . J.D.T. and C.I.F. are supported by Rutherford Discovery Fellowships administered by the Royal Society Te Aprangi (RDF-18-UOC-007 and RDF-UOO-1803) . J.D.T. and F.J.M. are supported by TePnaha Matatini, and J.D.T. by Bioprotection Aotearoa, both Centres of Research Excellence funded by the Tertiary Education Commission, New Zealand. We thank M.N. Sissini and M. LaRue for the photos, and M. LaRue for providing occurrence data. We thank J. Levy for Box 2 Figure IC. We also thank M. LaRue and Hao Ran Lai for reading a preliminary version of the manuscript, and the two anonymous reviewers for their constructive comments.</t>
  </si>
  <si>
    <t>CELL PRESS</t>
  </si>
  <si>
    <t>CAMBRIDGE</t>
  </si>
  <si>
    <t>50 HAMPSHIRE ST, FLOOR 5, CAMBRIDGE, MA 02139 USA</t>
  </si>
  <si>
    <t>0169-5347</t>
  </si>
  <si>
    <t>1872-8383</t>
  </si>
  <si>
    <t>TRENDS ECOL EVOL</t>
  </si>
  <si>
    <t>Trends Ecol. Evol.</t>
  </si>
  <si>
    <t>10.1016/j.tree.2022.07.009</t>
  </si>
  <si>
    <t>Ecology; Evolutionary Biology; Genetics &amp; Heredity</t>
  </si>
  <si>
    <t>Environmental Sciences &amp; Ecology; Evolutionary Biology; Genetics &amp; Heredity</t>
  </si>
  <si>
    <t>7S9FP</t>
  </si>
  <si>
    <t>WOS:000911056800001</t>
  </si>
  <si>
    <t>Sutherland, WJ; Bennett, C; Brotherton, PNM; Butterworth, HM; Clout, MN; Cote, IM; Dinsdale, J; Esmail, N; Fleishman, E; Gaston, KJ; Herbert-Read, JE; Hughes, A; Kaartokallio, H; Le Roux, X; Lickorish, FA; Matcham, W; Noor, N; Palardy, JE; Pearce-Higgins, JW; Peck, LS; Pettorelli, N; Pretty, J; Scobey, R; Spalding, MD; Tonneijck, FH; Tubbs, N; Watson, JEM; Wentworth, JE; Wilson, JD; Thornton, A</t>
  </si>
  <si>
    <t>Sutherland, William J.; Bennett, Craig; Brotherton, Peter N. M.; Butterworth, Holly M.; Clout, Mick N.; Cote, Isabelle M.; Dinsdale, Jason; Esmail, Nafeesa; Fleishman, Erica; Gaston, Kevin J.; Herbert-Read, James E.; Hughes, Alice; Kaartokallio, Hermanni; Le Roux, Xavier; Lickorish, Fiona A.; Matcham, Wendy; Noor, Noor; Palardy, James E.; Pearce-Higgins, James W.; Peck, Lloyd S.; Pettorelli, Nathalie; Pretty, Jules; Scobey, Richard; Spalding, Mark D.; Tonneijck, Femke H.; Tubbs, Nicolas; Watson, James E. M.; Wentworth, Jonathan E.; Wilson, Jeremy D.; Thornton, Ann</t>
  </si>
  <si>
    <t>A global biological conservation horizon scan of issues for 2023</t>
  </si>
  <si>
    <t>We present the results of our 14th horizon scan of issues we expect to influence biological conservation in the future. From an initial set of 102 topics, our global panel of 30 scientists and practitioners identified 15 issues we consider most urgent for societies worldwide to address. Issues are novel within biological conservation or represent a substantial positive or negative step change at global or regional scales. Issues such as submerged artificial light fisheries and accelerating upper ocean currents could have profound negative impacts on marine or coastal ecosystems. We also identified potentially positive technolog-ical advances, including energy production and storage, improved fertilisation methods, and expansion of biodegradable materials. If effectively managed, these technologies could realise future benefits for biological diversity.</t>
  </si>
  <si>
    <t>[Sutherland, William J.; Fleishman, Erica; Gaston, Kevin J.; Herbert-Read, James E.; Hughes, Alice; Kaartokallio, Hermanni; Lickorish, Fiona A.; Matcham, Wendy; Noor, Noor; Palardy, James E.; Pearce-Higgins, James W.] Univ Cambridge, Dept Zool, Conservat Sci Grp, David Attenborough Bldg,Pembroke St, Cambridge, England; [Sutherland, William J.; Herbert-Read, James E.; Pearce-Higgins, James W.] Univ Cambridge, St Catharines Coll, Biosecur Res Initiat St Catharines BioRISC, Cambridge, England; [Bennett, Craig; Hughes, Alice] Royal Soc Wildlife Trusts, The Kiln, Mather Rd, Newark NG24 1WT, Nottinghamshire, England; [Brotherton, Peter N. M.; Kaartokallio, Hermanni] Nat England, 4th Floor Foss House,Kings Pool, 1-2 Peasholme Gr, York YO1 7PX, England; [Butterworth, Holly M.] Nat Resources Wales, Cambria House,29 Newport Rd, Cardiff, Wales; [Clout, Mick N.] Univ Auckland, Ctr Biodivers &amp; Biosecur, Sch Biol Sci, PB 92019, Auckland, New Zealand; [Cote, Isabelle M.] Simon Fraser Univ, Dept Biol Sci, Burnaby, BC V5A 1S6, Canada; [Dinsdale, Jason] Environm Agcy, Horizon House,Deanery Rd, Bristol BS1 5AH, England; [Esmail, Nafeesa] Wilder Inst Calgary Zoo, 1300 Zoo Rd NE, Calgary, AB T2E 7V6, Canada; [Fleishman, Erica] Oregon State Univ, Coll Earth Ocean &amp; Atmospher Sci, Corvallis, OR 97331 USA; [Gaston, Kevin J.] Univ Exeter, Environm &amp; Sustainabil Inst, Penryn TR10 9FE, Cornwall, England; [Herbert-Read, James E.] Univ Cambridge, Dept Zool, Cambridge CB2 3EJ, England; [Hughes, Alice] Univ Hong Kong, Sch Biol Sci, Pok Fu Lam, Hong Kong, Peoples R China; [Kaartokallio, Hermanni] Finnish Environm Inst, Agnes Sjobergin Katu 2, Helsinki 00790, Finland; [Le Roux, Xavier] Univ Lyon, Univ Lyon 1, Microbial Ecol Ctr, INRAE UMR1418,CNRS UMR5557, F-69622 Villeurbanne, France; [Lickorish, Fiona A.] UK Res &amp; Consultancy Serv RCS Ltd, Hereford HR4 8BU, Herefordshire, England; [Matcham, Wendy] NERC, UK Res &amp; Innovat, Polaris House,North Star Ave, Swindon SN2 1FL, Wiltshire, England; [Noor, Noor] UN Environm Programme World Conservat Monitoring C, 219 Huntingdon Rd, Cambridge CB3 0DL, England; [Palardy, James E.] Pew Charitable Trusts, 901 St NW, Washington, DC 20004 USA; [Pearce-Higgins, James W.] British Trust Ornithol, The Nunnery, Thetford IP24 2PU, England; [Peck, Lloyd S.] NERC, British Antarctic Survey, Madingley Rd, Cambridge CB3 0ET, England; [Pettorelli, Nathalie] Zool Soc London, Inst Zool, Regents Pk, London NW1 4RY, England; [Pretty, Jules] Univ Essex, Ctr Publ &amp; Policy Engagement, Sch Life Sci, Colchester CO4 3SQ, Essex, England; [Scobey, Richard] TRAFFIC, David Attenborough Bldg,Pembroke St, Cambridge CB2 3QZ, England; [Spalding, Mark D.] Nature Conservancy, Str Tolfe 14, I-53100 Siena, Italy; [Tonneijck, Femke H.] Wetlands Int, NL-6700 AL Wageningen, Netherlands; [Tubbs, Nicolas] WWF Belgium, BD Emile Jacqumainlaan 90, B-1000 Brussels, Belgium; [Watson, James E. M.] Univ Queensland, Sch Earth &amp; Environm Sci, St Lucia, Qld 4072, Australia; [Wentworth, Jonathan E.] Parliamentary Off Sci &amp; Technol, 14 Tothill St, London SW1H 9NB, England; [Wilson, Jeremy D.] RSPB Ctr Conservat Sci, 2 Lochside View, Edinburgh EH12 9DH, Scotland</t>
  </si>
  <si>
    <t>University of Cambridge; University of Cambridge; University of Auckland; Simon Fraser University; Oregon State University; University of Exeter; University of Cambridge; University of Hong Kong; Finnish Environment Institute; Universite Claude Bernard Lyon 1; INRAE; UK Research &amp; Innovation (UKRI); Natural Environment Research Council (NERC); British Trust for Ornithology; UK Research &amp; Innovation (UKRI); Natural Environment Research Council (NERC); NERC British Antarctic Survey; Zoological Society of London; University of Essex; University of Queensland; Royal Society for Protection of Birds</t>
  </si>
  <si>
    <t>Sutherland, WJ (corresponding author), Univ Cambridge, Dept Zool, Conservat Sci Grp, David Attenborough Bldg,Pembroke St, Cambridge, England.;Sutherland, WJ (corresponding author), Univ Cambridge, St Catharines Coll, Biosecur Res Initiat St Catharines BioRISC, Cambridge, England.</t>
  </si>
  <si>
    <t>w.sutherland@zoo.cam.ac.uk</t>
  </si>
  <si>
    <t>Pettorelli, Nathalie/AAW-8438-2021; Watson, James Edward Maxwell/D-8779-2013; Hughes, Alice C./HCH-3838-2022; Spalding, Mark/GVU-0739-2022; Sutherland, William/B-1291-2013; Cote, Isabelle/ABD-5898-2021</t>
  </si>
  <si>
    <t>Watson, James Edward Maxwell/0000-0003-4942-1984; Hughes, Alice C./0000-0002-4899-3158; Lickorish, Fiona/0000-0002-0696-202X; LE ROUX, Xavier/0000-0001-9695-0825; Palardy, James/0000-0002-8347-7108; Esmail, Nafeesa/0000-0001-6043-2014; Pettorelli, Nathalie/0000-0002-1594-6208</t>
  </si>
  <si>
    <t>Natural Environment Research Council; Royal Society for the Protection of Birds (RSPB); Arcadia; Whitten Programme in Marine Biology; French Institute of Research for Agriculture, Alimentation and Environment (INRAE, ECODIV Department)</t>
  </si>
  <si>
    <t>Natural Environment Research Council(UK Research &amp; Innovation (UKRI)Natural Environment Research Council (NERC)); Royal Society for the Protection of Birds (RSPB); Arcadia; Whitten Programme in Marine Biology; French Institute of Research for Agriculture, Alimentation and Environment (INRAE, ECODIV Department)</t>
  </si>
  <si>
    <t>This exercise was coordinated by the Cambridge Conservation Initiative and was funded by the Natural Environment Research Council and the Royal Society for the Protection of Birds (RSPB). We are grateful to everyone who submitted ideas to the exercise and to the following who suggested topics that made the final list: Oona Buttafoco (biobatteries); Joe Fargione (advances in converting human urine into fertilisers); Mark Hancock (tree monocultures and genome editing); and Marcus Nyman (novel therapeutics). W.J.S. and A.T. are funded by Arcadia; J.E.H-R. is supported by the Whitten Programme in Marine Biology; X.L.R. is supported by the French Institute of Research for Agriculture, Alimentation and Environment (INRAE, ECODIV Department).</t>
  </si>
  <si>
    <t>10.1016/j.tree.2022.10.005</t>
  </si>
  <si>
    <t>7U3FT</t>
  </si>
  <si>
    <t>WOS:000912020700001</t>
  </si>
  <si>
    <t>Gasperini, L; Ligi, M; Accettella, D; Bosman, A; Cuffaro, M; Lodolo, E; Martorelli, E; Muccini, F; Palmiotto, C; Polonia, A</t>
  </si>
  <si>
    <t>Gasperini, Luca; Ligi, Marco; Accettella, Daniela; Bosman, Alessandro; Cuffaro, Marco; Lodolo, Emanuele; Martorelli, Eleonora; Muccini, Filippo; Palmiotto, Camilla; Polonia, Alina</t>
  </si>
  <si>
    <t>Late Miocene to recent tectonic evolution of the Macquarie Triple Junction</t>
  </si>
  <si>
    <t>GEOLOGY</t>
  </si>
  <si>
    <t>PLATE BOUNDARY; PACIFIC; SOUTH; MOTION</t>
  </si>
  <si>
    <t>The Pacific, Antarctic, and Macquarie lithospheric plates diverge from the Macquarie Triple Junction (MTJ) in the southwestern Pacific Ocean, south of Macquarie Island. Morphobathymetric, magnetic, and gravity data have been used to understand the evolution of the three accretionary/transform boundaries that meet at the MTJ. Plate velocities, estimated near the MTJ and averaged over the past 3 m.y., indicate an unstable ridge-fault-fault triple junction. The long life (&gt;6 m.y.) of this configuration can be attributed to a rapid increase in spreading asymmetry along the Southeast Indian Ridge segment as it approaches the MTJ, and to transtension along the southernmost strand of the Macquarie-Pacific transform boundary. A major change in plate motion triggered the development of the Macquarie plate at ca. 6 Ma and makes clear the recent evolution of the MTJ, including (1) shortening of the Southeast Indian Ridge segment; (2) formation of the westernmost Pacific-Antarctic Ridge, which increased its length over time; and (3) lengthening of the two transform boundaries converging in the MTJ. The clockwise change of the Pacific-Antarctic motion (ca. 12-10 Ma) led to complex geodynamic evolution of the plate boundary to the east of the triple junction, with fragmentation of the long-offset Emerald transform fault and its replacement over a short time interval (1-2 m.y.) with closely spaced, highly variable transform offsets that were joined by short ridge segments with time-varying asymmetries in the spreading rates.</t>
  </si>
  <si>
    <t>[Gasperini, Luca; Ligi, Marco; Palmiotto, Camilla; Polonia, Alina] CNR, Ist Sci Marine, I-40129 Bologna, Italy; [Accettella, Daniela; Lodolo, Emanuele] Ist Nazl Oceanografia &amp; Geofis Sperimentale, I-34010 Trieste, Italy; [Bosman, Alessandro; Cuffaro, Marco; Martorelli, Eleonora; Muccini, Filippo] CNR, Ist Geol Ambientale &amp; Geoingegneria, I-00185 Rome, Italy; [Muccini, Filippo] Ist Nazl Geofis &amp; Vulcanol, I-00143 Rome, Italy</t>
  </si>
  <si>
    <t>Consiglio Nazionale delle Ricerche (CNR); Istituto di Scienze Marine (ISMAR-CNR); Istituto Nazionale di Oceanografia e di Geofisica Sperimentale; Consiglio Nazionale delle Ricerche (CNR); Istituto di Geologia Ambientale e Geoingegneria (IGAG-CNR); Istituto Nazionale Geofisica e Vulcanologia (INGV)</t>
  </si>
  <si>
    <t>Gasperini, L (corresponding author), CNR, Ist Sci Marine, I-40129 Bologna, Italy.</t>
  </si>
  <si>
    <t>luca.gasperini@bo.ismar.cnr.it</t>
  </si>
  <si>
    <t>bosman, alessandro/AAX-2481-2020; Gasperini, Luca/B-8796-2017; Ligi, Marco/G-4853-2012; Cuffaro, Marco/AAW-6427-2020; Palmiotto, Camilla/JGL-9608-2023</t>
  </si>
  <si>
    <t>bosman, alessandro/0000-0002-1441-8016; Ligi, Marco/0000-0002-5098-5907; Cuffaro, Marco/0000-0003-0626-1378; LODOLO, Emanuele/0000-0002-4706-2095; ACCETTELLA, Daniela/0000-0001-8886-6607; PALMIOTTO, CAMILLA/0000-0002-2458-4536</t>
  </si>
  <si>
    <t>GEOLOGICAL SOC AMER, INC</t>
  </si>
  <si>
    <t>BOULDER</t>
  </si>
  <si>
    <t>PO BOX 9140, BOULDER, CO 80301-9140 USA</t>
  </si>
  <si>
    <t>0091-7613</t>
  </si>
  <si>
    <t>1943-2682</t>
  </si>
  <si>
    <t>10.1130/G50556.1</t>
  </si>
  <si>
    <t>Q0JH5</t>
  </si>
  <si>
    <t>WOS:000907622800001</t>
  </si>
  <si>
    <t>Corsolini, S; Ademollo, N</t>
  </si>
  <si>
    <t>Corsolini, Simonetta; Ademollo, Nicoletta</t>
  </si>
  <si>
    <t>POPs in Antarctic ecosystems: is climate change affecting their temporal trends? (vol 24, pg 1631, 2022)</t>
  </si>
  <si>
    <t>ENVIRONMENTAL SCIENCE-PROCESSES &amp; IMPACTS</t>
  </si>
  <si>
    <t>[Corsolini, Simonetta] Univ Siena, Dept Phys Earth &amp; Environm Sci, Via PA Mattioli 4, I-53100 Siena, Italy; [Ademollo, Nicoletta] Inst Polar Sci Italian Natl Res Council ISP CNR, Str Prov 35D,Km 0-7, I-00010 Montelibretti, Italy</t>
  </si>
  <si>
    <t>Corsolini, S (corresponding author), Univ Siena, Dept Phys Earth &amp; Environm Sci, Via PA Mattioli 4, I-53100 Siena, Italy.</t>
  </si>
  <si>
    <t>simonetta.corsolini@unisi.it</t>
  </si>
  <si>
    <t>Ademollo, nicoletta/0000-0002-1875-6530</t>
  </si>
  <si>
    <t>ROYAL SOC CHEMISTRY</t>
  </si>
  <si>
    <t>THOMAS GRAHAM HOUSE, SCIENCE PARK, MILTON RD, CAMBRIDGE CB4 0WF, CAMBS, ENGLAND</t>
  </si>
  <si>
    <t>2050-7887</t>
  </si>
  <si>
    <t>2050-7895</t>
  </si>
  <si>
    <t>ENVIRON SCI-PROC IMP</t>
  </si>
  <si>
    <t>Environ. Sci.-Process Impacts</t>
  </si>
  <si>
    <t>10.1039/d2em90046g</t>
  </si>
  <si>
    <t>Chemistry, Analytical; Environmental Sciences</t>
  </si>
  <si>
    <t>Chemistry; Environmental Sciences &amp; Ecology</t>
  </si>
  <si>
    <t>7Y4KR</t>
  </si>
  <si>
    <t>WOS:000901491400001</t>
  </si>
  <si>
    <t>Hofsteenge, MG; Cullen, NJ; Reijmer, CH; van den Broeke, M; Katurji, M; Orwin, JF</t>
  </si>
  <si>
    <t>Hofsteenge, Marte G.; Cullen, Nicolas J.; Reijmer, Carleen H.; van den Broeke, Michiel; Katurji, Marwan; Orwin, John F.</t>
  </si>
  <si>
    <t>The surface energy balance during foehn events at Joyce Glacier, McMurdo Dry Valleys, Antarctica</t>
  </si>
  <si>
    <t>TAYLOR VALLEY; FOHN WINDS; ICE-SHELF; SNOW; ABLATION; SUMMER; MELT; ACCUMULATION</t>
  </si>
  <si>
    <t>The McMurdo Dry Valleys (MDV) are a polar desert, where glacial melt is the main source of water to streams and the ecosystem. Summer air temperatures are typically close to zero, and therefore foehn events can have a large impact on the meltwater production. A 14-month record of automatic weather station (AWS) data on Joyce Glacier is used to force a 1D surface energy balance model to study the impact of foehn events on the energy balance. AWS data and output of the Antarctic Mesoscale Prediction System (AMPS) on a 1.7 km grid are used to detect foehn events at the AWS site. Foehn events at Joyce Glacier occur under the presence of cyclones over the Ross Sea. The location of Joyce Glacier on the leeward side of the Royal Society Range during these synoptic events causes foehn warming through isentropic drawdown. This mechanism differs from the foehn warming through gap flow that was earlier found for other regions in the MDV and highlights the complex interaction of synoptic flow with local topography of the MDV. Shortwave radiation is the primary control on melt at Joyce Glacier, and melt often occurs with subzero air temperatures. During foehn events, melt rates are enhanced, contributing to 23 % of the total annual melt. Foehn winds cause a switch from a diurnal stability regime in the atmospheric surface layer to a continuous energy input from sensible heat flux throughout the day. The sensible heating during foehn, through an increase in turbulent mixing resulting from gustier and warmer wind conditions, is largely compensated for by extra heat losses through sublimation. Melt rates are enhanced through an additional energy surplus from a reduced albedo during foehn.</t>
  </si>
  <si>
    <t>[Hofsteenge, Marte G.; Cullen, Nicolas J.] Univ Otago, Sch Geog, Dunedin, New Zealand; [Hofsteenge, Marte G.; Reijmer, Carleen H.; van den Broeke, Michiel] Univ Utrecht, Inst Marine &amp; Atmospher Res Utrecht, Utrecht, Netherlands; [Katurji, Marwan] Univ Canterbury, Sch Earth &amp; Environm, Christchurch, New Zealand; [Orwin, John F.] Alberta Environm &amp; Pk, Resource Stewardship Div, Calgary, AB, Canada; [Orwin, John F.] Queens Univ, Dept Geog &amp; Planning, Kingston, ON, Canada</t>
  </si>
  <si>
    <t>University of Otago; Utrecht University; University of Canterbury; Queens University - Canada</t>
  </si>
  <si>
    <t>Hofsteenge, MG (corresponding author), Univ Otago, Sch Geog, Dunedin, New Zealand.;Hofsteenge, MG (corresponding author), Univ Utrecht, Inst Marine &amp; Atmospher Res Utrecht, Utrecht, Netherlands.</t>
  </si>
  <si>
    <t>marte.hofsteenge@postgrad.otago.ac.nz</t>
  </si>
  <si>
    <t>Van den Broeke, Michiel R./F-7867-2011</t>
  </si>
  <si>
    <t>Van den Broeke, Michiel R./0000-0003-4662-7565; Reijmer, Carleen/0000-0001-8299-3883; Cullen, Nicolas James/0000-0001-8877-1325; Orwin, John F/0000-0001-5683-4723; Katurji, Marwan/0000-0002-3368-1469; Hofsteenge, Marte/0000-0001-5369-5318</t>
  </si>
  <si>
    <t>Antarctica New Zealand; Royal Society Te Aparangi [K064, ANTA1801]; [RDF-UOC1701]</t>
  </si>
  <si>
    <t>Antarctica New Zealand; Royal Society Te Aparangi(Royal Society of New Zealand);</t>
  </si>
  <si>
    <t>This research has been supported by Antarctica New Zealand (grant nos. K064 and ANTA1801) and the Royal Society Te Aparangi (grant no. RDF-UOC1701).</t>
  </si>
  <si>
    <t>10.5194/tc-16-5041-2022</t>
  </si>
  <si>
    <t>7D1DG</t>
  </si>
  <si>
    <t>WOS:000900239500001</t>
  </si>
  <si>
    <t>Otur, C; Okay, S; Kurt-Kizildogan, A</t>
  </si>
  <si>
    <t>Otur, Cigdem; Okay, Sezer; Kurt-Kizildogan, Aslihan</t>
  </si>
  <si>
    <t>Whole genome analysis of Flavobacterium aziz-sancarii sp. nov., isolated from Ardley Island (Antarctica), revealed a rich resistome and bioremediation potential</t>
  </si>
  <si>
    <t>CHEMOSPHERE</t>
  </si>
  <si>
    <t>Flavobacterium aziz-sancarii; MLSA; Whole genome analysis; Phylogenomics; Potentially toxic element resistance; Resistome</t>
  </si>
  <si>
    <t>RESISTANCE GENES; BACTERIA</t>
  </si>
  <si>
    <t>Despite being one of the most isolated regions in the world, Antarctica is at risk of increased contamination with potentially toxic elements and other toxic chemicals through anthropogenic interventions. In this study, a psychrotolerant bacterium was isolated using the lake water collected from Ardley Island (Antarctica), which can grow at temperatures between 4 and 30 degrees C and pH values between 6.0 and 9.0. The isolate, named AC, had protease, amylase, and lipase activities with no NaCl tolerance and could degrade 1-5% diesel fuel. Multilocus sequence analysis (MLSA) using 16S rRNA, gyrB, tuf, and rpoD genes resulted in 92.91-98.6% sequence similarities between the isolate AC and other Flavobacterium spp. Whole genome analysis indicated that the genome length of Flavobacterium sp. AC is 5.8 Mbp with a GC content of 34.04% and 1274 genes predicted. The strain AC branched independently from other Flavobacterium spp. in the phylogenetic and phylogenomic trees and ranked a new species named Flavobacterium aziz-sancarii. Genome mining identified several cold-inducible genes, including stress-associated genes such as cold-shock proteins, chaperones, carotenoid biosynthetic genes, or oxidative-stress response genes. In addition, virulence, gliding motility, and biofilm-related genes were determined. Its genome contains 35 and 88 open-reading frames related to potentially toxic element and antibiotic resistance, respectively. F. aziz-sancarii showed a remarkable tolerance of Cr and Ni, with minimal inhibitory concentration values of 2.88 and 2.81 mM, respectively. Pb, Cu, and Zn exposure resulted in moderate toxicity (2.14-2.41 mM), while Cd showed the highest inhibitory effect in bacterial growth (0.74 mM). Antibiotic susceptibility testing indicated multidrug-resistant phenotype in correlation to in silico prediction of antibiotic</t>
  </si>
  <si>
    <t>[Otur, Cigdem; Kurt-Kizildogan, Aslihan] Ondokuz Mayis Univ, Fac Agr, Dept Agr Biotechnol, TR-55139 Samsun, Turkey; [Okay, Sezer] Hacettepe Univ, Vaccine Inst, Dept Vaccine Technol, TR-06230 Ankara, Turkey; [Kurt-Kizildogan, Aslihan] Ondokuz Mayis Univ, Dept Agr Biotechnol, TR-55139 Samsun, Turkey</t>
  </si>
  <si>
    <t>Ondokuz Mayis University; Hacettepe University; Ondokuz Mayis University</t>
  </si>
  <si>
    <t>Kurt-Kizildogan, A (corresponding author), Ondokuz Mayis Univ, Dept Agr Biotechnol, TR-55139 Samsun, Turkey.</t>
  </si>
  <si>
    <t>aslihan.kizildogan@omu.edu.tr</t>
  </si>
  <si>
    <t>OKAY, Sezer/AAF-4394-2019; KURT-KIZILDOGAN, ASLIHAN/JCE-2182-2023; KURT-KIZILDOGAN, ASLIHAN/A-1199-2019</t>
  </si>
  <si>
    <t>OKAY, Sezer/0000-0003-0355-6672; KURT-KIZILDOGAN, ASLIHAN/0000-0002-9323-0993; KURT-KIZILDOGAN, ASLIHAN/0000-0002-9323-0993; OTUR, Cigdem/0000-0003-3337-7990</t>
  </si>
  <si>
    <t>Ondokuz Mayis University Research Fund (Samsun, Tuerkiye) [PYO.ZRT.1901.22.003]</t>
  </si>
  <si>
    <t>Ondokuz Mayis University Research Fund (Samsun, Tuerkiye)</t>
  </si>
  <si>
    <t>The authors are grateful to the Turkish Antarctic Expedition (TAEIII) (Permit No. 17-2019, Permit No-29-2019) and the project: Genomic analysis of herbicides (Dalapon and Bromoxynil) fragmenting psychro-philic psychrotolerant microorganism studies (administered by Dr. Yilmaz Kaya). We also thank all researchers who participated in the TAEIII for sample collection and support. This study was financially supported by the Ondokuz Mayis University Research Fund (Samsun, Tuerkiye) with the project ID number of PYO.ZRT.1901.22.003</t>
  </si>
  <si>
    <t>0045-6535</t>
  </si>
  <si>
    <t>1879-1298</t>
  </si>
  <si>
    <t>Chemosphere</t>
  </si>
  <si>
    <t>10.1016/j.chemosphere.2022.137511</t>
  </si>
  <si>
    <t>7I7BR</t>
  </si>
  <si>
    <t>WOS:000904039500002</t>
  </si>
  <si>
    <t>Troshichev, OA</t>
  </si>
  <si>
    <t>Troshichev, O. A.</t>
  </si>
  <si>
    <t>PC index as a ground-based indicator of the solar wind energy incoming into the magnetosphere: (1) relation of PC index to the solar wind electric field EKL</t>
  </si>
  <si>
    <t>FRONTIERS IN ASTRONOMY AND SPACE SCIENCES</t>
  </si>
  <si>
    <t>solar wind - magnetosphere interaction; solar wind electric field EKL; magnetospheric field-aligned currents; magnetic activity in polar caps; PC index; invariability of relationships</t>
  </si>
  <si>
    <t>INTERPLANETARY MAGNETIC-FIELD; POLAR-CAP INDEX; BIRKELAND CURRENT DISTRIBUTIONS; DP 2 FLUCTUATIONS; ALIGNED CURRENTS; HIGH-LATITUDE; CURRENT-SYSTEMS; NORTHWARD IMF; PLASMA RING; REGION</t>
  </si>
  <si>
    <t>The polar cap magnetic activity PC index was approved by IAGA as a proxy for energy that enters into the magnetosphere during solar wind-magnetosphere coupling (IAGA Resolutions, 2013; IAGA Resolution, 2021). The paper summarizes experimental results attesting the validity of this PC index essence. The following issues are examined: the PC index derivation method, making allowance for regular and irregular variations of ionospheric conductivity; relationships between the PC index and solar wind electric field (E ( KL ) ) and factors controlling response of PC index to the E ( KL ) field alterations; relation of PC index to the magnetospheric field-aligned currents (FAC) and to solar wind dynamic pressure pulses (Pdyn). The PC index alterations in course of 23/24 solar activity cycles have been analyzed in relation to various solar wind parameters and the conclusion was made that linear link between the PC index and solar wind electric field E ( KL ) remained valid irrespective of solar activity cycle. New ideas concerning (1) the nature of occasional differences between the PC indices in summer and winter polar caps and (2) two simultaneously acting mechanisms of the solar wind influence on the magnetosphere (Dungey and Tverskoy concepts) are discussed, as a result of the PC index application. It is emphasized that the ground-based PC index ensures a permanent on-line information on geoefficiency of the solar wind impact on the magnetosphere and, correspondingly, on the varying geophysical situation.</t>
  </si>
  <si>
    <t>[Troshichev, O. A.] Arctic &amp; Antarctic Resesarch Inst, St Petersburg, Russia</t>
  </si>
  <si>
    <t>Troshichev, OA (corresponding author), Arctic &amp; Antarctic Resesarch Inst, St Petersburg, Russia.</t>
  </si>
  <si>
    <t>olegtro@aari.ru</t>
  </si>
  <si>
    <t>2296-987X</t>
  </si>
  <si>
    <t>FRONT ASTRON SPACE</t>
  </si>
  <si>
    <t>Front. Astron. Space Sci.</t>
  </si>
  <si>
    <t>DEC 19</t>
  </si>
  <si>
    <t>10.3389/fspas.2022.1069470</t>
  </si>
  <si>
    <t>7M1OP</t>
  </si>
  <si>
    <t>WOS:000906425100001</t>
  </si>
  <si>
    <t>Gosby, C; Erbe, C; Harvey, ES; Landero, MMF; McCauley, RD</t>
  </si>
  <si>
    <t>Gosby, Corinna; Erbe, Christine; Harvey, Euan S.; Landero, Marcela Montserrat Figueroa; McCauley, Robert D.</t>
  </si>
  <si>
    <t>Vocalizing humpback whales (Megaptera novaeangliae) migrating from Antarctic feeding grounds arrive earlier and earlier in the Perth Canyon, Western Australia</t>
  </si>
  <si>
    <t>humpback whale; migration; arrival; acoustics; Australia; Antarctica</t>
  </si>
  <si>
    <t>CLIMATE-CHANGE; LONG; SONG</t>
  </si>
  <si>
    <t>Migratory species undertake seasonal, long-distance travel between feeding and breeding grounds, and time their arrivals with high-quality resources. The Breeding Stock D population of humpback whales (Megaptera novaeangliae) migrates from Antarctic to Western Australian waters every austral winter. Based on 16 years (2002-2017) of passive acoustic recordings in the Perth Canyon, Western Australia, the hourly presence/absence of humpback whale vocalizations was used as an indicator of inter-annual changes in migration timing. A trend of earlier arrivals in the Perth Canyon by 1.4 days/year during the northward migration and possibly earlier departures from the Perth Canyon during the southward migration was observed. A distance-based linear model and a generalized linear model (GLM) both identified sea surface temperature (SST) as the most significant predictor for acoustic presence in the Perth Canyon. A 1 degrees C increase in SST corresponded to a decrease in humpback whale acoustic presence by 4.4 hours/day. Mean SST at the peak of the humpback whale season in the Perth Canyon was 19 degrees C. Exploratory analysis of the metocean environment of the Antarctic feeding grounds suggested that whales were leaving the Antarctic at the end of the austral summer, as sea ice concentration (SIC) increased and SST decreased. Further research should investigate whether changes in the metocean conditions on Australian breeding grounds correspond to changing departures from the Perth Canyon during the southward migration. If environmental conditions on breeding and feeding grounds change out-of-sync, migrating whales might be unable to arrive at either ground during optimal conditions.</t>
  </si>
  <si>
    <t>[Gosby, Corinna; Erbe, Christine; Landero, Marcela Montserrat Figueroa; McCauley, Robert D.] Curtin Univ, Ctr Marine Sci &amp; Technol, Perth, WA, Australia; [Harvey, Euan S.] Curtin Univ, Sch Mol &amp; Life Sci, Perth, WA, Australia</t>
  </si>
  <si>
    <t>Curtin University; Curtin University</t>
  </si>
  <si>
    <t>Gosby, C (corresponding author), Curtin Univ, Ctr Marine Sci &amp; Technol, Perth, WA, Australia.</t>
  </si>
  <si>
    <t>gosby.corinna@gmail.com</t>
  </si>
  <si>
    <t>Erbe, Christine/AAA-3801-2021</t>
  </si>
  <si>
    <t>Erbe, Christine/0000-0002-7884-9907</t>
  </si>
  <si>
    <t>10.3389/fmars.2022.1086763</t>
  </si>
  <si>
    <t>7L5XZ</t>
  </si>
  <si>
    <t>WOS:000906039600001</t>
  </si>
  <si>
    <t>Steins, NA; Mackinson, S; Mangi, SC; Pastoors, MA; Stephenson, RL; Ballesteros, M; Brooks, K; McIsaac, JA; Baker, MR; Calderwood, J; Neis, B; Ogier, EM; Reid, DG</t>
  </si>
  <si>
    <t>Steins, Nathalie A.; Mackinson, Steven; Mangi, Stephen C.; Pastoors, Martin A.; Stephenson, Robert L.; Ballesteros, Marta; Brooks, Kate; McIsaac, James A.; Baker, Matthew R.; Calderwood, Julia; Neis, Barbara; Ogier, Emily M.; Reid, Dave G.</t>
  </si>
  <si>
    <t>A will-o'-the wisp? On the utility of voluntary contributions of data and knowledge from the fishing industry to marine science</t>
  </si>
  <si>
    <t>collaborative research; fishers' knowledge research; experiential knowledge; stakeholder engagement; fisheries science; trust; co-production of knowledge; science-industry research collaboration</t>
  </si>
  <si>
    <t>SOCIAL-ECOLOGICAL SYSTEMS; CATCH QUOTA MANAGEMENT; FISHERIES MANAGEMENT; ENVIRONMENTAL-CHANGE; ECOSYSTEM APPROACH; NORTHERN COD; LESSONS; STOCK; UNCERTAINTY; VARIABILITY</t>
  </si>
  <si>
    <t>For future sustainable management of fisheries, we anticipate deeper and more diverse information will be needed. Future needs include not only biological data, but also information that can only come from fishers, such as real-time 'early warning' indicators of changes at sea, socio-economic data and fishing strategies. The fishing industry, in our experience, shows clear willingness to voluntarily contribute data and experiential knowledge, but there is little evidence that current institutional frameworks for science and management are receptive and equipped to accommodate such contributions. Current approaches to producing knowledge in support of fisheries management need critical re-evaluation, including the contributions that industry can make. Using examples from well-developed advisory systems in Europe, United States, Canada, Australia and New Zealand, we investigate evidence for three interrelated issues inhibiting systematic integration of voluntary industry contributions to science: (1) concerns about data quality; (2) beliefs about limitations in useability of unique fishers' knowledge; and (3) perceptions about the impact of industry contributions on the integrity of science. We show that whilst these issues are real, they can be addressed. Entrenching effective science-industry research collaboration (SIRC) calls for action in three specific areas; (i) a move towards alternative modes of knowledge production; (ii) establishing appropriate quality assurance frameworks; and (iii) transitioning to facilitating governance structures. Attention must also be paid to the science-policy-stakeholder interface. Better definition of industry's role in contributing to science will improve credibility and legitimacy of the scientific process, and of resulting management.</t>
  </si>
  <si>
    <t>[Steins, Nathalie A.] Wageningen Univ &amp; Res, Wageningen Marine Res, Ijmuiden, Netherlands; [Mackinson, Steven] Scottish Pelag Fishermens Assoc, Fraserburgh, Scotland; [Mangi, Stephen C.] MRAG Ltd, London, England; [Pastoors, Martin A.] Pelag Freezer trawler Assoc, Zoetermeer, Netherlands; [Stephenson, Robert L.] Dept Fisheries &amp; Oceans Canada, St Andrews Biol Stn, St Andrews, NB, Canada; [Stephenson, Robert L.] Univ New Brunswick, Dept Biol Sci, St John, NB, Canada; [Ballesteros, Marta] Fdn CETMAR, Ctr Tecnol Mar, Fisheries Socioecon Dept, Vigo, Spain; [Brooks, Kate] KAL Anal, Elsternwick, Vic, Australia; [McIsaac, James A.] T Buck Suzuki Environm Fdn, Victoria, BC, Canada; [Baker, Matthew R.] North Pacific Res Board, Anchorage, AK USA; [Calderwood, Julia; Reid, Dave G.] Marine Inst, Galway, Ireland; [Neis, Barbara] Mem Univ Newfoundland, Dept Sociol, St John, NB, Canada; [Ogier, Emily M.] Univ Tasmania, Inst Marine &amp; Antarctic Studies, Hobart, Tas, Australia</t>
  </si>
  <si>
    <t>Wageningen University &amp; Research; Fisheries &amp; Oceans Canada; University of New Brunswick; Marine Institute Ireland; Memorial University Newfoundland; University of Tasmania</t>
  </si>
  <si>
    <t>Steins, NA (corresponding author), Wageningen Univ &amp; Res, Wageningen Marine Res, Ijmuiden, Netherlands.</t>
  </si>
  <si>
    <t>nathalie.steins@wur.nl</t>
  </si>
  <si>
    <t>Brophy, Deirdre/JQW-0281-2023; Calderwood, Julia/M-9635-2015</t>
  </si>
  <si>
    <t>Calderwood, Julia/0000-0003-4515-1366; Ogier, Emily/0000-0001-6157-5279; Pastoors, Martin/0000-0003-0699-220X; Baker, Matthew/0000-0002-2501-181X; Brooks, Kathryn Janet/0000-0002-1641-5572; Reid, Dave/0000-0002-8494-0918; Steins, Nathalie A./0000-0002-6362-342X; Ballesteros, Marta/0000-0002-5415-8722</t>
  </si>
  <si>
    <t>European Maritime and Fisheries Fund (Dutch Operational Program, Partnerships Science and Fisheries); Knowledge Base Statutory Research Tasks Program of the Dutch Ministry of Agriculture, Nature and Food Quality; Science Foundation Ireland; Ocean Frontier Institute Canada Research Excellence Fund [18/SIRG/5554]</t>
  </si>
  <si>
    <t>European Maritime and Fisheries Fund (Dutch Operational Program, Partnerships Science and Fisheries); Knowledge Base Statutory Research Tasks Program of the Dutch Ministry of Agriculture, Nature and Food Quality; Science Foundation Ireland(Science Foundation Ireland); Ocean Frontier Institute Canada Research Excellence Fund</t>
  </si>
  <si>
    <t>Funding NAS received funding from the European Maritime and Fisheries Fund (Dutch Operational Program, Partnerships Science and Fisheries) and the Knowledge Base Statutory Research Tasks Program of the Dutch Ministry of Agriculture, Nature and Food Quality; JC from the Science Foundation Ireland through a Starting Investigator Research Grant No 18/SIRG/5554; and BN from the Ocean Frontier Institute funded through the Canada Research Excellence Fund.</t>
  </si>
  <si>
    <t>10.3389/fmars.2022.954959</t>
  </si>
  <si>
    <t>7L4RK</t>
  </si>
  <si>
    <t>WOS:000905954800001</t>
  </si>
  <si>
    <t>Chaput, J; Aster, R; Karplus, M; Nakata, N; Gerstoft, P; Bromirski, PD; Nyblade, A; Stephen, RA; Wiens, DA</t>
  </si>
  <si>
    <t>Chaput, Julien; Aster, Rick; Karplus, Marianne; Nakata, Nori; Gerstoft, P.; Bromirski, P. D.; Nyblade, A.; Stephen, R. A.; Wiens, D. A.</t>
  </si>
  <si>
    <t>Near-surface seismic anisotropy in Antarctic glacial snow and ice revealed by high-frequency ambient noise</t>
  </si>
  <si>
    <t>JOURNAL OF GLACIOLOGY</t>
  </si>
  <si>
    <t>Ice; atmosphere interactions; seismology; snow</t>
  </si>
  <si>
    <t>SHELF RIFT PROPAGATION; PINE ISLAND GLACIER; POLARIZATION ANALYSIS; AZIMUTHAL ANISOTROPY; ACOUSTIC ANISOTROPY; FIRN-DENSIFICATION; MASS-LOSS; ROSS; MODEL; OCEAN</t>
  </si>
  <si>
    <t>Ambient seismic recordings taken at broad locations across Ross Ice Shelf and a dense array near West Antarctic Ice Sheet (WAIS) Divide, Antarctica, show pervasive temporally variable resonance peaks associated with trapped seismic waves in near-surface firn layers. These resonance peaks feature splitting on the horizontal components, here interpreted as frequency-dependent anisotropy in the firn and underlying ice due to several overlapping mechanisms driven by ice flow. Frequency peak splitting magnitudes and fast/slow axes were systematically estimated at single stations using a novel algorithm and compared with good agreement with active source anisotropy measurements at WAIS Divide determined via active sources recorded on a 1 km circular array. The approach was further applied to the broad Ross Ice Shelf (RIS) array, where anisotropy axes were directly compared with visible surface features and ice shelf flow lines. The near-surface firn, depicted by anisotropy above 30 Hz, was shown to exhibit a novel plastic stretching mechanism of anisotropy, whereby the fast direction in snow aligns with accelerating ice shelf flow.</t>
  </si>
  <si>
    <t>[Chaput, Julien; Karplus, Marianne] Univ Texas Paso El Paso, Dept Earth Environm &amp; Resource Sci, El Paso, TX 79968 USA; [Aster, Rick] Colorado State Univ, Warner Coll Nat Resources, Dept Geosci, Ft Collins, CO USA; [Nakata, Nori] MIT, Dept Earth Atmospher &amp; Planetary Sci, Boston, MA USA; [Gerstoft, P.; Bromirski, P. D.] Univ Calif, Scripps Inst Oceanog, La Jolla, CA USA; [Nyblade, A.] Penn State Univ, Dept Geosci, State Coll, PA USA; [Stephen, R. A.] Woods Hole Oceanog Inst, Woods Hole, MA USA; [Wiens, D. A.] Washington Univ St Louis, Dept Earth &amp; Planetary Sci, St Louis, MO USA</t>
  </si>
  <si>
    <t>Colorado State University; Massachusetts Institute of Technology (MIT); University of California System; University of California San Diego; Scripps Institution of Oceanography; Pennsylvania Commonwealth System of Higher Education (PCSHE); Pennsylvania State University; Woods Hole Oceanographic Institution; Washington University (WUSTL)</t>
  </si>
  <si>
    <t>Chaput, J (corresponding author), Univ Texas Paso El Paso, Dept Earth Environm &amp; Resource Sci, El Paso, TX 79968 USA.</t>
  </si>
  <si>
    <t>jachaput@utep.edu</t>
  </si>
  <si>
    <t>Wiens, Douglas A/J-9259-2016; Nakata, Nori/AAO-9309-2020; Gerstoft, Peter/B-2842-2009</t>
  </si>
  <si>
    <t>Nakata, Nori/0000-0002-9295-9416; Gerstoft, Peter/0000-0002-0471-062X</t>
  </si>
  <si>
    <t>NSF [OPP-1744856, PLR-1246151, 1141916, 1142126, 1142518]; Chaput's startup University of Texas at El Paso funds; National Science Foundation [EAR-1261681]; DOE National Nuclear Security Administration; Office of Polar Programs (OPP); Directorate For Geosciences [1142518, 1142126, 1141916] Funding Source: National Science Foundation</t>
  </si>
  <si>
    <t>NSF(National Science Foundation (NSF)); Chaput's startup University of Texas at El Paso funds; National Science Foundation(National Science Foundation (NSF)); DOE National Nuclear Security Administration(National Nuclear Security AdministrationUnited States Department of Energy (DOE)); Office of Polar Programs (OPP); Directorate For Geosciences(National Science Foundation (NSF)NSF - Directorate for Geosciences (GEO))</t>
  </si>
  <si>
    <t>This project was supported under NSF Grants OPP-1744856, PLR-1246151, 1141916, 1142126 and 1142518, and Chaput's startup University of Texas at El Paso funds. We thank Reinhard Flick and Patrick Shore for their support during field work, Tom Bolmer in locating stations and preparing maps and the US Antarctic Program for logistical support. The seismic instruments were provided by the Incorporated Research Institutions for Seismology (IRIS) through the PASSCAL Instrument Center at New Mexico Tech. Data collected are available through the IRIS Data Management Center. The facilities of the IRIS Consortium are supported by the National Science Foundation under Cooperative Agreement EAR-1261681 and the DOE National Nuclear Security Administration.</t>
  </si>
  <si>
    <t>EDINBURGH BLDG, SHAFTESBURY RD, CB2 8RU CAMBRIDGE, ENGLAND</t>
  </si>
  <si>
    <t>0022-1430</t>
  </si>
  <si>
    <t>1727-5652</t>
  </si>
  <si>
    <t>J GLACIOL</t>
  </si>
  <si>
    <t>J. Glaciol.</t>
  </si>
  <si>
    <t>AUG</t>
  </si>
  <si>
    <t>PII S0022143022000983</t>
  </si>
  <si>
    <t>10.1017/jog.2022.98</t>
  </si>
  <si>
    <t>N6ME2</t>
  </si>
  <si>
    <t>WOS:000899923800001</t>
  </si>
  <si>
    <t>Mitra, G; Guharay, A; Batista, PP; Buriti, RA; Moffat-Griffin, T</t>
  </si>
  <si>
    <t>Mitra, G.; Guharay, A.; Batista, P. P.; Buriti, R. A.; Moffat-Griffin, T.</t>
  </si>
  <si>
    <t>Investigation on the MLT tidal variability during September 2019 minor sudden stratospheric warming</t>
  </si>
  <si>
    <t>ADVANCES IN SPACE RESEARCH</t>
  </si>
  <si>
    <t>MLT dynamics; Sudden stratospheric warming; Atmospheric tides</t>
  </si>
  <si>
    <t>THERMAL EXCITATION; SEMIDIURNAL TIDES; PLANETARY WAVE</t>
  </si>
  <si>
    <t>Tidal variability in the mesosphere and lower thermosphere (MLT) during September 2019 Southern hemisphere minor sudden stratospheric warming (SSW) is investigated utilizing ground-based meteor radar wind observations from the equatorial, extratropical, middle, and high latitude stations and global reanalysis dataset. The polar warming is found to move from the mesosphere to the strato-sphere until the peak warming day (PWD) of the SSW. The diurnal and semidiurnal tides at individual observational sites do not exhibit any consistent response during the observational interval, but a notable and consistent variability in some specific zonal wavenumber components, i. e., DW1 (migrating diurnal tide), DE3 (nonmigrating eastward wavenumber 3 diurnal tide), and SW2 (migrating semid-iurnal tide) is found in the global reanalysis dataset. Incidentally, the warming event occurs during Spring equinox when a dominant seasonal change in the tidal activities generally takes place and hence seasonal variability is also looked into while identifying the SSW impact during the observational interval. It is found that the seasonal broad changes in the DW1, DE3, and SW2 amplitudes can be explained by the variability in the tidal sources, i.e., water vapor, convective activity, ozone, etc during the observational period. However, the extracted short-term variability in the global tidal modes on removing seasonal trend reveals noticeable response in con-nection with the warming event. The deseasoned amplitude of the DW1 significantly enhances around the PWD at most of the present latitudes. The deseasoned DE3 amplitude responds significantly in the middle atmosphere at low latitudes during the warming phase. The deseasoned SW2 exhibit clear enhancement around the PWD at all the latitudes. However, the deseasoned tidal features do not seem to correlate well with that of the source species unlike the seasonal ones that imply involvement of complex processes during the warming event, seeking further future investigations in this regard. (c) 2022 COSPAR. Published by Elsevier B.V. All rights reserved.</t>
  </si>
  <si>
    <t>[Mitra, G.; Guharay, A.] Space &amp; Atmospher Sci Div, Phys Res Lab, Ahmadabad, GJ, India; [Mitra, G.] Indian Inst Technol, Dept Phys, Gandhinagar, GJ, India; [Batista, P. P.] Natl Inst Space Res, INPE, Heliophys Planetary Sci &amp; Aeron Div, Sao Jose Dos Campos, SP, Brazil; [Buriti, R. A.] Univ Fed Campina Grande, Dept Phys, Campina Grande, PB, Brazil; [Moffat-Griffin, T.] British Antarctic Survey, High Cross,Madingley Rd, Cambridge CB3 0ET, England</t>
  </si>
  <si>
    <t>Department of Space (DoS), Government of India; Physical Research Laboratory - India; Indian Institute of Technology System (IIT System); Indian Institute of Technology (IIT) - Gandhinagar; Instituto Nacional de Pesquisas Espaciais (INPE); Universidade Federal de Campina Grande; UK Research &amp; Innovation (UKRI); Natural Environment Research Council (NERC); NERC British Antarctic Survey</t>
  </si>
  <si>
    <t>Mitra, G; Guharay, A (corresponding author), Space &amp; Atmospher Sci Div, Phys Res Lab, Ahmadabad, GJ, India.</t>
  </si>
  <si>
    <t>gourav@prl.res.in; guharay@prl.res.in; paulo.batista@inpe.br; tmof@bas.ac.uk</t>
  </si>
  <si>
    <t>BATISTA, PAULO PRADO/C-2616-2009</t>
  </si>
  <si>
    <t>BATISTA, PAULO PRADO/0000-0002-5448-5803; Mitra, Gourav/0000-0001-8389-1475</t>
  </si>
  <si>
    <t>Department of Space (Government of India); National Institute for Space Research; Federal University of Campina Grande; National Council for Scientific and Technological Development (Government of Brazil); Sao Paulo Research Foundation (Sao Paulo, Brazil); Natural Environment Research Council (NERC), UK; NERC [NE/R001391/1, NE/R001235/1]</t>
  </si>
  <si>
    <t>Department of Space (Government of India)(Department of Space (DoS), Government of India); National Institute for Space Research; Federal University of Campina Grande; National Council for Scientific and Technological Development (Government of Brazil); Sao Paulo Research Foundation (Sao Paulo, Brazil)(Fundacao de Amparo a Pesquisa do Estado de Sao Paulo (FAPESP)); Natural Environment Research Council (NERC), UK(UK Research &amp; Innovation (UKRI)Natural Environment Research Council (NERC)); NERC(UK Research &amp; Innovation (UKRI)Natural Environment Research Council (NERC))</t>
  </si>
  <si>
    <t>The present work is supported by the Department of Space (Government of India), National Institute for Space Research, Federal University of Campina Grande, National Council for Scientific and Technological Development (Government of Brazil), Sao Paulo Research Foundation (Sao Paulo, Brazil) and Natural Environment Research Council (NERC), UK. The radars at KE and RO were supported by NERC grant numbers NE/R001391/1 and NE/R001235/1. The authors would like to thank the reviewers for useful comments.</t>
  </si>
  <si>
    <t>0273-1177</t>
  </si>
  <si>
    <t>1879-1948</t>
  </si>
  <si>
    <t>ADV SPACE RES</t>
  </si>
  <si>
    <t>Adv. Space Res.</t>
  </si>
  <si>
    <t>10.1016/j.asr.2022.08.017</t>
  </si>
  <si>
    <t>Engineering, Aerospace; Astronomy &amp; Astrophysics; Geosciences, Multidisciplinary; Meteorology &amp; Atmospheric Sciences</t>
  </si>
  <si>
    <t>Engineering; Astronomy &amp; Astrophysics; Geology; Meteorology &amp; Atmospheric Sciences</t>
  </si>
  <si>
    <t>7M5EG</t>
  </si>
  <si>
    <t>WOS:000906679800001</t>
  </si>
  <si>
    <t>Agyei-Yeboah, E; Fagundes, PR; Tardelli, A; Pillat, VG; Vieira, F; Arcanjo, MD</t>
  </si>
  <si>
    <t>Agyei-Yeboah, Ebenezer; Fagundes, Paulo Roberto; Tardelli, Alexandre; Pillat, Valdir Gil; Vieira, Francisco; Arcanjo, Mateus de Oliveira</t>
  </si>
  <si>
    <t>Occurrence of Ionospheric irregularities over Brazil and Africa during the 2019 Antarctic minor sudden stratospheric warming</t>
  </si>
  <si>
    <t>Sudden stratospheric warming; Ionospheric irregularities; Antarctic; ROT; Spread-F</t>
  </si>
  <si>
    <t>EQUATORIAL PLASMA BUBBLES; ELECTRON-DENSITY; PLANETARY-WAVES; VARIABILITY; REGION; AMERICAN; TIDE; OSCILLATION; RELEVANT; SECTOR</t>
  </si>
  <si>
    <t>The influence of sudden stratospheric warming (SSW) on the ionosphere and ionospheric irregularities has been studied extensively over the years. However, majority of these investigations have been conducted using warming events originating from the northern hemi-sphere. Only a few studies have been done on ionospheric variations due to the Antarctic SSW events and to the best of our knowledge, there have not been any studies on southern hemisphere SSW and the occurrence of ionospheric irregularities. In this study, the occur-rence of ionospheric irregularities during the 2019 minor Southern hemisphere (SH)/Antarctic SSW is investigated. The event occurs in a relatively calm solar and geomagnetic activity period which makes it possible to identify the effects of SSW on the occurrence of irreg-ularities. Three ionosondes located in different latitudinal regions in Brazil as well as a network of ground-based GPS receiver stations located in both Brazil and Africa were used for this undertaking. Complimentary data from the same ionosonde stations using the same months from 2017 and 2018 were also used. On average more Spread-F was observed in 2019 than in 2017 or 2018 at all stations. ROT observations showed more occurrence in the Brazil sectors followed by West Africa and thenEast Africa. It was observed that the occur-rence frequency decreased between 8% and 46 % from the pre-SSW phase to ascending/peak phases and from 2018 to 2019 for the peak phase.(c) 2022 COSPAR. Published by Elsevier B.V. All rights reserved.</t>
  </si>
  <si>
    <t>[Agyei-Yeboah, Ebenezer; Fagundes, Paulo Roberto; Tardelli, Alexandre; Pillat, Valdir Gil; Vieira, Francisco; Arcanjo, Mateus de Oliveira] Univ Vale Paraiba UNIVAP, Lab Fis &amp; Astron, Ave Shishima Hifumi,2911,Urbanova, BR-12244000 Sao Jose Dos Campos, SP, Brazil; [Vieira, Francisco] Inst Fed Tocantins, Observ Fis Espacial, Rua Castelo Branco Povoado Santa Tereza Km 05, Araguatins, Brazil</t>
  </si>
  <si>
    <t>Universidade do Vale do Paraiba; Instituto Federal do Tocantins (IFTO)</t>
  </si>
  <si>
    <t>Agyei-Yeboah, E (corresponding author), Univ Vale Paraiba UNIVAP, Lab Fis &amp; Astron, Ave Shishima Hifumi,2911,Urbanova, BR-12244000 Sao Jose Dos Campos, SP, Brazil.</t>
  </si>
  <si>
    <t>ebenezer.agyeiyeboah@google.com; fagundes@univap.br; tardelli@univap.br; valdirgp@univap.br</t>
  </si>
  <si>
    <t>Fagundes, Paulo Roberto/G-8758-2011; Tardelli, Alexandre/G-2894-2013</t>
  </si>
  <si>
    <t>Fagundes, Paulo Roberto/0000-0003-3764-2202; Tardelli, Alexandre/0000-0003-4916-6012; Pillat, Valdir Gil/0000-0002-5849-0597</t>
  </si>
  <si>
    <t>Fundacao de Amparo a Pesquisa do Estado de Sao Paulo (FAPESP) [2019/09361-2]; Coordenacao de Aperfeicoamento de Pessoal de Nivel Superior -Brasil (CAPES); Conselho Nacional de Desenvolvimento Cientifico e Tecnologico (CNPq) [302406/2017-4]</t>
  </si>
  <si>
    <t>Fundacao de Amparo a Pesquisa do Estado de Sao Paulo (FAPESP)(Fundacao de Amparo a Pesquisa do Estado de Sao Paulo (FAPESP)); Coordenacao de Aperfeicoamento de Pessoal de Nivel Superior -Brasil (CAPES)(Coordenacao de Aperfeicoamento de Pessoal de Nivel Superior (CAPES)); Conselho Nacional de Desenvolvimento Cientifico e Tecnologico (CNPq)(Conselho Nacional de Desenvolvimento Cientifico e Tecnologico (CNPQ))</t>
  </si>
  <si>
    <t>The authors wish to express their sincere gratitude to the Fundacao de Amparo a Pesquisa do Estado de Sao Paulo (FAPESP), for providing financial support through the process No 2019/09361-2. This study was financed in part by the Coordenacao de Aperfeicoamento de Pessoal de Nivel Superior -Brasil (CAPES). The Conselho Nacional de Desenvolvimento Cientifico e Tecnologico (CNPq) through grant 302406/2017-4 for the partial financial support.</t>
  </si>
  <si>
    <t>10.1016/j.asr.2022.08.065</t>
  </si>
  <si>
    <t>7M8DR</t>
  </si>
  <si>
    <t>WOS:000906882500001</t>
  </si>
  <si>
    <t>Kakad, A; Upadhyay, A; Kakad, B; Rawat, R</t>
  </si>
  <si>
    <t>Kakad, Amar; Upadhyay, Aditi; Kakad, Bharati; Rawat, Rahul</t>
  </si>
  <si>
    <t>Long-lasting Electromagnetic Ion Cyclotron wave signatures at Indian Antarctic Station, Maitri</t>
  </si>
  <si>
    <t>EMIC wave occurrence; Inner magnetosphere; Pc1-Pc2 pulsations; Long-duration events; Radiation belts</t>
  </si>
  <si>
    <t>VAN ALLEN PROBES; EMIC WAVES; ELECTRON LOSS; O+; H+; PLASMAPAUSE; REGION; HE+</t>
  </si>
  <si>
    <t>The long-lasting, persistence electromagnetic ion cyclotron (EMIC) waves can have a profound effect on the dynamics of the relativis-tic electrons in the Earth's radiation belt. EMIC waves observed on the ground are the manifestation of their generation in the Earth's inner magnetosphere. With the spacecraft measurements, it is difficult to determine their spatio-temporal extent and sustainability. In this context, in addition to the spacecraft observations the ground observations can give better insights into these features. We have identified the long-duration EMIC wave events observed at the subauroal station Maitri during 2011-2017. We have found a total of 12 EMIC wave events that are steadily observed for &gt;10 h. The start times of these events are identified between 1.4-9.3 LT hours, and they lasted for 10-18 h. All these events are dominantly seen during the recovery phase of the weak-moderate geomagnetic storm. Comparison with spacecraft observations indicate the simultaneous EMIC waves in the magnetosphere within L-shell 4-6 with wider longitudinal cover-age, and sufficiently long time presence in the magnetosphere. Simultaneous differential electron flux observations from Van Allen Probes indicate that approximately 90% of these EMIC waves were accompanied by a decrease in relativistic (2.6-4.2 MeV) electrons in the outer radiation belts. (c) 2022 COSPAR. Published by Elsevier B.V. All rights reserved.</t>
  </si>
  <si>
    <t>[Kakad, Amar; Upadhyay, Aditi; Kakad, Bharati; Rawat, Rahul] Indian Inst Geomagnetism, Navi Mumbai 410218, India</t>
  </si>
  <si>
    <t>Department of Science &amp; Technology (India); Indian Institute of Geomagnetism (IIG)</t>
  </si>
  <si>
    <t>Kakad, A (corresponding author), Indian Inst Geomagnetism, Navi Mumbai 410218, India.</t>
  </si>
  <si>
    <t>amar.kakad@iigm.res.in</t>
  </si>
  <si>
    <t>Kakad, Amar/K-3061-2017</t>
  </si>
  <si>
    <t>10.1016/j.asr.2022.08.021</t>
  </si>
  <si>
    <t>7L9JJ</t>
  </si>
  <si>
    <t>WOS:000906274300001</t>
  </si>
  <si>
    <t>Badgeley, JA; Steig, EJ; Dütsch, M</t>
  </si>
  <si>
    <t>Badgeley, J. A.; Steig, E. J.; Dutsch, M.</t>
  </si>
  <si>
    <t>Uncertainty in Reconstructing Paleo-Elevation of the Antarctic Ice Sheet From Temperature-Sensitive Ice Core Records</t>
  </si>
  <si>
    <t>GLACIAL MAXIMUM EXPERIMENTS; SURFACE-TEMPERATURE; EXPERIMENTAL-DESIGN</t>
  </si>
  <si>
    <t>Paleotemperature reconstructions from ice cores are mixed signals of changes in climate and ice-surface elevation. A common, temperature-based paleoaltimetry method suggests these signals can be disentangled by comparing two proxy locations with similar climates. The difference between the records is assumed to be due to elevation, which is estimated by scaling the temperature difference by a lapse rate. We investigate the uncertainty associated with this approach using a case study of the Antarctic Ice Sheet during the Last Glacial Maximum. From an ensemble of climate simulations, we extract modeled temperatures at locations of real ice cores. We find uncertainty on the order of hundreds of meters that results from spatial heterogeneity in non-adiabatic temperature change, which itself stems in part from elevation-induced atmospheric circulation change. Our findings suggest that caution is needed when interpreting temperature-based paleoaltimetry results for ice sheets.</t>
  </si>
  <si>
    <t>[Badgeley, J. A.; Steig, E. J.] Univ Washington, Earth &amp; Space Sci, Seattle, WA 98195 USA; [Dutsch, M.] Univ Vienna, Vienna, Austria</t>
  </si>
  <si>
    <t>University of Washington; University of Washington Seattle; University of Vienna</t>
  </si>
  <si>
    <t>Badgeley, JA (corresponding author), Univ Washington, Earth &amp; Space Sci, Seattle, WA 98195 USA.</t>
  </si>
  <si>
    <t>badgeley@uw.edu</t>
  </si>
  <si>
    <t>Steig, Eric J/G-9088-2015</t>
  </si>
  <si>
    <t>Dutsch, Marina/0000-0002-1128-4198</t>
  </si>
  <si>
    <t>National Science Foundation (NSF) Division of Graduate Education [1256082]; NSF [NSFGEO-NERC 1602435]</t>
  </si>
  <si>
    <t>National Science Foundation (NSF) Division of Graduate Education(National Science Foundation (NSF)NSF - Directorate for STEM Education (EDU)); NSF(National Science Foundation (NSF))</t>
  </si>
  <si>
    <t>This research has been supported by the National Science Foundation (NSF) Division of Graduate Education (Grant 1256082) and NSF award NSFGEO-NERC 1602435. We acknowledge high-performance computing support from Cheyenne (https://doi. org/10.5065/D6RX99HX) provided by NCAR's Computational and Information Systems Laboratory, sponsored by the NSF. Any opinion, findings, and conclusions or recommendations expressed in this material are those of the authors(s) and do not necessarily reflect the views of the NSF. We also acknowledge the World Climate Research Programme's Working Group on Coupled Modeling, which is responsible for CMIP, and we thank the climate modeling groups (listed in Table S2 in Supporting Information S1)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thank Greg Hakim and Peter Blossey for their helpful discussions on the theoretical background for this work. We also thank Chris Forest and an anonymous reviewer for their thoughtful comments, which led to an improved manuscript.</t>
  </si>
  <si>
    <t>DEC 16</t>
  </si>
  <si>
    <t>e2022GL100334</t>
  </si>
  <si>
    <t>10.1029/2022GL100334</t>
  </si>
  <si>
    <t>8R7DT</t>
  </si>
  <si>
    <t>WOS:000928052000027</t>
  </si>
  <si>
    <t>Screen, JA; Eade, R; Smith, DM; Thomson, S; Yu, H</t>
  </si>
  <si>
    <t>Screen, James A. A.; Eade, Rosemary; Smith, Doug M. M.; Thomson, Stephen; Yu, Hao</t>
  </si>
  <si>
    <t>Net Equatorward Shift of the Jet Streams When the Contribution From Sea-Ice Loss Is Constrained by Observed Eddy Feedback</t>
  </si>
  <si>
    <t>ATMOSPHERIC CIRCULATION RESPONSE; ARCTIC AMPLIFICATION; ATLANTIC; OCEAN</t>
  </si>
  <si>
    <t>We examine the midlatitude jet stream responses to projected Antarctic and Arctic sea-ice loss and global ocean warming in coordinated multi-model experiments from the Polar Amplification Model Intercomparison Project. Antarctic and Arctic sea-ice loss cause an equatorward shift of the winter jet stream in the southern and northern hemisphere, respectively, on average across the models. Models with stronger eddy feedback simulate farther equatorward jet shifts in response to both Antarctic and Arctic sea-ice loss. The models simulate too weak eddy feedback compared to the real world, particularly in the northern hemisphere, resulting in an underestimation of the boreal jet response to Arctic sea-ice loss. More precise estimates of the jet shifts are obtained by using the observed eddy feedback as a constraint and suggest that the equatorward jet shifts in response to Antarctic and Arctic sea-ice loss exceed in magnitude the simulated poleward shifts due to ocean warming. Plain Language Summary Winter weather in the midlatitudes of the northern and southern hemispheres is influenced by the position of the jet streams. In a warming climate, the jet streams may move from the current average location. Past work has suggested that sea-ice loss and ocean warming affect the jet stream location in opposite directions, leading to a tug-of-war on the jet. It is unclear which factor wins this tug-of-war and so, in what direction the jet stream may shift in the future. We use new climate model experiments to better measure the separate effects of sea-ice loss and ocean warming on the jet streams. Antarctic and Arctic sea-ice loss cause an equatorward shift of the winter jet stream in the southern and northern hemisphere, respectively. Models tend to underestimate these jet shifts in response to sea-ice loss compared to the real world. Ocean warming causes a poleward jet shift that approximately cancels out the equatorward shift due to sea-ice loss, in both hemispheres. However, when we account for the model underestimation of the jet shifts in response to sea-ice loss, we find that sea-ice loss wins the tug-of-war, which suggests the jets move equatorward in a warmer climate.</t>
  </si>
  <si>
    <t>[Screen, James A. A.; Eade, Rosemary; Thomson, Stephen; Yu, Hao] Univ Exeter, Dept Math &amp; Stat, Exeter, England; [Eade, Rosemary; Smith, Doug M. M.] Met Off Hadley Ctr, Exeter, England</t>
  </si>
  <si>
    <t>University of Exeter; Met Office - UK; Hadley Centre</t>
  </si>
  <si>
    <t>Screen, JA (corresponding author), Univ Exeter, Dept Math &amp; Stat, Exeter, England.</t>
  </si>
  <si>
    <t>j.screen@exeter.ac.uk</t>
  </si>
  <si>
    <t>Screen, James A/D-7588-2013; Smith, Doug/ABD-5204-2021; Thomson, Stephen/A-8465-2015</t>
  </si>
  <si>
    <t>Screen, James/0000-0003-1728-783X; Smith, Doug/0000-0001-5708-694X; Thomson, Stephen/0000-0002-4775-3259; Yu, Hao/0000-0001-7044-1619</t>
  </si>
  <si>
    <t>Natural Environment Research Council [NE/V005855/1]; Met Office Hadley Centre Climate Programme - BEIS; Defra; China Scholarship Council; NERC [NE/V005855/1] Funding Source: UKRI</t>
  </si>
  <si>
    <t>Natural Environment Research Council(UK Research &amp; Innovation (UKRI)Natural Environment Research Council (NERC)); Met Office Hadley Centre Climate Programme - BEIS; Defra(Department for Environment, Food &amp; Rural Affairs (DEFRA)); China Scholarship Council(China Scholarship Council); NERC(UK Research &amp; Innovation (UKRI)Natural Environment Research Council (NERC))</t>
  </si>
  <si>
    <t>We thank the modeling groups that contributed to the PAMIP and CMIP6. Aspects of this work were inspired by the CMIP6 data hackathon (Mitchell et al., 2022); we thank the organizers, and the participants of project 5 for their input. J.A.S and S.T. were funded by Natural Environment Research Council Grant NE/V005855/1. D.M.S. and R.E were supported by the Met Office Hadley Centre Climate Programme funded by BEIS and Defra. H.Y. was supported by the China Scholarship Council.</t>
  </si>
  <si>
    <t>e2022GL100523</t>
  </si>
  <si>
    <t>10.1029/2022GL100523</t>
  </si>
  <si>
    <t>WOS:000928052000071</t>
  </si>
  <si>
    <t>Rignot, E; Mouginot, J; Scheuchl, B; Jeong, S</t>
  </si>
  <si>
    <t>Rignot, Eric; Mouginot, Jeremie; Scheuchl, Bernd; Jeong, Seongsu</t>
  </si>
  <si>
    <t>Changes in Antarctic Ice Sheet Motion Derived From Satellite Radar Interferometry Between 1995 and 2022</t>
  </si>
  <si>
    <t>Antarctica; sea level rise; glaciers; ice sheet; mass balance; ice dynamics</t>
  </si>
  <si>
    <t>PINE ISLAND; FLOW; SHELF; REPRESENTATION; OCEAN; PHASE</t>
  </si>
  <si>
    <t>Ice motion and boundaries are critical information for ice sheet models that project ice evolution in a warming climate. We present four historical, continent-wide, maps of Antarctic-wide ice motion and boundaries for the time period 1995-2022. The results reveal no change in the interior region of East Antarctica, iceberg detachments at ice shelf fronts, and widespread glacier speedup that propagates 100 km's inland in West Antarctica and the Antarctic Peninsula. Speedup affects the entire drainage of the Amundsen Sea Embayment sector; the entire west coast of the Antarctic Peninsula down to GeorgeVI Ice Shelf; the east coast down to Larsen C Ice Shelf; Getz Ice Shelf, Hull and Land glaciers in West Antarctica; Matusevitch, Ninnis, Mertz and Denman glaciers, glaciers in Porpoise and Vincennes Bay; and Robert, Wilma and Rayner glaciers in Enderby Land, in East Antarctica. We attribute the observed glacier changes to increased melting by warmer ocean waters.</t>
  </si>
  <si>
    <t>[Rignot, Eric; Mouginot, Jeremie; Scheuchl, Bernd; Jeong, Seongsu] Univ Calif Irvine, Dept Earth Syst Sci, Irvine, CA 92697 USA; [Rignot, Eric] CALTECH, Jet Prop Lab, Pasadena, CA USA; [Mouginot, Jeremie] Univ Grenoble Alpes, CNRS, INP, Grenoble IGE, Grenoble, France</t>
  </si>
  <si>
    <t>University of California System; University of California Irvine; California Institute of Technology; National Aeronautics &amp; Space Administration (NASA); NASA Jet Propulsion Laboratory (JPL); Communaute Universite Grenoble Alpes; Institut National Polytechnique de Grenoble; Centre National de la Recherche Scientifique (CNRS); CNRS - Institute of Physics (INP); Universite Grenoble Alpes (UGA)</t>
  </si>
  <si>
    <t>Rignot, E (corresponding author), Univ Calif Irvine, Dept Earth Syst Sci, Irvine, CA 92697 USA.</t>
  </si>
  <si>
    <t>erignot@uci.edu</t>
  </si>
  <si>
    <t>Mouginot, Jeremie/G-7045-2015; Rignot, Eric/A-4560-2014</t>
  </si>
  <si>
    <t>Mouginot, Jeremie/0000-0001-9155-5455; Rignot, Eric/0000-0002-3366-0481</t>
  </si>
  <si>
    <t>10.1029/2022GL100141</t>
  </si>
  <si>
    <t>WOS:000928052000004</t>
  </si>
  <si>
    <t>Zhang, Z; Licht, A; De Vleeschouwer, D; Wang, ZX; Li, YZ; Kemp, DB; Tan, LC; Zhang, R; Qiang, XK; Huang, CJ</t>
  </si>
  <si>
    <t>Zhang, Ze; Licht, Alexis; De Vleeschouwer, David; Wang, Zhixiang; Li, Yanzhen; Kemp, David B.; Tan, Liangcheng; Zhang, Rui; Qiang, Xiaoke; Huang, Chunju</t>
  </si>
  <si>
    <t>East Asian Monsoonal Climate Sensitivity Changed in the Late Pliocene in Response to Northern Hemisphere Glaciations</t>
  </si>
  <si>
    <t>East Asian summer monsoon; late Pliocene; Northern Hemisphere ice sheet; obliquity forcing</t>
  </si>
  <si>
    <t>INTERTROPICAL CONVERGENCE ZONE; LATE MIOCENE; SUMMER MONSOON; WEATHERING RESPONSE; OCEAN CIRCULATION; RB/SR RECORD; EVOLUTION; CHINA; PRECIPITATION; PACIFIC</t>
  </si>
  <si>
    <t>Mio-Pliocene sedimentary archives of the East Asian summer monsoon (EASM) in NE Tibet record a monotonic response to orbital forcing, dominated by eccentricity. By contrast, Pleistocene archives display a more stochastic response that varies regionally and temporally. When and why this response changed is poorly understood. Here, we present a new high-resolution Rb/Sr ratio data set of EASM intensity from the Sanmenxia Basin, North China, that spans the Plio-Pleistocene transition. Our results indicate decreased monsoonal rainfall in the late Pliocene, dated at 2.75-2.6 Ma, associated with an intensified response to obliquity and enhanced climate stochasticity. This transition is attributed to the increase of Northern Hemisphere ice volume. Quaternary monsoons display a sensitivity unique to the modern icehouse with large bipolar ice sheets, while pre-Quaternary monsoons were solely impacted by Antarctic ice sheet dynamics on orbital time-scales.</t>
  </si>
  <si>
    <t>[Zhang, Ze; Li, Yanzhen; Kemp, David B.; Huang, Chunju] China Univ Geosci, Sch Earth Sci, State Key Lab Biogeol &amp; Environm Geol, Hubei Key Lab Crit Zone Evolut, Wuhan, Peoples R China; [Licht, Alexis] Aix Marseille Univ, CEREGE, CNRS, IRD,INRAE, Aix En Provence, France; [De Vleeschouwer, David] Univ Munster, Inst Geol &amp; Paleontol, Munster, Germany; [Wang, Zhixiang] Chinese Acad Sci, Qinghai Inst Salt Lakes, Qinghai Prov Key Lab Geol &amp; Environm Salt Lakes, Xining, Peoples R China; [Li, Yanzhen; Tan, Liangcheng; Qiang, Xiaoke] Chinese Acad Sci, Inst Earth Environm, State Key Lab Loess &amp; Quaternary Geol, Xian, Peoples R China; [Tan, Liangcheng] Pilot Natl Lab Marine Sci &amp; Technol Qingdao, Open Studio Ocean Continental Climate &amp; Environm C, Qingdao, Peoples R China; [Tan, Liangcheng] Xi An Jiao Tong Univ, Inst Global Environm Change, Xian, Peoples R China; [Zhang, Rui] Hubei Normal Univ, Coll Urban &amp; Environm Sci, Huangshi, Peoples R China</t>
  </si>
  <si>
    <t>China University of Geosciences; Aix-Marseille Universite; Institut de Recherche pour le Developpement (IRD); Centre National de la Recherche Scientifique (CNRS); INRAE; University of Munster; Chinese Academy of Sciences; Qinghai Institute of Salt Lakes, CAS; Chinese Academy of Sciences; Institute of Earth Environment, CAS; Laoshan Laboratory; Xi'an Jiaotong University; Hubei Normal University</t>
  </si>
  <si>
    <t>Huang, CJ (corresponding author), China Univ Geosci, Sch Earth Sci, State Key Lab Biogeol &amp; Environm Geol, Hubei Key Lab Crit Zone Evolut, Wuhan, Peoples R China.;Wang, ZX (corresponding author), Chinese Acad Sci, Qinghai Inst Salt Lakes, Qinghai Prov Key Lab Geol &amp; Environm Salt Lakes, Xining, Peoples R China.</t>
  </si>
  <si>
    <t>wangzhi8905@126.com; huangcj@cug.edu.cn</t>
  </si>
  <si>
    <t>Liu, Yuxuan/JVO-7759-2024; Kemp, David B/D-7288-2012; De Vleeschouwer, David/ABA-6115-2020; Ma, Mingyang/JXM-3330-2024; 王, 娅冰/JGE-0541-2023; Licht, Alexis/P-4284-2018; Tan, Liangcheng/I-8355-2014</t>
  </si>
  <si>
    <t>De Vleeschouwer, David/0000-0002-3323-807X; Licht, Alexis/0000-0002-5267-7545; qiang, xiao ke/0000-0002-0014-2477; Tan, Liangcheng/0000-0003-1932-7102</t>
  </si>
  <si>
    <t>National Natural Science Foundation of China; [42230208]; [42172039]</t>
  </si>
  <si>
    <t>National Natural Science Foundation of China(National Natural Science Foundation of China (NSFC)); ;</t>
  </si>
  <si>
    <t>Acknowledgments This work was supported by the National Natural Science Foundation of China (No. 42230208; 42172039). We thank Norbert Marwan, Alexey Fedorov and Yalong Fu, who offered help for this study.</t>
  </si>
  <si>
    <t>10.1029/2022GL101280</t>
  </si>
  <si>
    <t>WOS:000928052000079</t>
  </si>
  <si>
    <t>Audet, AC; Putnam, AE; Russell, JL; Lorrey, A; Mackintosh, A; Anderson, B; Denton, GH</t>
  </si>
  <si>
    <t>Audet, Alexander C. C.; Putnam, Aaron E. E.; Russell, Joellen L. L.; Lorrey, Andrew; Mackintosh, Andrew; Anderson, Brian; Denton, George H. H.</t>
  </si>
  <si>
    <t>Correspondence Among Mid-Latitude Glacier Equilibrium Line Altitudes, Atmospheric Temperatures, and Westerly Wind Fields</t>
  </si>
  <si>
    <t>mid-latitude westerlies; mid-latitude glaciers; glacier snowlines; equilibrium line altitude; ERA5; spatial correlation</t>
  </si>
  <si>
    <t>SOUTHERN ANNULAR MODE; FRANZ-JOSEF-GLACIER; ICE VOLUME CHANGES; NEW-ZEALAND; MASS-BALANCE; CLIMATE SENSITIVITY; NORTH-AMERICAN; ALPS; CIRCULATION; FLUCTUATIONS</t>
  </si>
  <si>
    <t>Mountain glaciers are highly sensitive to climate change. However, the extent to which glaciers capture regional to hemisphere-scale atmospheric processes remains uncertain, hindering paleoclimatic interpretations derived from moraine-based glacier reconstructions. Here, we evaluate how mid-latitude glacier systems monitor climate by comparing climate reanalysis products with glacier annual equilibrium line altitude (ELA) elevations from the antipodal Southern Alps of New Zealand and European Alps. We find significant regional and hemispheric correlations between glacier annual ELA and summer tropospheric temperatures. Annual ELA also exhibit positive correlations with the latitude of the westerly jets in both hemispheres. These results indicate that westerly wind-belt latitude modulates the proportion of cold versus warm air masses influencing these glacier systems. These results highlight the sensitivity of mid-latitude glaciers to atmospheric temperatures and circulation, with implications for interpreting moraine-based paleoclimate reconstructions. Combined impacts of ongoing tropospheric warming and poleward-shifting westerlies will likely accelerate recession of mid-latitude glaciers.</t>
  </si>
  <si>
    <t>[Audet, Alexander C. C.; Putnam, Aaron E. E.; Denton, George H. H.] Univ Maine, Sch Earth &amp; Climate Sci, Orono, ME 04469 USA; [Audet, Alexander C. C.; Putnam, Aaron E. E.; Denton, George H. H.] Univ Maine, Climate Change Inst, Orono, ME 04469 USA; [Audet, Alexander C. C.] Univ Nevada, Coll Sci, Dept Geog, Reno, NV 89557 USA; [Russell, Joellen L. L.] Univ Arizona, Dept Geosci, Tucson, AZ USA; [Lorrey, Andrew] Natl Inst Water &amp; Atmospher Res Ltd, Auckland, New Zealand; [Mackintosh, Andrew] Monash Univ, Sch Earth Atmosphere &amp; Environm, Securing Antarcticas Environm Future, Clayton, Vic, Australia; [Anderson, Brian] Victoria Univ Wellington, Antarctic Res Ctr, Wellington, New Zealand</t>
  </si>
  <si>
    <t>University of Maine System; University of Maine Orono; University of Maine System; University of Maine Orono; Nevada System of Higher Education (NSHE); University of Nevada Reno; University of Arizona; National Institute of Water &amp; Atmospheric Research (NIWA) - New Zealand; Monash University; Victoria University Wellington</t>
  </si>
  <si>
    <t>Audet, AC (corresponding author), Univ Maine, Sch Earth &amp; Climate Sci, Orono, ME 04469 USA.;Audet, AC (corresponding author), Univ Maine, Climate Change Inst, Orono, ME 04469 USA.;Audet, AC (corresponding author), Univ Nevada, Coll Sci, Dept Geog, Reno, NV 89557 USA.</t>
  </si>
  <si>
    <t>alexander.audet@nevada.unr.edu</t>
  </si>
  <si>
    <t>Mackintosh, Andrew/0000-0002-6430-4711; Audet, Alexander/0000-0002-3475-4340; Lorrey, Andrew/0000-0002-3923-3181; Russell, Joellen/0000-0001-9937-6056</t>
  </si>
  <si>
    <t>University of Maine teaching assistantship; Quesada Family Fund; NIWA's Strategic Science Investment Fund [CAOA2201]; Australian Research Council (ARC) [2R200100005]; Securing Antarctica's Environmental Future; Marsden Grant [17VUW094]; National Science Foundation [EAR 1903220]</t>
  </si>
  <si>
    <t>University of Maine teaching assistantship; Quesada Family Fund; NIWA's Strategic Science Investment Fund; Australian Research Council (ARC)(Australian Research Council); Securing Antarctica's Environmental Future; Marsden Grant(Royal Society of New ZealandMarsden Fund (NZ)); National Science Foundation(National Science Foundation (NSF))</t>
  </si>
  <si>
    <t>A. Audet was supported by a University of Maine teaching assistantship and the Quesada Family Fund. Andrew Lorrey was supported by NIWA's Strategic Science Investment Fund project CAOA2201 Climate Present and Past. Andrew Mackintosh was supported by Australian Research Council (ARC) SRIEAS Grant 2R200100005, Securing Antarctica's Environmental Future. Brian Anderson was supported by Marsden Grant 17VUW094. This work was supported by a grant from the National Science Foundation (EAR 1903220). The authors thank three anonymous reviewers for their constructive comments.</t>
  </si>
  <si>
    <t>10.1029/2022GL099897</t>
  </si>
  <si>
    <t>WOS:000928052000061</t>
  </si>
  <si>
    <t>Yan, YZ; Banerjee, A; Murray, LT; Tie, X; Yeung, LY</t>
  </si>
  <si>
    <t>Yan, Yuzhen; Banerjee, Asmita; Murray, Lee T.; Tie, Xin; Yeung, Laurence Y.</t>
  </si>
  <si>
    <t>Tropospheric Ozone During the Last Interglacial</t>
  </si>
  <si>
    <t>ice cores; clumped isotopes; tropospheric ozone; biomass burning; Last Interglacial; pre-industrial Holocene</t>
  </si>
  <si>
    <t>BLUE-ICE AREA; MEGAFAUNAL EXTINCTION; ATMOSPHERIC HISTORY; CHARCOAL RECORDS; CLIMATE-CHANGE; FIRE ACTIVITY; MODEL; PREINDUSTRIAL; METHANE; IMPACT</t>
  </si>
  <si>
    <t>The history of tropospheric O-3, an important atmospheric oxidant, is poorly constrained because of uncertainties in its historical budget and a dearth of independent records. Here, we estimate the mean tropospheric O-3 burden during the Last Interglacial period (LIG; 115 to 130 thousand years ago) using a record of the clumped isotopic composition of O-2 (i.e., Delta(36) values) preserved in Antarctic ice. The measured LIG Delta(36) value is 0.03 +/- 0.02 parts per thousand (95% CI) higher than the late pre-industrial Holocene (PI; 1,590-1,850 CE) value and corresponds to a modeled 9% reduction in LIG tropospheric O-3 burden (95% CI: 3%-15%), caused in part by a substantial reduction in biomass burning emissions during the LIG relative to the PI. These results are consistent with the hypothesis that late-Pleistocene megafaunal extinctions caused woody and grassy fuels to accumulate on land, leading to enhanced biomass burning in the preindustrial Holocene.</t>
  </si>
  <si>
    <t>[Yan, Yuzhen; Banerjee, Asmita; Yeung, Laurence Y.] Rice Univ, Dept Earth Environm &amp; Planetary Sci, Houston, TX 77005 USA; [Murray, Lee T.; Tie, Xin] Univ Rochester, Dept Earth &amp; Environm Sci, Rochester, NY USA; [Yeung, Laurence Y.] Rice Univ, Dept Chem, Houston, TX 77005 USA</t>
  </si>
  <si>
    <t>Rice University; University of Rochester; Rice University</t>
  </si>
  <si>
    <t>Yan, YZ; Yeung, LY (corresponding author), Rice Univ, Dept Earth Environm &amp; Planetary Sci, Houston, TX 77005 USA.;Yeung, LY (corresponding author), Rice Univ, Dept Chem, Houston, TX 77005 USA.</t>
  </si>
  <si>
    <t>yanyuzhen.pku@gmail.com; lyeung@rice.edu</t>
  </si>
  <si>
    <t>Murray, Lee Thomas/AAE-2840-2020; Yeung, Laurence Y/D-4574-2009</t>
  </si>
  <si>
    <t>Murray, Lee Thomas/0000-0002-3447-3952; Banerjee, Asmita/0000-0002-6369-0972</t>
  </si>
  <si>
    <t>Rice University Pan Postdoctoral Research Fellowship; David and Lucile Packard Foundation Science &amp; Engineering Fellowship; National Science Foundation [AGS-2002422, AGS-2002414]</t>
  </si>
  <si>
    <t>Rice University Pan Postdoctoral Research Fellowship; David and Lucile Packard Foundation Science &amp; Engineering Fellowship; National Science Foundation(National Science Foundation (NSF))</t>
  </si>
  <si>
    <t>Y. Y. was supported by the Rice University Pan Postdoctoral Research Fellowship. L. Y. Y. acknowledges support from the David and Lucile Packard Foundation Science &amp; Engineering Fellowship. This work was supported by National Science Foundation Grants AGS-2002422 (to L. Y. Y.) and AGS-2002414 (to L. T. M.). The authors thank Paul Mayewski and Andrei Kurbatov at the Climate Change Institute, University of Maine, for providing the S27 ice core samples, and three anonymous reviewers for their constructive comments.</t>
  </si>
  <si>
    <t>10.1029/2022GL101113</t>
  </si>
  <si>
    <t>WOS:000928052000068</t>
  </si>
  <si>
    <t>Zhu, TT; Yu, JY</t>
  </si>
  <si>
    <t>Zhu, Tingting; Yu, Jin-Yi</t>
  </si>
  <si>
    <t>A Shifting Tripolar Pattern of Antarctic Sea Ice Concentration Anomalies During Multi-Year La Nina Events</t>
  </si>
  <si>
    <t>multi-year La Nina; Antarctic; sea ice</t>
  </si>
  <si>
    <t>ENSO; TEMPERATURE</t>
  </si>
  <si>
    <t>A 2,200-year CESM1 pre-industrial simulation is used to contrast Antarctic sea ice concentration (SIC) variations between the first and second austral winters of multi-year La Ninas. The typical SIC anomaly pattern induced by single-year La Ninas appears only during the second austral winter of multi-year La Ninas. A similar pattern, but zonally shifted compared to the typical one, is found during the first winter and exhibits a tripolar pattern with anomaly centers over the Ross, Amundsen-Bellingshausen, and Weddell Seas. The shift is a result of the pre-onset conditions associated with multi-year La Ninas that excites unique atmospheric circulation modes during the first winter. The distinct zonally-shifted SIC anomaly pattern is observed in four of the six multi-year La Nina events during the period 1979-2020. These results suggest that it is helpful to separate La Ninas into single and multi-year events to better understand the La Nina impacts on Antarctic climate.</t>
  </si>
  <si>
    <t>[Zhu, Tingting; Yu, Jin-Yi] Univ Calif Irvine, Dept Earth Syst Sci, Irvine, CA 92697 USA</t>
  </si>
  <si>
    <t>University of California System; University of California Irvine</t>
  </si>
  <si>
    <t>Yu, JY (corresponding author), Univ Calif Irvine, Dept Earth Syst Sci, Irvine, CA 92697 USA.</t>
  </si>
  <si>
    <t>jyyu@uci.edu</t>
  </si>
  <si>
    <t>Zhu, Tingting/T-9997-2019; Yu, Jin-Yi/G-3413-2011; Yu, Jin-Yi/AAU-9089-2020</t>
  </si>
  <si>
    <t>Zhu, Tingting/0000-0003-3141-1884; Yu, Jin-Yi/0000-0001-6156-7623; Zhu, Tingting/0000-0003-4575-5784</t>
  </si>
  <si>
    <t>NSF Climate and Large-Scale Dynamics Program [AGS-2109539]</t>
  </si>
  <si>
    <t>NSF Climate and Large-Scale Dynamics Program(National Science Foundation (NSF)NSF - Directorate for Geosciences (GEO))</t>
  </si>
  <si>
    <t>We thank two anonymous reviewers for their valuable comments. This research is supported by NSF Climate and Large-Scale Dynamics Program under Grant AGS-2109539. The authors are grateful to all data providers.</t>
  </si>
  <si>
    <t>10.1029/2022GL101217</t>
  </si>
  <si>
    <t>WOS:000928052000048</t>
  </si>
  <si>
    <t>Johnson, R; Manno, C; Ziveri, P</t>
  </si>
  <si>
    <t>Johnson, Roberta; Manno, Clara; Ziveri, Patrizia</t>
  </si>
  <si>
    <t>Shelled pteropod abundance and distribution across the Mediterranean Sea during spring</t>
  </si>
  <si>
    <t>PROGRESS IN OCEANOGRAPHY</t>
  </si>
  <si>
    <t>Pteropod; Mediterranean Sea; Ocean acidification; Ocean warming; Plankton; Foraminifera; Aragonite; Heliconoides inflatus; Ecology</t>
  </si>
  <si>
    <t>OCEAN ACIDIFICATION; CLIMATE-CHANGE; VERTICAL DISTRIBUTIONS; TOTAL ALKALINITY; CARBONIC-ACID; TIME-SERIES; ZOOPLANKTON; ARAGONITE; IMPACTS; SEAWATER</t>
  </si>
  <si>
    <t>Thecosome pteropods are a dominant group of calcifying pelagic molluscs and an important component of the food web. In this study, we characterise spring pteropod distribution throughout the Mediterranean Sea, an understudied region for this common group of marine calcifying organisms. This semi-enclosed sea is rapidly changing under climatic and anthropogenic forcings. The presence of surface water biogeochemical gradients from the Atlantic Ocean/Gibraltar Strait to the Eastern Mediterranean Sea allowed us to investigate pteropod distribution and their ecological preferences. In the ultra-oligotrophic Eastern Mediterranean Sea, we found the mean upper 200 m pteropod standing stock of 2.13 ind. m- 3 was approximately 5x greater than the Western basin (mean 0.42 ind. m-3). Where standing stocks were high, pteropods appeared largely in the same family grouping belonging to Limacinidae. Temperature, O2 concentration, salinity, and aragonite saturation (ohm ar) explain 96 % of the observed variations in the community structure at the time of sampling, suggesting that pteropods might show a preference for environmental conditions with a lower energetic physiological demand. We also document that pteropods and planktonic foraminifera have an opposite geographical distribution in the Mediterranean Sea. Our findings indicate that in specific pelagic ultra-oligotrophic conditions, such as the Eastern Mediterranean Sea, different feeding strategies could play an important role in regulating calcifying zooplankton distribution.</t>
  </si>
  <si>
    <t>[Johnson, Roberta; Ziveri, Patrizia] Univ Autonoma Barcelona, Inst Environm Sci &amp; Technol ICTA, Barcelona, Spain; [Manno, Clara] British Antarctic Survey, Nat Environm Res Council, Cambridge, England; [Ziveri, Patrizia] Catalan Inst Res &amp; Adv Studies ICREA, Barcelona, Spain</t>
  </si>
  <si>
    <t>Autonomous University of Barcelona; UK Research &amp; Innovation (UKRI); Natural Environment Research Council (NERC); NERC British Antarctic Survey; ICREA</t>
  </si>
  <si>
    <t>Johnson, R (corresponding author), Univ Autonoma Barcelona, Inst Environm Sci &amp; Technol ICTA, Barcelona, Spain.</t>
  </si>
  <si>
    <t>roberta.johnson@uab.cat</t>
  </si>
  <si>
    <t>Ziveri, Patrizia/I-3856-2015</t>
  </si>
  <si>
    <t>Ziveri, Patrizia/0000-0002-5576-0301</t>
  </si>
  <si>
    <t>Spanish Ministry of Science and Innovation [PID2020-113526RB-I00]; CALMED project [CTM2016-79547-R]; Marine and Environmental Biogeosciences research group of the Generalitat de Catalunya</t>
  </si>
  <si>
    <t>Spanish Ministry of Science and Innovation(Spanish Government); CALMED project; Marine and Environmental Biogeosciences research group of the Generalitat de Catalunya</t>
  </si>
  <si>
    <t>We thank the captain and crew of the Spanish R/V ? Angeles Alvarin ? o for supporting the sampling of this study, M. Acevedo and U. Tilves for sample collection and E. Xicoy Espaulella for helping with sample pro- cessing. We would like to thank the anonymous reviewers that assessed the initial iteration of this manuscript in Biogeosciences as their com- ments significantly improved the manuscript. We would also like to thank the anonymous reviewer and N. Keul for their comments on this manuscript. All reviewer remarks helped to refine and enhance the final manuscript. Additionally, we thank Eloise Littley for proof reading the manuscript. This work was funded by the Spanish Ministry of Science and Innovation, BIOCAL Project (PID2020-113526RB-I00) and CALMED project (CTM2016-79547-R) . This work is contributing to the ICTA Unit of Excellence (MINECO, MDM2015-0552; CEX2019-000940-M) , and The Marine and Environmental Biogeosciences research group of the Generalitat de Catalunya (2017 SGR-1588) .</t>
  </si>
  <si>
    <t>0079-6611</t>
  </si>
  <si>
    <t>1873-4472</t>
  </si>
  <si>
    <t>PROG OCEANOGR</t>
  </si>
  <si>
    <t>Prog. Oceanogr.</t>
  </si>
  <si>
    <t>10.1016/j.pocean.2022.102930</t>
  </si>
  <si>
    <t>7X8DX</t>
  </si>
  <si>
    <t>hybrid, Green Published, Green Accepted</t>
  </si>
  <si>
    <t>WOS:000914427100001</t>
  </si>
  <si>
    <t>Lauvset, SK; Lange, N; Tanhua, T; Bittig, HC; Olsen, A; Kozyr, A; Alin, S; Alvarez, M; Azetsu-Scott, K; Barbero, L; Becker, S; Brown, PJ; Carter, BR; da Cunha, LC; Feely, RA; Hoppema, M; Humphreys, MP; Ishii, M; Jeansson, E; Jiang, LQ; Jones, SD; Lo Monaco, C; Murata, A; Müller, JD; Pérez, FF; Pfeil, B; Schirnick, C; Steinfeldt, R; Suzuki, T; Tilbrook, B; Ulfsbo, A; Velo, A; Woosley, RJ; Key, RM</t>
  </si>
  <si>
    <t>Lauvset, Siv K.; Lange, Nico; Tanhua, Toste; Bittig, Henry C.; Olsen, Are; Kozyr, Alex; Alin, Simone; Alvarez, Marta; Azetsu-Scott, Kumiko; Barbero, Leticia; Becker, Susan; Brown, Peter J.; Carter, Brendan R.; da Cunha, Leticia Cotrim; Feely, Richard A.; Hoppema, Mario; Humphreys, Matthew P.; Ishii, Masao; Jeansson, Emil; Jiang, Li-Qing; Jones, Steve D.; Lo Monaco, Claire; Murata, Akihiko; Muller, Jens Daniel; Perez, Fiz F.; Pfeil, Benjamin; Schirnick, Carsten; Steinfeldt, Reiner; Suzuki, Toru; Tilbrook, Bronte; Ulfsbo, Adam; Velo, Anton; Woosley, Ryan J.; Key, Robert M.</t>
  </si>
  <si>
    <t>GLODAPv2.2022: the latest version of the global interior oceanbiogeochemical data product</t>
  </si>
  <si>
    <t>BIOGEOCHEMICAL DATA PRODUCT; CONSISTENT DATA PRODUCT; INORGANIC CARBON; UPDATED VERSION; OCEAN; QUALITY; CO2; CONVECTION; ALKALINITY; NUTRIENTS</t>
  </si>
  <si>
    <t>The Global Ocean Data Analysis Project (GLODAP) is a synthesis effort providing regular compilations of surface-to-bottom ocean biogeochemical bottle data, with an emphasis on seawater inorganic carbon chemistry and related variables determined through chemical analysis of seawater samples. GLODAPv2.2022 is an update of the previous version, GLODAPv2.2021 (Lauvset et al., 2021). The major changes are as follows: data from 96 new cruises were added, data coverage was extended until 2021, and for the first time we performed secondary quality control on all sulfur hexafluoride (SF6) data. In addition, a number of changes were made to data included in GLODAPv2.2021. These changes affect specifically the SF6 data, which are now subjected to secondary quality control, and carbon data measured on board the RV Knorr in the Indian Ocean in 1994-1995 which are now adjusted using certified reference material (CRM) measurements made at the time. GLODAPv2.2022 includes measurements from almost 1.4 million water samples from the global oceans collected on 1085 cruises. The data for the now 13 GLODAP core variables (salinity, oxygen, nitrate, silicate, phosphate, dissolved inorganic carbon, total alkalinity, pH, chlorofluorocarbon-11 (CFC-11), CFC-12, CFC-113, CCl4, and SF6) have undergone extensive quality control with a focus on systematic evaluation of bias. The data are available in two formats: (i) as submitted by the data originator but converted to World Ocean Circulation Experiment (WOCE) exchange format and (ii) as a merged data product with adjustments applied to minimize bias. For the present annual update, adjustments for the 96 new cruises were derived by comparing those data with the data from the 989 quality-controlled cruises in the GLODAPv2.2021 data product using crossover analysis. SF6 data from all cruises were evaluated by comparison with CFC-12 data measured on the same cruises. For nutrients and ocean carbon dioxide (CO2) chemistry comparisons to estimates based on empirical algorithms provided additional context for adjustment decisions. The adjustments that we applied are intended to remove potential biases from errors related to measurement, calibration, and data handling practices without removing known or likely time trends or variations in the variables evaluated. The compiled and adjusted data product is believed to be consistent to better than 0.005 in salinity, 1 % in oxygen, 2 % in nitrate, 2 % in silicate, 2 % in phosphate, 4 mu mol kg(-1) in dissolved inorganic carbon, 4 mu mol kg(-1) in total alkalinity, 0.01-0.02 in pH (depending on region), and 5 % in the halogenated transient tracers. The other variables included in the compilation, such as isotopic tracers and discrete CO2 fugacity (fCO2), were not subjected to bias comparison or adjustments. The original data, their documentation, and DOI codes are available at the Ocean Carbon and Acidification Data System of NOAA NCEI (https://www.ncei.noaa.gov/access/ocean-carbon-acidification-data-system/oceans/GLODAPv2_2022/, last access: 15 August 2022). This site also provides access to the merged data product, which is provided as a single global file and as four regional ones - the Arctic, Atlantic, Indian, and Pacific oceans - under (Lauvset et al., 2022). These bias-adjusted product files also include significant ancillary and approximated data, which were obtained by interpolation of, or calculation from, measured data. This living data update documents the GLODAPv2 methods and provides a broadoverview of the secondary quality control procedures and results.</t>
  </si>
  <si>
    <t>[Lauvset, Siv K.; Jeansson, Emil] NORCE Norwegian Res Ctr, Bjerknes Ctr Climate Res, Bergen, Norway; [Lange, Nico; Tanhua, Toste; Schirnick, Carsten] GEOMAR Helmholtz Ctr Ocean Res Kiel, Kiel, Germany; [Bittig, Henry C.] Leibniz Inst Balt Sea Res Warnemunde, Rostock, Germany; [Olsen, Are; Jones, Steve D.; Pfeil, Benjamin] Univ Bergen, Geophys Inst, Bergen, Norway; [Olsen, Are; Jones, Steve D.; Pfeil, Benjamin] Bjerknes Ctr Climate Res, Bergen, Norway; [Kozyr, Alex] NOAA, Natl Ctr Environm Informat, Silver Spring, MD USA; [Alin, Simone; Feely, Richard A.] NOAA, Pacific Marine Environm Lab, Seattle, WA USA; [Alvarez, Marta] CSIC, Inst Espanol Oceanog, IEO, La Coruna, Spain; [Azetsu-Scott, Kumiko] Bedford Inst Oceanog, Dept Fisheries &amp; Oceans, Dartmouth, NS, Canada; [Barbero, Leticia] Univ Miami, Cooperat Inst Marine &amp; Atmospher Studies, Miami, FL USA; [Barbero, Leticia] NOAA, Atlantic Oceanog &amp; Meteorol Lab, Miami, FL 08540 USA; [Becker, Susan] Univ Calif San Diego, Scripps Inst Oceanog, San Diego, CA 92093 USA; [Brown, Peter J.] Natl Oceanog Ctr, Southampton, England; [Carter, Brendan R.] Univ Washington, Cooperat Inst Climate Ocean &amp; Ecosyst Studies, Seattle, WA USA; [da Cunha, Leticia Cotrim] Univ Estado Rio de Janeiro, PPG Oceanog, Fac Oceanog, Rio de Janeiro, RJ, Brazil; [Hoppema, Mario] Alfred Wegener Inst Helmholtz Ctr Polar &amp; Marine, Bremerhaven, Germany; [Humphreys, Matthew P.] NIOZ Royal Netherlands Inst Sea Res, Dept Ocean Syst OCS, Texel, Netherlands; [Ishii, Masao] Japan Meteorol Agcy, Meteorol Res Inst, Tsukuba, Japan; [Jiang, Li-Qing] Univ Maryland, Cooperat Inst Satellite Earth Syst Studies, Earth Syst Sci Interdisciplinary Ctr, College Pk, MD 20740 USA; [Jiang, Li-Qing] NOAA, NESDIS, Natl Ctr Environm Informat, 1315 East West Highway, Silver Spring, MD 20910 USA; [Lo Monaco, Claire] Sorbonne Univ, LOCEAN, Paris, France; [Murata, Akihiko] Japan Agcy Marine Earth Sci &amp; Technol, Res Inst Global Change, Yokosuka, Japan; [Muller, Jens Daniel] Swiss Fed Inst Technol, Inst Biogeochem &amp; Pollutant Dynam, Environm Phys, Zurich, Switzerland; [Perez, Fiz F.; Velo, Anton] CSIC, Inst Invest Marinas, IIM, Vigo, Spain; [Perez, Fiz F.] Stanford Univ, Oceans Dept, Stanford, CA 94305 USA; [Steinfeldt, Reiner] Univ Bremen, Inst Environm Phys, Bremen, Germany; [Suzuki, Toru] Japan Hydrog Assoc, Marine Informat Res Ctr, Tokyo, Japan; [Tilbrook, Bronte] Univ Tasmania, CSIRO Oceans &amp; Atmosphere, Hobart, Australia; [Tilbrook, Bronte] Univ Tasmania, Australian Antarctic Program Partnership, Hobart, Australia; [Ulfsbo, Adam] Univ Gothenburg, Dept Marine Sci, Gothenburg, Sweden; [Woosley, Ryan J.] MIT, Ctr Global Change Sci, 77 Massachusetts Ave, Cambridge, MA 02139 USA; [Key, Robert M.] Princeton Univ, Atmospher &amp; Ocean Sci, Princeton, NJ 08540 USA</t>
  </si>
  <si>
    <t>Bjerknes Centre for Climate Research; Norwegian Research Centre (NORCE); Helmholtz Association; GEOMAR Helmholtz Center for Ocean Research Kiel; Leibniz Institut fur Ostseeforschung Warnemunde; University of Bergen; Bjerknes Centre for Climate Research; National Oceanic Atmospheric Admin (NOAA) - USA; National Oceanic Atmospheric Admin (NOAA) - USA; Consejo Superior de Investigaciones Cientificas (CSIC); Spanish Institute of Oceanography; Bedford Institute of Oceanography; Fisheries &amp; Oceans Canada; University of Miami; National Oceanic Atmospheric Admin (NOAA) - USA; Atlantic Oceanographic &amp; Meteorological Laboratory (AOML); University of California System; University of California San Diego; Scripps Institution of Oceanography; NERC National Oceanography Centre; University of Washington; University of Washington Seattle; Universidade do Estado do Rio de Janeiro; Helmholtz Association; Alfred Wegener Institute, Helmholtz Centre for Polar &amp; Marine Research; Utrecht University; Royal Netherlands Institute for Sea Research (NIOZ); Japan Meteorological Agency; Meteorological Research Institute - Japan; University System of Maryland; University of Maryland College Park; National Oceanic Atmospheric Admin (NOAA) - USA; Sorbonne Universite; Museum National d'Histoire Naturelle (MNHN); Japan Agency for Marine-Earth Science &amp; Technology (JAMSTEC); Swiss Federal Institutes of Technology Domain; ETH Zurich; Consejo Superior de Investigaciones Cientificas (CSIC); CSIC - Instituto de Investigaciones Marinas (IIM); Stanford University; University of Bremen; University of Tasmania; Commonwealth Scientific &amp; Industrial Research Organisation (CSIRO); University of Tasmania; University of Gothenburg; Massachusetts Institute of Technology (MIT); Princeton University</t>
  </si>
  <si>
    <t>Lauvset, SK (corresponding author), NORCE Norwegian Res Ctr, Bjerknes Ctr Climate Res, Bergen, Norway.</t>
  </si>
  <si>
    <t>siv.lauvset@norceresearch.no</t>
  </si>
  <si>
    <t>Alin, Simone/J-6836-2017; Cotrim da Cunha, Leticia/F-5732-2010; Tanhua, Toste/HLX-5402-2023; Brown, Peter/AAN-4372-2020; jiang, liqing/HTQ-0295-2023; Fernandez Perez, Fiz/B-9001-2011; Müller, Jens Daniel/JHU-3987-2023; Tilbrook, Bronte/A-1522-2012; Velo, Anton/B-4172-2019; Alvarez, Marta/D-4367-2009; Lauvset, Siv K./H-7948-2016; Olsen, Are/A-1511-2011; Barbero, Leticia/B-5237-2011</t>
  </si>
  <si>
    <t>Alin, Simone/0000-0002-8283-1910; Cotrim da Cunha, Leticia/0000-0001-8035-1430; Brown, Peter/0000-0002-1152-1114; Fernandez Perez, Fiz/0000-0003-4836-8974; Müller, Jens Daniel/0000-0003-3137-0883; Velo, Anton/0000-0002-7598-5700; Alvarez, Marta/0000-0002-5075-9344; Lauvset, Siv K./0000-0001-8498-4067; Olsen, Are/0000-0003-1696-9142; Tanhua, Toste/0000-0002-0313-2557; Barbero, Leticia/0000-0002-8858-5247; Woosley, Ryan J./0000-0002-2008-7751</t>
  </si>
  <si>
    <t>EU [821001, 862626, 821003]; NORCE Climate; Prociencia/UERJ 2022-2024; IEO RADPROF project; UK Climate Linked Atlantic Sector Science (CLASS) NERC National Capability Long-term Single Centre Science Programme [NE/R015953/1]; BOCATS2 project - MCIN/AEI [PID2019-104279GB-C21]; NOAA Ocean Acidification Program (OAP) [OAP 1903-1903]; NOAA National Centers for Environmental Information (NCEI); Global Ocean Monitoring and Observing (GOMO) program of the National Oceanic and Atmospheric Administration (NOAA) through the Cooperative Institute for Climate, Ocean, &amp; Ecosystem Studies (CIOCES) under NOAA Cooperative Agreement [100007298, NA20OAR4320271, 2022-2012]; NOAA GOMO [100007298]; BONUS INTEGRAL project [03F0773A]; Australian Antarctic Program Partnership; Integrated Marine Observing System; EU Horizon 2020 action SO-CHIC [821001]; Swedish Research Council FORMAS [2018-01398]; NOAA [NA19NES4320002, NA20OAR4320472]; Initiative and Networking Fund of the Helmholtz Association through the project Digital Earth [ZT-0025]; United States National Science Foundation [OCE-2140395]; CIMAS [NA20OAR4320472]; [CNPq/PQ2 309708/2021-4]; Swedish Research Council [2018-01398] Funding Source: Swedish Research Council; NERC [NE/R015953/1] Funding Source: UKRI; Formas [2018-01398] Funding Source: Formas</t>
  </si>
  <si>
    <t>EU(European Union (EU)); NORCE Climate; Prociencia/UERJ 2022-2024; IEO RADPROF project; UK Climate Linked Atlantic Sector Science (CLASS) NERC National Capability Long-term Single Centre Science Programme; BOCATS2 project - MCIN/AEI; NOAA Ocean Acidification Program (OAP)(National Oceanic Atmospheric Admin (NOAA) - USA); NOAA National Centers for Environmental Information (NCEI)(National Oceanic Atmospheric Admin (NOAA) - USA); Global Ocean Monitoring and Observing (GOMO) program of the National Oceanic and Atmospheric Administration (NOAA) through the Cooperative Institute for Climate, Ocean, &amp; Ecosystem Studies (CIOCES) under NOAA Cooperative Agreement; NOAA GOMO; BONUS INTEGRAL project; Australian Antarctic Program Partnership; Integrated Marine Observing System; EU Horizon 2020 action SO-CHIC; Swedish Research Council FORMAS(Swedish Research Council Formas); NOAA(National Oceanic Atmospheric Admin (NOAA) - USA); Initiative and Networking Fund of the Helmholtz Association through the project Digital Earth; United States National Science Foundation(National Science Foundation (NSF)); CIMAS; ; Swedish Research Council(Swedish Research Council); NERC(UK Research &amp; Innovation (UKRI)Natural Environment Research Council (NERC)); Formas(Swedish Research Council Formas)</t>
  </si>
  <si>
    <t>Nico Lange was funded by EU Horizon 2020 through the EuroSea action (grant agreement 862626). Siv K. Lauvset acknowledges internal strategic funding from NORCE Climate. Leticia Cotrim da Cunha was supported by Prociencia/UERJ 2022-2024 and CNPq/PQ2 309708/2021-4 grants. Marta Alvarez was supported by IEO RADPROF project. Peter J. Brown was partly funded by the UK Climate Linked Atlantic Sector Science (CLASS) NERC National Capability Long-term Single Centre Science Programme (grant NE/R015953/1). Anton Velo and Fiz F. Perez were supported by BOCATS2 (PID2019-104279GB-C21) project funded by MCIN/AEI/10.13039/501100011033 and contributing to WA-TER:iOS CSIC PTI. Funding for Li-Qing Jiang and the CODAPNA development team (Simone R. Alin, Leticia Barbero, Richard A. Feely, Brendan R. Carter) comes from the NOAA Ocean Acidification Program (OAP, project number: OAP 1903-1903) and NOAA National Centers for Environmental Information (NCEI). Brendan R. Carter thanks the Global Ocean Monitoring and Observing (GOMO) program of the National Oceanic and Atmospheric Administration (NOAA) for funding their contributions (project no. 100007298) through the Cooperative Institute for Climate, Ocean, &amp; Ecosystem Studies (CIOCES) under NOAA Cooperative Agreement NA20OAR4320271, contribution no. 2022-2012. Richard A. Feely and Simone R. Alin acknowledge the NOAA GOMO (project no. 100007298) and the NOAA Pacific Marine Environmental Laboratory. Henry C. Bittig gratefully acknowledges financial support by the BONUS INTEGRAL project (grant no. 03F0773A). Bronte Tilbrook was supported through the Australian Antarctic Program Partnership and the Integrated Marine Observing System. Matthew P. Humphreys acknowledges EU Horizon 2020 action SO-CHIC (grant no. 821001). Adam Ulfsbo was supported by the Swedish Research Council FORMAS (grant no. 2018-01398). Jens Daniel Muller acknowledges support from the European Union's Horizon 2020 research and innovation program under grant agreement no. 821003 (project 4C). Alex Kozyr and Li-Qing Jiang were supported by NOAA grant NA19NES4320002 (Cooperative Institute for Satellite Earth System Studies - CISESS) at the University of Maryland/ESSIC. GLODAP also acknowledge funding from the Initiative and Networking Fund of the Helmholtz Association through the project Digital Earth (ZT-0025) and from the United States National Science Foundation grant OCE-2140395 to the Scientific Committee on Oceanic Research (SCOR, United States) for International Ocean Carbon Coordination Project. The contribution of Leticia Barbero was carried out under the auspices of CIMAS and NOAA, cooperative agreement no. NA20OAR4320472.</t>
  </si>
  <si>
    <t>10.5194/essd-14-5543-2022</t>
  </si>
  <si>
    <t>7E4PZ</t>
  </si>
  <si>
    <t>Green Submitted, Green Accepted, Green Published, gold</t>
  </si>
  <si>
    <t>WOS:000901153400001</t>
  </si>
  <si>
    <t>Mildenberger, J; Bruheim, I; Solibakke, P; Atanassova, M</t>
  </si>
  <si>
    <t>Mildenberger, Jennifer; Bruheim, Inge; Solibakke, Per; Atanassova, Miroslava</t>
  </si>
  <si>
    <t>Development of a protein concentrate for human consumption by direct enzymatic hydrolysis of antarctic krill (Euphausia superba)</t>
  </si>
  <si>
    <t>LWT-FOOD SCIENCE AND TECHNOLOGY</t>
  </si>
  <si>
    <t>Mesopelagic organisms; Food-grade proteases; Protein yield; Cost-benefit analysis; Antioxidant capacity; Astaxanthin; Allergens</t>
  </si>
  <si>
    <t>BIOACTIVE PEPTIDES; OIL; EXTRACTION; SHRIMP; FOOD</t>
  </si>
  <si>
    <t>Krill protein concentrates could be part of human diets as high-quality food ingredients. We have focused on food-grade enzyme hydrolysis of Antarctic krill Euphausia superba, aiming at the production of well-defined protein, phospholipid, and shell fractions. Different enzyme combinations, concentrations, and reaction times of three commercial proteases have been tested for effects on protein yield and lipid content in the soluble protein fraction. The highest protein yield (10.1 g/100 g of the initial wet weight) was obtained in the highest enzyme concentration and longest reaction time treatment, however, associated with lower cost benefits. The lipid content in the protein fractions was not statistically different among treatments, ranging within 9.2-15.8 g/ 100 g wet weight. The protein fractions were screened for antioxidative capacity by ORAC and minimum stable astaxanthin content. Two of the protein concentrates were fractionated by size exclusion chromatography, to define their peptide profiles. 91% of the total peptides for the single enzyme treatment and 95% after combined enzyme treatment had predominant molecular weights below 1 kDa. The detection of crustacean tropomyosin was strongly reduced after enzymatic hydrolysis in all samples. As part of food safety assessment, all hydrolysates were well tolerated by human monocytes, having no impairing effect on their viability.</t>
  </si>
  <si>
    <t>[Mildenberger, Jennifer; Solibakke, Per; Atanassova, Miroslava] Moreforsking, N-6009 Alesund, Norway; [Bruheim, Inge] Rimfrost AS, Alesund, Norway</t>
  </si>
  <si>
    <t>Atanassova, M (corresponding author), Moreforsking, N-6009 Alesund, Norway.</t>
  </si>
  <si>
    <t>miroslava.atanassova@moreforsking.no</t>
  </si>
  <si>
    <t>Solibakke, Per/0000-0002-8070-5347; Mildenberger, Jennifer/0000-0001-8371-3652; Atanassova, Miroslava/0000-0001-7636-3084</t>
  </si>
  <si>
    <t>Norwegian Research Council [309957]; Sparebanken More, Norway [55013/2019]</t>
  </si>
  <si>
    <t>Norwegian Research Council(Research Council of Norway); Sparebanken More, Norway</t>
  </si>
  <si>
    <t>This work has been funded by the Norwegian Research Council in the framework of the Innovation for the Food Industry 2019 program under grant No. 309957, KrillSOFT-ONBOARD SMARTMANUFACTURING OF ANTARCTIC KRILL PROTEIN FOR TARGETED HUMAN APPLICATION. The described analyses and experimentation are part of the WP1 activities of the project. The experimental equipment used for carrying out this work was kindly supported through a grant to the Morelab infrastructure, Alesund, by Sparebanken More, Norway [project 55013/2019].</t>
  </si>
  <si>
    <t>0023-6438</t>
  </si>
  <si>
    <t>1096-1127</t>
  </si>
  <si>
    <t>LWT-FOOD SCI TECHNOL</t>
  </si>
  <si>
    <t>LWT-Food Sci. Technol.</t>
  </si>
  <si>
    <t>10.1016/j.lwt.2022.114254</t>
  </si>
  <si>
    <t>Food Science &amp; Technology</t>
  </si>
  <si>
    <t>7H9MZ</t>
  </si>
  <si>
    <t>WOS:000903521400003</t>
  </si>
  <si>
    <t>Viquerat, S; Waluda, CM; Kennedy, AS; Jackson, JA; Hevia, M; Carroll, EL; Buss, DL; Burkhardt, E; Thain, S; Smith, P; Secchi, ER; Santora, JA; Reiss, C; Lindstrom, U; Krafft, BA; Gittins, G; Dalla Rosa, L; Biuw, M; Herr, H</t>
  </si>
  <si>
    <t>Viquerat, Sacha; Waluda, Claire M.; Kennedy, Amy S.; Jackson, Jennifer A.; Hevia, Marta; Carroll, Emma L.; Buss, Danielle L.; Burkhardt, Elke; Thain, Scott; Smith, Patrick; Secchi, Eduardo R.; Santora, Jarrod A.; Reiss, Christian; Lindstrom, Ulf; Krafft, Bjorn A.; Gittins, George; Dalla Rosa, Luciano; Biuw, Martin; Herr, Helena</t>
  </si>
  <si>
    <t>Identifying seasonal distribution patterns of fin whales across the Scotia Sea and the Antarctic Peninsula region using a novel approach combining habitat suitability models and ensemble learning methods</t>
  </si>
  <si>
    <t>species distribution model; random forest classifier; opportunistic data analysis; Balaenoptera physalus; Southern Ocean; data compilation</t>
  </si>
  <si>
    <t>BALAENOPTERA-PHYSALUS; BALEEN WHALES; ABUNDANCE; WATERS; KRILL; BLUE</t>
  </si>
  <si>
    <t>Following their near extirpation by industrial whaling of the 20(th) century, the population status of Southern Hemisphere fin whales (SHFW) remains unknown. Systematic surveys estimating fin whale abundance in the Southern Ocean are not yet available. Records of fin whale sightings have been collected by a variety of organisations over the past few decades, incorporating both opportunistic data and dedicated survey data. Together, these isolated data sets represent a potentially valuable source of information on the seasonality, distribution and abundance of SHFW. We compiled records across 40 years from the Antarctic Peninsula and Scotia Sea from multiple sources and used a novel approach combining ensemble learning and a maximum entropy model to estimate abundance and distribution of SHFW in this region. Our results show a seasonal distribution pattern with pronounced centres of distribution from January-March along the West Antarctic Peninsula. Our new approach allowed us to estimate abundance of SHFW for discrete areas from a mixed data set of mainly opportunistic presence only data.</t>
  </si>
  <si>
    <t>[Viquerat, Sacha; Herr, Helena] Univ Hamburg, Inst Marine Ecosyst &amp; Fisheries Sci, Ctr Earth Syst Res &amp; Sustainabil CEN, Hamburg, Germany; [Viquerat, Sacha; Burkhardt, Elke; Herr, Helena] Helmholtz Ctr Polar and Marine Res, Alfred Wegener Inst, Bremerhaven, Germany; [Waluda, Claire M.; Jackson, Jennifer A.; Buss, Danielle L.] British Antarctic Survey, Nat Environm Res Council, Cambridge, England; [Kennedy, Amy S.] Univ Washington, Cooperat Inst Climate Ocean &amp; Ecosyst Studies CICO, Ocean, Seattle, WA USA; [Hevia, Marta] Fdn Cethus, Buenos Aires, Argentina; [Carroll, Emma L.] Univ Auckland Waipapa Taumata Rau, Sch Biol Sci, Auckland, New Zealand; [Buss, Danielle L.] Univ Cambridge, Dept Archaeol, Cambridge, England; [Thain, Scott; Smith, Patrick; Gittins, George] Fishery Patrol Vessel Pharos SG, Leith, Scotland; [Secchi, Eduardo R.; Dalla Rosa, Luciano] Univ Fed Rio Grande FURG, Lab Ecol &amp; Conservacao Megafauna Marinha ECOMEGA, Inst Oceanog, Rio Grande, Brazil; [Santora, Jarrod A.] NOAA, Fisheries Ecol Div, Southwest Fisheries Sci Ctr, Natl Marine Fisheries Serv, Santa Cruz, CA USA; [Santora, Jarrod A.] Univ Calif Santa Cruz, Dept Appl Math, Santa Cruz, CA USA; [Reiss, Christian] NOAA, Antarctic Ecosyst Res Div, Southwest Fisheries Sci Ctr, Natl Marine Fisheries Serv, La Jolla, CA USA; [Lindstrom, Ulf; Krafft, Bjorn A.; Biuw, Martin] Inst Marine Res, Tromso, Norway; [Lindstrom, Ulf] UiT Arctic Univ Norway, Tromso, Norway</t>
  </si>
  <si>
    <t>University of Hamburg; Helmholtz Association; Alfred Wegener Institute, Helmholtz Centre for Polar &amp; Marine Research; UK Research &amp; Innovation (UKRI); Natural Environment Research Council (NERC); NERC British Antarctic Survey; University of Washington; University of Washington Seattle; University of Cambridge; Universidade Federal do Rio Grande; National Oceanic Atmospheric Admin (NOAA) - USA; University of California System; University of California Santa Cruz; National Oceanic Atmospheric Admin (NOAA) - USA; Institute of Marine Research - Norway; UiT The Arctic University of Tromso</t>
  </si>
  <si>
    <t>Viquerat, S (corresponding author), Univ Hamburg, Inst Marine Ecosyst &amp; Fisheries Sci, Ctr Earth Syst Res &amp; Sustainabil CEN, Hamburg, Germany.;Viquerat, S (corresponding author), Helmholtz Ctr Polar and Marine Res, Alfred Wegener Inst, Bremerhaven, Germany.</t>
  </si>
  <si>
    <t>sacha.viquerat@awi.de</t>
  </si>
  <si>
    <t>Kennedy, Amy S./O-9947-2017; Carroll, Emma/U-9133-2019; Rosa, Luciano Dalla/D-5660-2012; Buss, Danny/JDW-2244-2023; Jackson, Jennifer A/E-7997-2013</t>
  </si>
  <si>
    <t>Carroll, Emma/0000-0003-3193-7288; Rosa, Luciano Dalla/0000-0002-1583-6471; Jackson, Jennifer/0000-0003-4158-1924; Viquerat, Sacha/0000-0002-2519-7319</t>
  </si>
  <si>
    <t>Southern Ocean Research Partnership of the International Whaling Commission (IWC-SORP); German Research Foundation (DFG) [SPP1158, HE 5696/3-1]; IWC-SORP; Whale and Dolphin Conservation; Fondation Prince Albert II de Monaco; National Council for Scientific and Technological Development (CNPq) under the Ministry of Science, Technology, and Innovations (MCTI); DARWIN [DPLUS057]; EU [1594]; WWF UK; South Georgia (Islas Georgias del Sur) Heritage Trust; Friends of South Georgia Island (Islas Georgias del Sur); UK Foreign and Commonwealth Office; Natural Environment Research Council; Institute of Marine Research (IMR) in Norway; Norwegian Ministry of Trade, Industry and Fisheries (NFD) [15208]; UK Research and Innovation - Natural Environment Research Council; Polar Regions Department, UK Government; Association of Responsible Krill Harvesting Companies (ARK); Aker Biomarine AS</t>
  </si>
  <si>
    <t>Southern Ocean Research Partnership of the International Whaling Commission (IWC-SORP); German Research Foundation (DFG)(German Research Foundation (DFG)); IWC-SORP; Whale and Dolphin Conservation; Fondation Prince Albert II de Monaco; National Council for Scientific and Technological Development (CNPq) under the Ministry of Science, Technology, and Innovations (MCTI)(Conselho Nacional de Desenvolvimento Cientifico e Tecnologico (CNPQ)Fundacao de Apoio a Pesquisa do Distrito Federal (FAPDF)); DARWIN; EU(European Union (EU)); WWF UK; South Georgia (Islas Georgias del Sur) Heritage Trust; Friends of South Georgia Island (Islas Georgias del Sur); UK Foreign and Commonwealth Office; Natural Environment Research Council(UK Research &amp; Innovation (UKRI)Natural Environment Research Council (NERC)); Institute of Marine Research (IMR) in Norway; Norwegian Ministry of Trade, Industry and Fisheries (NFD); UK Research and Innovation - Natural Environment Research Council(UK Research &amp; Innovation (UKRI)Natural Environment Research Council (NERC)); Polar Regions Department, UK Government; Association of Responsible Krill Harvesting Companies (ARK); Aker Biomarine AS</t>
  </si>
  <si>
    <t>This joint data analysis was funded by the Southern Ocean Research Partnership of the International Whaling Commission (IWC-SORP) within the project Recovery status and ecology of Southern Hemisphere fin whales (Balaenoptera physalus). This work was supported by the German Research Foundation (DFG) in the framework of the priority program 'Antarctic Research with comparative investigations in Arctic ice areas', SPP1158, grant HE 5696/3-1. Work by Fundacion Cethus was funded by IWC-SORP, Whale and Dolphin Conservation and Fondation Prince Albert II de Monaco. Work by projects Baleias and Interbiota of the Brazilian Antarctic Programme was funded by the National Council for Scientific and Technological Development (CNPq) under the Ministry of Science, Technology, and Innovations (MCTI). British Antarctic Survey (BAS) expeditions were funded by DARWIN grant DPLUS057, EU BEST 2.0 Medium Grant 1594, WWF UK, South Georgia (Islas Georgias del Sur) Heritage Trust, the Friends of South Georgia Island (Islas Georgias del Sur) and the UK Foreign and Commonwealth Office. These studies form part of the Ecosystems component of the British Antarctic Survey Polar Science for Planet Earth Programme, funded by The Natural Environment Research Council. The contributed sighting data of fin whales from the IMR/BAS survey was supported by the Institute of Marine Research (IMR) in Norway and the Norwegian Ministry of Trade, Industry and Fisheries (NFD, via project number 15208). The BAS-UK contribution was supported by the UK Research and Innovation - Natural Environment Research Council and Polar Regions Department, UK Government. Additional support was provided by the Association of Responsible Krill Harvesting Companies (ARK; www.ark-krill.org), and Aker Biomarine AS.</t>
  </si>
  <si>
    <t>10.3389/fmars.2022.1040512</t>
  </si>
  <si>
    <t>7L2AB</t>
  </si>
  <si>
    <t>WOS:000905773700001</t>
  </si>
  <si>
    <t>Raimondo, D; Young, BE; Brooks, TM; Cardoso, P; van der Colff, D; Dias, BFD; Vercillo, U; de Souza, E; Juslén, A; Hyvarinen, E; von Staden, L; Tolley, K; McGowan, PJK</t>
  </si>
  <si>
    <t>Raimondo, Domitilla; Young, Bruce E.; Brooks, Thomas M.; Cardoso, Pedro; van der Colff, Dewidine; de Souza Dias, Braulio Ferreira; Vercillo, Ugo; de Souza, Estevao; Juslen, Aino; Hyvarinen, Esko; von Staden, Lize; Tolley, Krystal; McGowan, Philip J. K.</t>
  </si>
  <si>
    <t>Using Red List Indices to monitor extinction risk at national scales</t>
  </si>
  <si>
    <t>CONSERVATION SCIENCE AND PRACTICE</t>
  </si>
  <si>
    <t>disaggregated global Red List Index; indicators; national Red List Index; species monitoring</t>
  </si>
  <si>
    <t>BIODIVERSITY; CONSERVATION; INDICATORS; PROGRESS; DRIVES</t>
  </si>
  <si>
    <t>The Red List Index (RLI) measures change in the aggregate extinction risk of species. It is a key indicator for tracking progress toward nine of the Aichi and many proposed post-2020 Global Biodiversity Framework Targets. Here, we consider two formulations of the RLI used for reporting biodiversity trends at national scales. Disaggregated global RLIs measure changing national contributions to global extinction risk and are currently based on five taxonomic groups, while national RLIs measure changing national extinction risk and are based on taxonomic groups assessed multiple times in country. For 74% of nations, the disaggregated global RLI is currently based on three or fewer taxonomic groups. Meanwhile, national RLIs from selected pilot countries Finland, South Africa, and Brazil are computed from twelve, eight, and nine taxonomic groups, respectively. The national RLI and the disaggregated global RLI measure different aspects of biodiversity, in that the former detects national trends in populations of species for which each country is responsible while the latter provides standardized comparisons of nations' contributions to the global extinction risk of the same species groups. As governments commit to the post-2020 Global Biodiversity Framework, we encourage them to monitor a standard set of taxonomic groups representing different biomes using both RLI formulations to ensure effective target tracking and accurate feedback on their conservation investments.</t>
  </si>
  <si>
    <t>[Raimondo, Domitilla; van der Colff, Dewidine; von Staden, Lize; Tolley, Krystal] Biodivers Assessment &amp; Monitoring Directorate Sou, Pretoria, South Africa; [Young, Bruce E.] NatureServe, Arlington, VA USA; [Brooks, Thomas M.] Int Union Conservat Nat IUCN, Gland, Switzerland; [Brooks, Thomas M.] Univ Philippines Los Banos, World Agroforestry Ctr ICRAF, Laguna, Philippines; [Brooks, Thomas M.] Univ Tasmania, Inst Marine &amp; Antarctic Studies, Hobart, Tas, Australia; [Cardoso, Pedro; Juslen, Aino] Univ Helsinki, Finnish Museum Nat Hist LUOMUS, Helsinki, Finland; [de Souza Dias, Braulio Ferreira] Univ Brasilia, Inst Ciencias Biol, Dept Ecol, Brasilia, DF, Brazil; [Vercillo, Ugo; de Souza, Estevao] Inst Chico Mendes Conservnao Biodiversidade ICMBi, Brasilia, DF, Brazil; [Hyvarinen, Esko] Minist Environm, Helsinki, Finland; [Tolley, Krystal] Univ Johannesburg, Ctr Ecol Genom &amp; Wildlife Conservat, Johannesburg, South Africa; [McGowan, Philip J. K.] Newcastle Univ, Sch Nat &amp; Environm Sci, Newcastle Upon Tyne, Tyne &amp; Wear, England</t>
  </si>
  <si>
    <t>Nature Conservancy; University of the Philippines System; University of the Philippines Los Banos; CGIAR; World Agroforestry (ICRAF); University of Tasmania; University of Helsinki; Universidade de Brasilia; University of Johannesburg; Newcastle University - UK</t>
  </si>
  <si>
    <t>Raimondo, D (corresponding author), Biodivers Assessment &amp; Monitoring Directorate Sou, Threatened Specks Unit, Private Bag X101, Pretoria, South Africa.</t>
  </si>
  <si>
    <t>d.raimondo@sanbi.org.za; ainajuslen@helsinki.fi</t>
  </si>
  <si>
    <t>Cardoso, Pedro/AAY-9650-2020; Cardoso, Pedro/A-8820-2008</t>
  </si>
  <si>
    <t>Raimondo, Domitilla/0000-0003-3998-752X; Juslen, Aino/0000-0001-9434-5250; Brooks, Thomas/0000-0001-8159-3116; Eichler Vercillo, Ugo/0000-0001-6581-373X; Van der Colff, Dewidine/0000-0002-0906-7098; Cardoso, Pedro/0000-0001-8119-9960</t>
  </si>
  <si>
    <t>2578-4854</t>
  </si>
  <si>
    <t>CONSERV SCI PRACT</t>
  </si>
  <si>
    <t>Conserv. Sci. Pract.</t>
  </si>
  <si>
    <t>10.1111/csp2.12854</t>
  </si>
  <si>
    <t>7Q6TP</t>
  </si>
  <si>
    <t>WOS:000899745400001</t>
  </si>
  <si>
    <t>Meyer, ACS; Cullen, JT; Grundle, DS</t>
  </si>
  <si>
    <t>Meyer, Annaliese C. S.; Cullen, Jay T.; Grundle, Damian S.</t>
  </si>
  <si>
    <t>Nitrous Oxide Distributions in the Oxygenated Water Column of the Sargasso Sea</t>
  </si>
  <si>
    <t>ATMOSPHERE-OCEAN</t>
  </si>
  <si>
    <t>nitrous oxide; Bermuda Atlantic Time Series; air-sea gas exchange; greenhouse gas; nitrification; cavity ring down spectrometer</t>
  </si>
  <si>
    <t>ANTARCTIC INTERMEDIATE WATER; SUB-ARCTIC PACIFIC; ARCHAEAL NITRIFICATION; DIFFUSION-COEFFICIENTS; EL-NINO; N2O; DENITRIFICATION; AVAILABILITY; VARIABILITY; CIRCULATION</t>
  </si>
  <si>
    <t>This study presents dissolved nitrous oxide (N2O) concentrations in the water column at the Bermuda Atlantic Time-series Study (BATS) station and uses a subset of these measurements to estimate air-to-sea flux for four specific time points between September 2018 and June 2019. N2O concentrations at BATS were in the range of 4.0 nmol L-1-16.9 nmol L-1, with vertical profiles which were the mirror inverse of dissolved oxygen. Regardless of season, N2O concentration maxima were found within the oxygen minimum zone (OMZ). The highest maximum N2O values were observed in November and lowest in October. As the water column at BATS remains consistently at dissolved oxygen concentrations greater than 140 mu mol L-1, and therefore aerobic, we assume that the bulk of N2O production occurs through nitrification. A nitrification source is supported by a correlation between excess N2O (Delta N2O) below the mixed layer, apparent oxygen utilization (AOU) and nitrate concentrations. We estimate a pooled average yield of 0.027% to 0.038% N2O from nitrification at BATS. Finally, estimates of air-sea exchange of N2O using regional average monthly wind speeds indicated that this region acts as a weak source or a sink of atmospheric N2O, and varies between months.</t>
  </si>
  <si>
    <t>[Meyer, Annaliese C. S.] MIT, Earth Atmospher &amp; Planetary Sci, 77 Massachusetts Ave, Cambridge, MA 02139 USA; [Meyer, Annaliese C. S.] Woods Hole Oceanog Inst, Marine Chem &amp; Geochem, Falmouth, MA USA; [Meyer, Annaliese C. S.; Grundle, Damian S.] Bermuda Inst Ocean Sci, St Georges, Bermuda; [Meyer, Annaliese C. S.] MIT WHOI Joint Program Oceanog, Chem Oceanog, Falmouth, MA USA; [Cullen, Jay T.] Univ Victoria, Sch Earth &amp; Ocean Sci, Victoria, BC, Canada; [Grundle, Damian S.] Arizona State Univ, Sch Ocean Futures, Tempe, AZ USA; [Grundle, Damian S.] Arizona State Univ, Sch Earth &amp; Space Explorat, Tempe, AZ USA</t>
  </si>
  <si>
    <t>Massachusetts Institute of Technology (MIT); Woods Hole Oceanographic Institution; Bermuda Institute of Ocean Sciences; University of Victoria; Arizona State University; Arizona State University-Tempe; Arizona State University; Arizona State University-Tempe</t>
  </si>
  <si>
    <t>Meyer, ACS (corresponding author), Bermuda Inst Ocean Sci, St Georges, Bermuda.;Meyer, ACS (corresponding author), MIT, 77 Massachusetts Ave, Cambridge, MA 02139 USA.;Meyer, ACS (corresponding author), Woods Hole Oceanog Inst, Falmouth, MA 02543 USA.;Meyer, ACS (corresponding author), MIT WHOI Joint Program Oceanog, Falmouth, MA 02543 USA.</t>
  </si>
  <si>
    <t>acsmeyer@mit.edu</t>
  </si>
  <si>
    <t>Cullen, Jay T./0000-0002-6484-2421; Meyer, Annaliese/0000-0001-7642-9100</t>
  </si>
  <si>
    <t>Bermuda Institute of Ocean Sciences</t>
  </si>
  <si>
    <t>This work was supported by Bermuda Institute of Ocean Sciences: [Grant Number CABIOS].</t>
  </si>
  <si>
    <t>0705-5900</t>
  </si>
  <si>
    <t>1480-9214</t>
  </si>
  <si>
    <t>ATMOS OCEAN</t>
  </si>
  <si>
    <t>Atmos.-Ocean</t>
  </si>
  <si>
    <t>MAY 27</t>
  </si>
  <si>
    <t>10.1080/07055900.2022.2153325</t>
  </si>
  <si>
    <t>Meteorology &amp; Atmospheric Sciences; Oceanography</t>
  </si>
  <si>
    <t>G8NY0</t>
  </si>
  <si>
    <t>WOS:000899113200001</t>
  </si>
  <si>
    <t>Liang, Z; McCabe, K; Fawcett, SE; Forrer, HJ; Hashihama, F; Jeandel, C; Marconi, D; Planquette, H; Saito, MA; Sohm, JA; Thomas, RK; Letscher, RT; Knapp, AN</t>
  </si>
  <si>
    <t>Liang, Zhou; McCabe, Kelly; Fawcett, Sarah E. E.; Forrer, Heather J. J.; Hashihama, Fuminori; Jeandel, Catherine; Marconi, Dario; Planquette, Helene; Saito, Mak A. A.; Sohm, Jill A. A.; Thomas, Rachel K. K.; Letscher, Robert T. T.; Knapp, Angela N. N.</t>
  </si>
  <si>
    <t>A global ocean dissolved organic phosphorus concentration database (DOPv2021)</t>
  </si>
  <si>
    <t>SCIENTIFIC DATA</t>
  </si>
  <si>
    <t>ALKALINE-PHOSPHATASE ACTIVITY; STATION ALOHA; COASTAL OCEAN; SARGASSO SEA; NORTH; NITROGEN; MATTER; BIOGEOCHEMISTRY; PHOTOOXIDATION; COMMUNITY</t>
  </si>
  <si>
    <t>Dissolved organic phosphorus (DOP) concentration distributions in the global surface ocean inform our understanding of marine biogeochemical processes such as nitrogen fixation and primary production. The spatial distribution of DOP concentrations in the surface ocean reflect production by primary producers and consumption as an organic nutrient by phytoplankton including diazotrophs and other microbes, as well as other loss processes such as photolysis. Compared to dissolved organic carbon and nitrogen, however, relatively few marine DOP concentration measurements have been made, largely due to the lack of automated analysis techniques. Here we present a database of marine DOP concentration measurements (DOPv2021) that includes new (n = 730) and previously published (n = 3140) observations made over the last similar to 30 years (1990-2021), including 1751 observations in the upper 50 m. This dataset encompasses observations from all major ocean basins including the poorly represented Indian, South Pacific, and Southern Oceans and provides insight into spatial distributions of DOP in the ocean. It is also valuable for researchers who work on marine primary production and nitrogen fixation.</t>
  </si>
  <si>
    <t>[Liang, Zhou; Forrer, Heather J. J.; Thomas, Rachel K. K.; Knapp, Angela N. N.] Florida State Univ, Dept Earth Ocean &amp;Atmospher Sci, Tallahassee, FL 32306 USA; [McCabe, Kelly] Univ Michigan, Copperat Inst Great Lakes Res CIGLR, Sch Environm &amp; Sustainabil, Ann Arbor, MI USA; [Fawcett, Sarah E. E.] Univ Cape Town, Fac Sci, Dept Oceanog, Cape Town, South Africa; [Fawcett, Sarah E. E.] Univ Cape Town, Marine &amp; Antarctic Res Ctr Innovat &amp; Sustainabil M, Cape Town, South Africa; [Hashihama, Fuminori] Tokyo Univ Marine Sci &amp; Technol, Dept Ocean Sci, Tokyo, Japan; [Jeandel, Catherine] Univ Toulouse, LEGOS, CNRS, IRD,CNES,UPS, Toulouse, France; [Marconi, Dario] Princeton Univ, Dept Geosci, Princeton, NJ USA; [Planquette, Helene] Univ Brest, CNRS, IRD, Ifremer,LEMAR, F-29280 Plouzane, France; [Saito, Mak A. A.] Woods Hole Oceanog Inst, Falmouth, MA USA; [Sohm, Jill A. A.] Univ Southern Calif, Dept Biol Sci, Los Angeles, CA USA; [Letscher, Robert T. T.] Univ New Hampshire, Earth Sci &amp; Ocean Proc Anal Lab, Durham, NH USA</t>
  </si>
  <si>
    <t>State University System of Florida; Florida State University; University of Michigan System; University of Michigan; University of Cape Town; University of Cape Town; Tokyo University of Marine Science &amp; Technology; Universite de Toulouse; Universite Toulouse III - Paul Sabatier; Centre National de la Recherche Scientifique (CNRS); Institut de Recherche pour le Developpement (IRD); Laboratoire d'Etudes en Geophysique et oceanographie spatiales; Princeton University; Universite de Bretagne Occidentale; Centre National de la Recherche Scientifique (CNRS); Ifremer; Institut de Recherche pour le Developpement (IRD); Woods Hole Oceanographic Institution; University of Southern California; University System Of New Hampshire; University of New Hampshire</t>
  </si>
  <si>
    <t>Liang, Z (corresponding author), Florida State Univ, Dept Earth Ocean &amp;Atmospher Sci, Tallahassee, FL 32306 USA.</t>
  </si>
  <si>
    <t>zl18c@fsu.edu</t>
  </si>
  <si>
    <t>Hashihama, Fuminori/O-1924-2014; Planquette, Helene/B-4990-2013</t>
  </si>
  <si>
    <t>Hashihama, Fuminori/0000-0003-3835-7681; Knapp, Angela/0000-0001-5575-3382; Liang, Zhou/0000-0002-4999-7097; Fawcett, Sarah/0000-0002-0878-6496; Planquette, Helene/0000-0002-2235-5158</t>
  </si>
  <si>
    <t>National Research Foundation [SANAP-129232]; South African Departments of Science and Innovation and Forestry, Fisheries and Environment; [NSF-OCE-1829797]; [NSF-OCE-1829916]; [NSF-OCE-1736652]; [NSF-OCE-1851420]; [NSF-OCE-0452883]</t>
  </si>
  <si>
    <t>National Research Foundation; South African Departments of Science and Innovation and Forestry, Fisheries and Environment; ; ; ; ;</t>
  </si>
  <si>
    <t>This research was funded by NSF-OCE-1829797 (ANK), NSF-OCE-1829916 (RTL), NSF-OCE-1736652 (DM via Daniel Sigman), NSF-OCE-1851420 (DM via Daniel Sigman), NSF-OCE-0452883 (MAS), the South African Departments of Science and Innovation and Forestry, Fisheries and Environment, as well as the National Research Foundation through SANAP-129232 (SEF). We are grateful to Dennis Hansell who was the Chief Scientist of the GoA cruise, Eric Webb, Chief Scientist of the WebbPacific2007 cruise, Kevin Speer and Sabine Mecking who were the Chief Scientists of the GO-SHIP 2017 P06 cruise, as well as Rolf Sonnerup and Brendan Carter who were the Chief Scientists of the GO-SHIP 2016 P18 cruise, and Thomas Ryan-Keogh who was the Chief Scientist of the SCALE 2019 cruise. We also gratefully acknowledge the GEOTRACES-SWINGS cruise scientists and crew (https://doi.org/10.17600/18001925) and SCALE cruise participants, particularly Raquel Flynn. Additionally, the OUTPACE dataset is managed by CNRS(1)-INSU(2). Finally, we gratefully acknowledge Mary Curci, Samantha Howe, Dylan Opitz, and Roberto Gamez, who helped measure DOP concentrations in this study.</t>
  </si>
  <si>
    <t>2052-4463</t>
  </si>
  <si>
    <t>SCI DATA</t>
  </si>
  <si>
    <t>Sci. Data</t>
  </si>
  <si>
    <t>10.1038/s41597-022-01873-7</t>
  </si>
  <si>
    <t>7C4FP</t>
  </si>
  <si>
    <t>Green Published, Green Submitted, gold</t>
  </si>
  <si>
    <t>WOS:000899770800001</t>
  </si>
  <si>
    <t>Di Natale, G; Turner, DD; Bianchini, G; Del Guasta, M; Palchetti, L; Bracci, A; Baldini, L; Maestri, T; Cossich, W; Martinazzo, M; Facheris, L</t>
  </si>
  <si>
    <t>Di Natale, Gianluca; Turner, David D.; Bianchini, Giovanni; Del Guasta, Massimo; Palchetti, Luca; Bracci, Alessandro; Baldini, Luca; Maestri, Tiziano; Cossich, William; Martinazzo, Michele; Facheris, Luca</t>
  </si>
  <si>
    <t>Consistency test of precipitating ice cloud retrieval properties obtained from the observations of different instruments operating at Dome C (Antarctica)</t>
  </si>
  <si>
    <t>ATMOSPHERIC MEASUREMENT TECHNIQUES</t>
  </si>
  <si>
    <t>MIXED-PHASE CLOUDS; SINGLE-SCATTERING PROPERTIES; PARTICLE-SIZE DISTRIBUTIONS; IN-SITU OBSERVATIONS; RADIATIVE PROPERTIES; SPECTRAL RADIANCE; WATER-VAPOR; CIRRUS; RADAR; SURFACE</t>
  </si>
  <si>
    <t>Selected case studies of precipitating ice clouds at Dome C (Antarctic Plateau) were used to test a new approach for the estimation of ice cloud reflectivity at 24 GHz (12.37 mm wavelength) using ground-based far infrared spectral measurements from the REFIR-PAD Fourier transform spectroradiometer and backscattering/depolarization lidar profiles. The resulting reflectivity was evaluated with the direct reflectivity measurements provided by a co-located micro rain radar (MRR) operating at 24 GHz, that was able to detect falling crystals with large particle size, typically above 600 mu m.To obtain the 24 GHz reflectivity, we used the particle effective diameter and the cloud optical depth retrieved from the far infrared spectral radiances provided by REFIR-PAD and the tropospheric co-located backscattering lidar to calculate the modal radius and the intercept of the particle size distribution. These parameters spanned in the wide ranges between 570-2400 mu m and 10-2-104 cm-5, respectively. The retrieved effective sizes and optical depths mostly varied in the ranges 70-250 mu m and 0.1-5, respectively. From these parameters, the theoretical reflectivity at 24 GHz was obtained by integrating the size distribution over different cross sections for various habit crystals provided by databases. From the comparison with the radar reflectivity measurements, we found that the hexagonal column-like habits, the columnar crystal aggregates, and the 5/6 branches bullet rosettes showed the best agreement with the MRR observations. The dispersion coefficient of the crystal particle size distribution was assumed in the range 0-2 according to the temperature dependence found in previous studies. The retrieved values of the intercept and slope were found in good agreement with these studies. The presence of the inferred habits was confirmed by the crystal images taken by the ICE-CAMERA, operating in proximity of REFIR-PAD and the MRR. In particular, the occurrence of hexagonal column-like ice crystals was confirmed by the presence of 22 circle solar halos, detected by the HALO-CAMERA. The average crystal lengths obtained from the retrieved size distribution were also compared to those estimated from the ICE-CAMERA images. The agreement between the two results confirmed that the retrieved parameters of the particle size distributions correctly reproduced the observations.</t>
  </si>
  <si>
    <t>[Di Natale, Gianluca; Bianchini, Giovanni; Del Guasta, Massimo; Palchetti, Luca] CNR, INO, Via Madonna Piano 10, Sesto Fiorentino, Firenze, Italy; [Turner, David D.] NOAA, OAR, Global Syst Lab, Boulder, CO USA; [Bracci, Alessandro; Baldini, Luca] CNR, ISAC, Rome, Italy; [Bracci, Alessandro; Maestri, Tiziano; Cossich, William; Martinazzo, Michele] Alma Mater Studiorum Univ Bologna, Dept Phys &amp; Astron Augusto Righi, Bologna, Italy; [Facheris, Luca] Univ Florence, Dept Informat Engn, Via Santa Marta 3, Florence, Italy</t>
  </si>
  <si>
    <t>Consiglio Nazionale delle Ricerche (CNR); Istituto Nazionale di Ottica (INO-CNR); National Oceanic Atmospheric Admin (NOAA) - USA; Consiglio Nazionale delle Ricerche (CNR); Istituto di Scienze dell'Atmosfera e del Clima (ISAC-CNR); University of Bologna; University of Florence</t>
  </si>
  <si>
    <t>Di Natale, G (corresponding author), CNR, INO, Via Madonna Piano 10, Sesto Fiorentino, Firenze, Italy.</t>
  </si>
  <si>
    <t>gianluca.dinatale@ino.cnr.it</t>
  </si>
  <si>
    <t>Maestri, Tiziano/JFK-9151-2023; Bianchini, Giovanni/ABD-3585-2020; Cossich, William/AAW-7147-2021</t>
  </si>
  <si>
    <t>Maestri, Tiziano/0000-0001-9582-5029; Bianchini, Giovanni/0000-0002-5400-7721; Cossich, William/0000-0002-0349-1488; del guasta, massimo/0000-0002-1042-0370; Bracci, Alessandro/0000-0001-7047-6213; Di Natale, Gianluca/0000-0002-9149-7926</t>
  </si>
  <si>
    <t>National Institute of Environmental Health Sciences; [T32ES007126]; [K01ES32837]; [R21ES032928]</t>
  </si>
  <si>
    <t>National Institute of Environmental Health Sciences(United States Department of Health &amp; Human ServicesNational Institutes of Health (NIH) - USANIH National Institute of Environmental Health Sciences (NIEHS)); ; ;</t>
  </si>
  <si>
    <t>This article was supported by grants from the National Institute of Environmental Health Sciences T32ES007126, K01ES32837, and R21ES032928</t>
  </si>
  <si>
    <t>1867-1381</t>
  </si>
  <si>
    <t>1867-8548</t>
  </si>
  <si>
    <t>ATMOS MEAS TECH</t>
  </si>
  <si>
    <t>Atmos. Meas. Tech.</t>
  </si>
  <si>
    <t>10.5194/amt-15-7235-2022</t>
  </si>
  <si>
    <t>7C3ZT</t>
  </si>
  <si>
    <t>WOS:000899755500001</t>
  </si>
  <si>
    <t>Styczynski, M; Rogowska, A; Nyabayo, C; Decewicz, P; Romaniuk, F; Paczkowski, C; Szakiel, A; Suessmuth, R; Dziewit, L</t>
  </si>
  <si>
    <t>Styczynski, Michal; Rogowska, Agata; Nyabayo, Christine; Decewicz, Przemyslaw; Romaniuk, Filip; Paczkowski, Cezary; Szakiel, Anna; Suessmuth, Roderich; Dziewit, Lukasz</t>
  </si>
  <si>
    <t>Heterologous production and characterization of a pyomelanin of Antarctic Pseudomonas sp. ANT_H4: a metabolite protecting against UV and free radicals, interacting with iron from minerals and exhibiting priming properties toward plant hairy roots</t>
  </si>
  <si>
    <t>MICROBIAL CELL FACTORIES</t>
  </si>
  <si>
    <t>Antarctica; Biopolymer; Pseudomonas; Priming of hairy roots; Pyomelanin</t>
  </si>
  <si>
    <t>SECRETED PYOMELANIN; HUMIC ACIDS; ANNOTATION; CHITOSAN; DATABASE; MELANIN; GENOME; GROWTH; SEED</t>
  </si>
  <si>
    <t>Background: Antarctica has one of the most extreme environments in the world. This region is inhabited by specifically adapted microorganisms that produce various unique secondary metabolites (e.g. pigments) enabling their survival under the harsh environmental conditions. It was already shown that these natural, biologically active molecules may find application in various fields of biotechnology. Results: In this study, a cold-active brown-pigment-producing Pseudomonas sp. ANT_H4 strain was characterized. In-depth genomic analysis combined with the application of a fosmid expression system revealed two different pathways of melanin-like compounds biosynthesis by the ANT_H4 strain. The chromatographic behavior and Fourier-transform infrared spectroscopic analyses allowed for the identification of the extracted melanin-like compound as a pyomelanin. Furthermore, optimization of the production and thorough functional analyses of the pyomelanin were performed to test its usability in biotechnology. It was confirmed that ANT_H4-derived pyomelanin increases the sun protection factor, enables scavenging of free radicals, and interacts with the iron from minerals. Moreover, it was shown for the first time that pyomelanin exhibits priming properties toward Calendula officinalis hairy roots in in vitro cultures. Conclusions: Results of the study indicate the significant biotechnological potential of ANT_H4-derived pyomelanin and open opportunities for future applications. Taking into account protective features of analyzed pyomelanin it may be potentially used in medical biotechnology and cosmetology. Especially interesting was showing that pyomelanin exhibits priming properties toward hairy roots, which creates a perspective for its usage for the development of novel and sustainable agrotechnical solutions.</t>
  </si>
  <si>
    <t>[Styczynski, Michal; Decewicz, Przemyslaw; Romaniuk, Filip; Dziewit, Lukasz] Univ Warsaw, Inst Microbiol, Fac Biol, Dept Environm Microbiol &amp; Biotechnol, Warsaw, Poland; [Rogowska, Agata; Paczkowski, Cezary; Szakiel, Anna] Univ Warsaw, Inst Biochem, Fac Biol, Dept Plant Biochem, Warsaw, Poland; [Nyabayo, Christine; Suessmuth, Roderich] Tech Univ Berlin, Inst Chem, Berlin, Germany</t>
  </si>
  <si>
    <t>University of Warsaw; University of Warsaw; Technical University of Berlin</t>
  </si>
  <si>
    <t>Dziewit, L (corresponding author), Univ Warsaw, Inst Microbiol, Fac Biol, Dept Environm Microbiol &amp; Biotechnol, Warsaw, Poland.</t>
  </si>
  <si>
    <t>l.dziewit@uw.edu.pl</t>
  </si>
  <si>
    <t>Decewicz, Przemyslaw/ABE-4554-2020; a.rogowska@biol.uw.edu.pl, a.rogowska@biol.uw.edu.pl/AAM-5213-2021; Szakiel, Anna/L-7025-2019; Dziewit, Lukasz/L-1131-2016</t>
  </si>
  <si>
    <t>Decewicz, Przemyslaw/0000-0002-5621-7124; a.rogowska@biol.uw.edu.pl, a.rogowska@biol.uw.edu.pl/0000-0002-7177-827X; Szakiel, Anna/0000-0001-6963-0666; Dziewit, Lukasz/0000-0002-5057-2811</t>
  </si>
  <si>
    <t>National Science Centre (Poland) [BOB-IDUB-622-67]; University of Warsaw, Excellence Initiative-Research University (Poland); [2016/23/B/NZ9/02909]</t>
  </si>
  <si>
    <t>National Science Centre (Poland)(National Science Centre, Poland); University of Warsaw, Excellence Initiative-Research University (Poland);</t>
  </si>
  <si>
    <t>This work was supported by the National Science Centre (Poland) (grant number 2016/23/B/NZ9/02909) and University of Warsaw, Excellence Initiative-Research University (Poland) (grant number BOB-IDUB-622-67).</t>
  </si>
  <si>
    <t>BMC</t>
  </si>
  <si>
    <t>CAMPUS, 4 CRINAN ST, LONDON N1 9XW, ENGLAND</t>
  </si>
  <si>
    <t>1475-2859</t>
  </si>
  <si>
    <t>MICROB CELL FACT</t>
  </si>
  <si>
    <t>Microb. Cell. Fact.</t>
  </si>
  <si>
    <t>10.1186/s12934-022-01990-3</t>
  </si>
  <si>
    <t>Biotechnology &amp; Applied Microbiology</t>
  </si>
  <si>
    <t>6W7HF</t>
  </si>
  <si>
    <t>WOS:000895897100001</t>
  </si>
  <si>
    <t>Mairal, M; García-Verdugo, C; Le Roux, JJ; Chau, JH; van Vuuren, BJ; Hui, C; Münzbergová, Z; Chown, SL; Shaw, JD</t>
  </si>
  <si>
    <t>Mairal, Mario; Garcia-Verdugo, Carlos; Le Roux, Johannes J.; Chau, John H.; van Vuuren, Bettine Jansen; Hui, Cang; Munzbergova, Zuzana; Chown, Steven L.; Shaw, Justine D.</t>
  </si>
  <si>
    <t>Multiple introductions, polyploidy and mixed reproductive strategies are linked to genetic diversity and structure in the most widespread invasive plant across Southern Ocean archipelagos</t>
  </si>
  <si>
    <t>MOLECULAR ECOLOGY</t>
  </si>
  <si>
    <t>biological invasions; breeding systems; clonality; genetic variation; islands; Poa annua; polyploidy; population genetics; self-fertilization; sub-Antarctic</t>
  </si>
  <si>
    <t>POA-ANNUA; POPULATION-GENETICS; PUTATIVE ANCESTORS; FLOW-CYTOMETRY; HUMAN IMPACTS; ALIEN PLANTS; ISLAND; HYBRIDIZATION; L.; VEGETATION</t>
  </si>
  <si>
    <t>Biological invasions in remote areas that experience low human activity provide unique opportunities to elucidate processes responsible for invasion success. Here we study the most widespread invasive plant species across the isolated islands of the Southern Ocean, the annual bluegrass, Poa annua. To analyse geographical variation in genome size, genetic diversity and reproductive strategies, we sampled all major sub-Antarctic archipelagos in this region and generated microsatellite data for 470 individual plants representing 31 populations. We also estimated genome sizes for a subset of individuals using flow cytometry. Occasional events of island colonization are expected to result in high genetic structure among islands, overall low genetic diversity and increased self-fertilization, but we show that this is not the case for P. annua. Microsatellite data indicated low population genetic structure and lack of isolation by distance among the sub-Antarctic archipelagos we sampled, but high population structure within each archipelago. We identified high levels of genetic diversity, low clonality and low selfing rates in sub-Antarctic P. annua populations (contrary to rates typical of continental populations). In turn, estimates of selfing declined in populations as genetic diversity increased. Additionally, we found that most P. annua individuals are probably tetraploid and that only slight variation exists in genome size across the Southern Ocean. Our findings suggest multiple independent introductions of P. annua into the sub-Antarctic, which promoted the establishment of genetically diverse populations. Despite multiple introductions, the adoption of convergent reproductive strategies (outcrossing) happened independently in each major archipelago. The combination of polyploidy and a mixed reproductive strategy probably benefited P. annua in the Southern Ocean by increasing genetic diversity and its ability to cope with the novel environmental conditions.</t>
  </si>
  <si>
    <t>[Mairal, Mario; Le Roux, Johannes J.] Univ Complutense Madrid, Dept Biodiversidad Ecol &amp; Evoluc, Madrid, Spain; [Mairal, Mario] Stellenbosch Univ, Dept Bot &amp; Zool, Stellenbosch, South Africa; [Garcia-Verdugo, Carlos] Univ Granada, Fac Ciencias, Dept Bot, Granada, Spain; [Garcia-Verdugo, Carlos] Univ IIles Balears, Dept Biol, Inst Mediterrani Estudis Avancats CSIC UIB, Mallorca, Spain; [Le Roux, Johannes J.] Macquarie Univ, Sch Nat Sci, Sydney, NSW, Australia; [Chau, John H.; van Vuuren, Bettine Jansen] Univ Johannesburg, Ctr Ecol Genom &amp; Wildlife Conservat, Dept Zool, Auckland Pk, South Africa; [Hui, Cang] Stellenbosch Univ, Ctr Invas Biol, Dept Math Sci, Stellenbosch, South Africa; [Hui, Cang] African Inst Math Sci, Biodivers Informat Unit, Cape Town, South Africa; [Munzbergova, Zuzana] Charles Univ Prague, Fac Sci, Dept Bot, Prague, Czech Republic; [Munzbergova, Zuzana] Czech Acad Sci, Inst Bot, Pruhonice, Czech Republic; [Chown, Steven L.] Monash Univ, Sch Biol Sci, Securing Antarcticas Environm Future, Melbourne, Vic, Australia; [Shaw, Justine D.] Queensland Univ Technol, Sch Biol &amp; Environm Sci, Securing Antarcticas Environm Future, Brisbane, Qld, Australia; [Shaw, Justine D.] Australian Antarctic Div, Kingston, Tas, Australia</t>
  </si>
  <si>
    <t>Complutense University of Madrid; Stellenbosch University; University of Granada; Consejo Superior de Investigaciones Cientificas (CSIC); ATTITUS Educacao; Macquarie University; University of Johannesburg; Stellenbosch University; Charles University Prague; Czech Academy of Sciences; Institute of Botany of the Czech Academy of Sciences; Melbourne Genomics Health Alliance; Monash University; Queensland University of Technology (QUT); Australian Antarctic Division</t>
  </si>
  <si>
    <t>Mairal, M (corresponding author), Univ Complutense Madrid, Dept Biodiversidad Ecol &amp; Evoluc, Madrid, Spain.</t>
  </si>
  <si>
    <t>mariomairal@gmail.com</t>
  </si>
  <si>
    <t>Jansen van Vuuren, Bettine/E-6227-2013; Chown, Steven/ABD-7646-2021; Mairal, Mario/H-8911-2019; Hui, Cang/A-1781-2008; Münzbergová, Zuzana/F-6321-2013; Garcia-Verdugo, Carlos/G-1684-2019</t>
  </si>
  <si>
    <t>Jansen van Vuuren, Bettine/0000-0002-5334-5358; Mairal, Mario/0000-0002-6588-5634; Münzbergová, Zuzana/0000-0002-4026-6220; Garcia-Verdugo, Carlos/0000-0003-0332-5583; Le Roux, Johannes/0000-0001-7911-9810</t>
  </si>
  <si>
    <t>National Research Foundation [89967]</t>
  </si>
  <si>
    <t>National Research Foundation</t>
  </si>
  <si>
    <t>National Research Foundation, Grant/Award Number: 89967</t>
  </si>
  <si>
    <t>0962-1083</t>
  </si>
  <si>
    <t>1365-294X</t>
  </si>
  <si>
    <t>MOL ECOL</t>
  </si>
  <si>
    <t>Mol. Ecol.</t>
  </si>
  <si>
    <t>10.1111/mec.16809</t>
  </si>
  <si>
    <t>8S8YF</t>
  </si>
  <si>
    <t>WOS:000898998100001</t>
  </si>
  <si>
    <t>Reynisson, P; Gislason, A; Lawson, GL</t>
  </si>
  <si>
    <t>Reynisson, Pall; Gislason, Astthor; Lawson, Gareth L.</t>
  </si>
  <si>
    <t>Concurrent observations of the euphausiid Thysanoessa raschii in an Icelandic fjord by acoustics and Video Plankton Recorder: comparisons with theoretical models of target strength</t>
  </si>
  <si>
    <t>JOURNAL OF PLANKTON RESEARCH</t>
  </si>
  <si>
    <t>target strength; Video Plankton Recorder; euphausiids; avoidance; scattering properties; target classification</t>
  </si>
  <si>
    <t>KRILL MEGANYCTIPHANES-NORVEGICA; ANTARCTIC KRILL; ISAFJORD-DEEP; IMPROVED PARAMETERIZATION; SOUND-SCATTERING; STROBE LIGHT; ZOOPLANKTON; ABUNDANCE; SUPERBA; ORIENTATION</t>
  </si>
  <si>
    <t>In two surveys in an Icelandic fjord, September 2016 and October 2018, the target strength (TS) of the euphausiid Thysanoessa raschii was estimated at four frequencies (38, 70, 120, 200 kHz) by matching the acoustic backscatter to the number of euphausiids detected by a Video Plankton Recorder (VPR). Using forward-looking strobe lights on the VPR and doubling the towing speed lowered the estimated target strength by 4.3 dB. In 2016, the TS for euphausiids of mean length 20.7 mm averaged -98.4, -92.3, -86.6 and -82.8 dB at 38, 70, 120 and 200 kHz frequencies, respectively. In 2018, TS for euphausiids of mean length 19.9 mm averaged -98.2 dB at 38 kHz and -88.3 dB at 120 kHz. Theoretical modeling using a Distorted-Wave Born Approximation-based approach was used to compute the average target strength for the observed length distributions and for several density and sound speed contrast (g, h) and orientations. Except at 38 kHz, these results are in reasonable agreement with the TS estimated from the VPR-acoustic comparisons. The methodological approach presented provides an alternative to net-acoustic comparison or modeling for the estimation of euphausiid target strength.</t>
  </si>
  <si>
    <t>[Reynisson, Pall; Gislason, Astthor] Marine &amp; Freshwater Res Inst, Pelag Div, Fornubudir 5, IS-220 Hafnarfjordur, Iceland; [Lawson, Gareth L.] Woods Hole Oceanog Inst, Biol Dept, 86 Water St, Falmouth, MA 02543 USA; [Lawson, Gareth L.] Conservat Law Fdn, Boston, MA 02110 USA</t>
  </si>
  <si>
    <t>Marine &amp; Freshwater Research Institute (MFRI); Woods Hole Oceanographic Institution</t>
  </si>
  <si>
    <t>Reynisson, P (corresponding author), Marine &amp; Freshwater Res Inst, Pelag Div, Fornubudir 5, IS-220 Hafnarfjordur, Iceland.</t>
  </si>
  <si>
    <t>palli.breyniss@gmail.com; astthor.gislason@hafogvatn.is; glawson@whoi.edu</t>
  </si>
  <si>
    <t>AVS Foundation; Marine Research Institute inIceland [R11/12-030-11]; NOAA; [NA09OAR4320129]; [NA14OAR4320158]</t>
  </si>
  <si>
    <t>AVS Foundation; Marine Research Institute inIceland; NOAA(National Oceanic Atmospheric Admin (NOAA) - USA); ;</t>
  </si>
  <si>
    <t>This work was partly funded by the AVS Foundation (grant num-ber: R11/12-030-11) and partly by the Marine Research Institute inIceland. G. Lawson was supported by NOAA Cooperative Agreements NA09OAR4320129 and NA14OAR4320158 through the NOAA Fish-eries Quantitative Ecology and Socioeconomics Training (QUEST)program.</t>
  </si>
  <si>
    <t>0142-7873</t>
  </si>
  <si>
    <t>1464-3774</t>
  </si>
  <si>
    <t>J PLANKTON RES</t>
  </si>
  <si>
    <t>J. Plankton Res.</t>
  </si>
  <si>
    <t>10.1093/plankt/fbac068</t>
  </si>
  <si>
    <t>8O5JH</t>
  </si>
  <si>
    <t>WOS:000898406100001</t>
  </si>
  <si>
    <t>Esquivel-Garrote, O; Muxagata, E; Hosie, GW</t>
  </si>
  <si>
    <t>Esquivel-Garrote, Octavio; Muxagata, Erik; Hosie, Graham W.</t>
  </si>
  <si>
    <t>Spatial and temporal variation and distribution of mesozooplankton in the Drake Passage sampled with the continuous Plankton Recorder</t>
  </si>
  <si>
    <t>DEEP-SEA RESEARCH PART I-OCEANOGRAPHIC RESEARCH PAPERS</t>
  </si>
  <si>
    <t>Temperature gradient; Southern ocean; Fronts; Assemblages; Spatial distribution</t>
  </si>
  <si>
    <t>ANTARCTIC-CIRCUMPOLAR-CURRENT; ZOOPLANKTON DISTRIBUTION PATTERNS; SOUTHERN-OCEAN SOUTH; AUSTRAL SUMMER; SURFACE ZOOPLANKTON; COMMUNITY STRUCTURE; CLIMATE-CHANGE; INDIAN SECTOR; SEASONAL VARIABILITY; COPEPOD DISTRIBUTION</t>
  </si>
  <si>
    <t>Zooplankton is the main link between primary producers and higher trophic levels in marine foods webs. In the Southern Ocean, zooplankton could be key in identifying environmental changes, given rapid warming registered in the area in the last decades. The Drake Passage is a choke point of oceanographic processes, since it is the narrowest and most dynamic path of the Antarctic Circumpolar Current (ACC). The objective of this study was to determine the horizontal spatial variations of mesozooplankton in the Drake Passage relative to Southern Ocean oceanographic fronts and zones. Three transects were sampled using a CPR in the Drake Passage during the austral summer of 2009 and 2010. Temperature and salinity were measured at 1-min intervals with a thermosalinograph and Chlorophyll a data extracted from NASA's ocean color web. Organisms were counted and identified to the lowest level, resulting in 53 taxa, with 24 identified to species, eight to genus and 21 to a higher taxonomic level. Four fronts (Subantarctic Front - SAF, Polar Front - PF, South of ACC Front - SACCF and Peninsula Front -PF*) delimiting five zones (Subantarctic Zone - SAZ, Polar Front Zone - PFZ, Antarctic Zone - AZ, Southern Zone - SZ and Transitional Water Zone with Bellingshausen Sea Influence TBW) were registered according to temperature values. Higher mesozooplankton abundances were recorded in the PFZ (412.0 +/- 27.9 ind. m-3) in 2009 and in the AZ (128 +/- 12.3 ind. m-3) during 2010. Copepoda were the most abundant group (82%), followed by crustacean eggs (4.3%) and Larvacea (4.0%). Within Copepoda, the most abundant taxa were Calanidae copepodites (33.5 +/- 53.4 ind. m-3), Oithona spp. (25.4 +/- 27.1 ind. m-3) and Calanus simillimus (19.4 +/- 26.1 ind. m-3). Differences in community structure were found between zones with C. simillimus and Thysanoessa macrura contributing most to the dissimilarities between the SAZ and the PFZ, Ctenocalanus citer between the PFZ and AZ, Euphausia superba between zones south of the Polar Front and Salpa thompsoni between the SZ and TBW. Some species or taxa are related to or: indicators of a particular zone. The PFZ was the most diverse and had higher mesozooplankton abundances compared to the other zones. Changes in composition are perceptible compared to previous studies, with a decrease of larger organisms and richness, lack of larger copepods, decrease of krill and increase of S. thompsoni abundances.</t>
  </si>
  <si>
    <t>[Esquivel-Garrote, Octavio; Muxagata, Erik] Univ Fed Rio Grande FURG, Lab Zooplancton, Inst Oceanog, Av Italia Km 8,Campus Carreiros,POB 474, BR-96200000 Rio Grande, Brazil; [Esquivel-Garrote, Octavio] Univ Fed Rio Grande FURG, Programa Posgrad Oceanog Biol PPGOB, Av Italia Km 8,Campus Carreiros,POB 474, BR-96200000 Rio Grande, Brazil; [Hosie, Graham W.] CPR Survey, Lab, Citadel Hill, Plymouth PL1 2PB, England</t>
  </si>
  <si>
    <t>Universidade Federal do Rio Grande; Universidade Federal do Rio Grande</t>
  </si>
  <si>
    <t>Esquivel-Garrote, O (corresponding author), Univ Fed Rio Grande FURG, Lab Zooplancton, Inst Oceanog, Av Italia Km 8,Campus Carreiros,POB 474, BR-96200000 Rio Grande, Brazil.</t>
  </si>
  <si>
    <t>octavio.eg@furg.br</t>
  </si>
  <si>
    <t>Muxagata, Erik/M-6563-2015</t>
  </si>
  <si>
    <t>Muxagata, Erik/0000-0002-4210-5252; Esquivel Garrote, Octavio/0000-0003-2462-6609</t>
  </si>
  <si>
    <t>Universidade Federal do Rio Grande (FURG); Conselho Nacional de Desenvolvimento Cientifico e Tecnologico (CNPq); Brazilian Antarctic Program of the Brazilian Navy</t>
  </si>
  <si>
    <t>Universidade Federal do Rio Grande (FURG); Conselho Nacional de Desenvolvimento Cientifico e Tecnologico (CNPq)(Conselho Nacional de Desenvolvimento Cientifico e Tecnologico (CNPQ)); Brazilian Antarctic Program of the Brazilian Navy</t>
  </si>
  <si>
    <t>The authors would like to acknowledge the two anonymous reviewers for comments and corrections made that improved this manuscript, the support of Universidade Federal do Rio Grande (FURG) and the Conselho Nacional de Desenvolvimento Cientifico e Tecnologico (CNPq) for the financial support, the Brazilian Antarctic Program of the Brazilian Navy for the logistics, facilities and support during sampling. We also want to thank to the Australian Antarctic Division (AAD) for lending us the CPR and Dra. Manuela Bassoi and the crew of the NApOc Ary Rongel for deploying and retrieving the CPR.</t>
  </si>
  <si>
    <t>0967-0637</t>
  </si>
  <si>
    <t>1879-0119</t>
  </si>
  <si>
    <t>DEEP-SEA RES PT I</t>
  </si>
  <si>
    <t>Deep-Sea Res. Part I-Oceanogr. Res. Pap.</t>
  </si>
  <si>
    <t>10.1016/j.dsr.2022.103936</t>
  </si>
  <si>
    <t>E5WY5</t>
  </si>
  <si>
    <t>WOS:000976256500001</t>
  </si>
  <si>
    <t>Janssen, DJ; Gilliard, D; Rickli, J; Nasemann, P; Koschinsky, A; Hassler, CS; Bowie, AR; Ellwood, MJ; Kleint, C; Jaccard, SL</t>
  </si>
  <si>
    <t>Janssen, David J.; Gilliard, Delphine; Rickli, Joerg; Nasemann, Philipp; Koschinsky, Andrea; Hassler, Christel S.; Bowie, Andrew R.; Ellwood, Michael J.; Kleint, Charlotte; Jaccard, Samuel L.</t>
  </si>
  <si>
    <t>Chromium stable isotope distributions in the southwest Pacific Ocean and constraints on hydrothermal input from the Kermadec Arc</t>
  </si>
  <si>
    <t>Chromium; GEOTRACES; Chromium isotopes; Hydrothermal flux; Paleoproxy</t>
  </si>
  <si>
    <t>ATLANTIC; REDUCTION; FRACTIONATION; SPECIATION; TRANSPORT; OXIDATION; SEAWATER; IRON; PHYTOPLANKTON; BEHAVIOR</t>
  </si>
  <si>
    <t>Special attention has been given to chromium (Cr) as a paleoproxy tracing redox cycling throughout Earth's history, due to differences in the solubility of its primary redox species at Earth's surface (Cr (III) and Cr(VI)) and isotope fractionation associated with their interconversion. In turn, chromium's pale-oproxy potential has motivated studies of the modern ocean to better understand which processes drive its cycling and to constrain their impact on the Cr isotope composition (delta Cr-53) of seawater. Here, we present total dissolved seawater Cr concentrations and delta Cr-53 along the GEOTRACES GP13 section. This section is a zonal transect extending from Australia in the subtropical southwest Pacific Ocean. Surface signals of local biological Cr cycling are minimal, in agreement with distributions of dissolved major nutrients as well as biologically-controlled trace metals in this low productivity, oligotrophic environment. Depth profiles have Cr concentration minima in surface waters and maxima at depth, and are largely shaped by the advection of nutrient- and Cr-rich subsurface waters rather than vertically-driven processes. Samples close to the sediment-water interface indicate important benthic Cr fluxes across the section. The GP13 transect crosses the hydrothermally-active Kermadec Arc. Hydrothermal fluids (consisting of &lt;15% background seawater) were collected from three venting sites at the Brothers Volcano (along the Kermadec Arc). These fluids yielded near-crustal delta Cr-53 values (-0.17 to +0.08 parts per thousand) and elevated [Cr] (7.5-23 nmol kg(-1), hydrothermal endmember [Cr] approximate to 8-27 nmol kg(-1)), indicating that the Kermadec Arc may be an isotopically light Cr source. Dissolved [Fe] enrichments have been reported previously in deep waters (similar to 1600-3000 m) along the GP13 transect, east of the Kermadec Arc. These same waters show elevated [Cr] compared to Circumpolar Deep Water ([Cr] = 3.88 +/- 0.11, delta Cr-53 = 0.89 +/- 0.08, n = 32), with an average [Cr] accumulation of 0.71 +/- 0.11 nmol kg(-1) (1 SD), and an estimated delta Cr-53 of +0.46 +/- 0.30 parts per thousand(2 SD, n = 9) for the accumulated Cr. Comparing high-temperature vent and neutrally buoyant plume data, hydrothermal-sourced Cr is likely negligable compared to Cr contributions from other processes (benthic fluxes, release from particles), and the advection of more Cr-rich Pacific Deep Water. It is unlikely that hydrothermal vents would be a major contributor within the regional or global biogeochemical Cr cycle, even if hydrothermal fluxes change by orders of magnitude, and therefore delta Cr-53 trends in the paleorecord may be attributable, at least in part, to major changes in other controls on Cr (e.g. widespread anoxia). (c) 2022 The Authors. Published by Elsevier Ltd. This is an open access article under the CC BY license (http:// creativecommons.org/licenses/by/4.0/).</t>
  </si>
  <si>
    <t>[Janssen, David J.; Gilliard, Delphine; Nasemann, Philipp; Jaccard, Samuel L.] Univ Bern, Inst Geol Sci, Baltzerstr 1-3, CH-3012 Bern, Switzerland; [Janssen, David J.; Gilliard, Delphine; Nasemann, Philipp; Jaccard, Samuel L.] Univ Bern, Oeschger Ctr Climate Change Res, Baltzerstr 1-3, CH-3012 Bern, Switzerland; [Janssen, David J.] Eawag Swiss Fed Inst Aquat Sci &amp; Technol, Dept Surface Waters, Seestr 79, CH-6047 Kastanienbaum, Switzerland; [Gilliard, Delphine; Hassler, Christel S.; Jaccard, Samuel L.] Univ Lausanne, Inst Earth Sci, Lausanne, Switzerland; [Rickli, Joerg] Swiss Fed Inst Technol, Inst Geochem &amp; Petrol, Zurich, Switzerland; [Koschinsky, Andrea; Kleint, Charlotte] Jacobs Univ Bremen, Dept Phys &amp; Earth Sci, D-28759 Bremen, Germany; [Koschinsky, Andrea; Kleint, Charlotte] Univ Bremen, Ctr Marine Environm Sci MARUM, D-28359 Bremen, Germany; [Hassler, Christel S.] Univ Geneva, Dept FA Forel Environm &amp; Aquat Sci, Uni Carl Vogt, 66 Bvd Carl Vogt, CH-1211 Geneva 4, Switzerland; [Bowie, Andrew R.] Univ Tasmania, Inst Marine &amp; Antarctic Studies, 20 Castray Esplanade, Battery Point, Tas 7004, Australia; [Ellwood, Michael J.] Australian Natl Univ, Res Sch Earth Sci, Canberra, Australia</t>
  </si>
  <si>
    <t>University of Bern; University of Bern; Swiss Federal Institutes of Technology Domain; Swiss Federal Institute of Aquatic Science &amp; Technology (EAWAG); University of Lausanne; Swiss Federal Institutes of Technology Domain; ETH Zurich; Jacobs University; University of Bremen; University of Geneva; University of Tasmania; Australian National University</t>
  </si>
  <si>
    <t>Janssen, DJ (corresponding author), Eawag Swiss Fed Inst Aquat Sci &amp; Technol, Dept Surface Waters, Seestr 79, CH-6047 Kastanienbaum, Switzerland.</t>
  </si>
  <si>
    <t>david.janssen@eawag.ch; delphine.gilliard@unil.ch; joerg.rickli@erdw.ethz.ch; a.koschinsky@jacobs-university.de; christelshassler@gmail.com; Andrew.Bowie@utas.edu.au; michael.ellwood@anu.edu.au; c.kleint@jacobs-university.de; Samuel.Jaccard@unil.ch</t>
  </si>
  <si>
    <t>Jaccard, Samuel/IZP-9669-2023; Kleint, Charlotte/AAV-6501-2020; Jaccard, Samuel/G-3447-2014</t>
  </si>
  <si>
    <t>Kleint, Charlotte/0000-0001-8594-3304; Jaccard, Samuel/0000-0002-5793-0896; Rickli, Jorg/0000-0001-8186-2750; Ellwood, Michael/0000-0003-4288-8530</t>
  </si>
  <si>
    <t>Swiss National Science Foundation [PP00P2_172915]; European Research Council (ERC) Consolidator Grant [819139]; Aus-tralian Research Council [FT130100037]; Antarctic Climate and Ecosystems Cooperative Research Centre; Hydrothermal fluid sam-ples from Brothers Volcano; BMBF (German Federal Ministry of Education and Research) [03G0253]; SNSF [51NF40-141881]; European Research Council (ERC) [819139] Funding Source: European Research Council (ERC); Australian Research Council [FT130100037] Funding Source: Australian Research Council; Swiss National Science Foundation (SNF) [PP00P2_172915] Funding Source: Swiss National Science Foundation (SNF)</t>
  </si>
  <si>
    <t>Swiss National Science Foundation(Swiss National Science Foundation (SNSF)); European Research Council (ERC) Consolidator Grant(European Research Council (ERC)); Aus-tralian Research Council(Australian Research Council); Antarctic Climate and Ecosystems Cooperative Research Centre(Australian GovernmentDepartment of Industry, Innovation and ScienceCooperative Research Centres (CRC) Programme); Hydrothermal fluid sam-ples from Brothers Volcano; BMBF (German Federal Ministry of Education and Research)(Federal Ministry of Education &amp; Research (BMBF)); SNSF(Swiss National Science Foundation (SNSF)); European Research Council (ERC)(European Research Council (ERC)Spanish Government); Australian Research Council(Australian Research Council); Swiss National Science Foundation (SNF)(Swiss National Science Foundation (SNSF))</t>
  </si>
  <si>
    <t>We thank the captains, crews, and scientific members of the RV Southern Surveyor and the Marine National Facility for making voyage SS2011_V02 a success. We thank Martin Wille for Neptune support and sharing discussions and analytical expertise, and for providing a subsample of his Merck Cr (III) standard, originally from Ronny Schoenberg. We acknowledge funding from the Swiss National Science Foundation (SNSF grant PP00P2_172915) and by a European Research Council (ERC) Consolidator Grant (SCrIPT grant agreement 819139) to SLJ. We also acknowledge the Aus-tralian Research Council for funding under the Future Fellowships scheme to ARB (FT130100037) , and the Antarctic Climate and Ecosystems Cooperative Research Centre. Hydrothermal fluid sam-ples from Brothers Volcano, Kermadec Arc, were collected during research cruise SO253 with R/V Sonne; funding of this cruise by the BMBF (German Federal Ministry of Education and Research, project 03G0253) is greatly acknowledged. We thank associate edi-tor Rachael James, Kohen Bauer, and an anonymous reviewer for constructive comments which have improved our manuscript. Chromium data were obtained on a Neptune Plus MC-ICP-MS acquired with funds from the NCCR PlanetS supported by SNSF grant 51NF40-141881. Maps and some figures were made using Ocean Data View (available at http://odv.awi.de) .</t>
  </si>
  <si>
    <t>10.1016/j.gca.2022.12.010</t>
  </si>
  <si>
    <t>C3WL0</t>
  </si>
  <si>
    <t>WOS:000961256100003</t>
  </si>
  <si>
    <t>Ruehs, S; Schmidt, C; Schubert, R; Schulzki, TG; Schwarzkopf, FU; Le Bars, D; Biastoch, A</t>
  </si>
  <si>
    <t>Ruehs, Siren; Schmidt, Christina; Schubert, Rene; Schulzki, Tobias G.; Schwarzkopf, Franziska U.; Le Bars, Dewi; Biastoch, Arne</t>
  </si>
  <si>
    <t>Robust estimates for the decadal evolution of Agulhas leakage from the 1960s to the 2010s</t>
  </si>
  <si>
    <t>MERIDIONAL OVERTURNING CIRCULATION; SOUTHERN ANNULAR MODE; TRANSPORT VARIABILITY; TIME-SERIES; ATLANTIC; EXCHANGE; IMPACT; TRENDS; FRAMEWORK; DYNAMICS</t>
  </si>
  <si>
    <t>Agulhas leakage, the transport of warm and salty waters from the Indian Ocean into the South Atlantic, has been suggested to increase under anthropogenic climate change, due to strengthening Southern Hemisphere westerly winds. The resulting enhanced salt transport into the South Atlantic may counteract the projected weakening of the Atlantic overturning circulation through warming and ice melting. Here we combine existing and new observation- and model-based Agulhas leakage estimates to robustly quantify its decadal evolution since the 1960s. We find that Agulhas leakage very likely increased between the mid-1960s and mid-1980s, in agreement with strengthening winds. Our models further suggest that increased leakage was related to enhanced transport outside eddies and coincided with strengthened Atlantic overturning circulation. Yet, it appears unlikely that Agulhas leakage substantially increased since the 1990s, despite continuously strengthening winds. Our results stress the need to better understand decadal leakage variability to detect and predict anthropogenic trends.</t>
  </si>
  <si>
    <t>[Ruehs, Siren; Schmidt, Christina; Schubert, Rene; Schulzki, Tobias G.; Schwarzkopf, Franziska U.; Biastoch, Arne] GEOMAR Helmholtz Ctr Ocean Res Kiel, Kiel, Germany; [Le Bars, Dewi] Royal Netherlands Meteorol Inst, De Bilt, Netherlands; [Biastoch, Arne] Christian Albrechts Univ Kiel, Kiel, Germany; [Ruehs, Siren] Univ Utrecht, Inst Marine &amp; Atmospher Res, Utrecht, Netherlands; [Schmidt, Christina] Univ New South Wales, Climate Change Res Ctr, Australian Ctr Excellence Antarctic Sci, Sydney, NSW, Australia; [Schubert, Rene] Univ Brest, Brest, France</t>
  </si>
  <si>
    <t>Helmholtz Association; GEOMAR Helmholtz Center for Ocean Research Kiel; Royal Netherlands Meteorological Institute; University of Kiel; Utrecht University; University of New South Wales Sydney; Universite de Bretagne Occidentale</t>
  </si>
  <si>
    <t>Ruehs, S (corresponding author), GEOMAR Helmholtz Ctr Ocean Res Kiel, Kiel, Germany.;Ruehs, S (corresponding author), Univ Utrecht, Inst Marine &amp; Atmospher Res, Utrecht, Netherlands.</t>
  </si>
  <si>
    <t>s.ruhs@uu.nl</t>
  </si>
  <si>
    <t>Rühs, Siren/N-4736-2015; Biastoch, Arne/B-5219-2014; Schwarzkopf, Franziska/P-7621-2019; Schmidt, Christina/JXW-8171-2024; Le Bars, Dewi/AAK-8631-2020</t>
  </si>
  <si>
    <t>Rühs, Siren/0000-0001-5001-4994; Biastoch, Arne/0000-0003-3946-4390; Schwarzkopf, Franziska/0000-0002-2747-8456; Schmidt, Christina/0000-0002-7672-5054; Le Bars, Dewi/0000-0002-1175-4225; Schulzki, Tobias/0000-0002-3480-8492</t>
  </si>
  <si>
    <t>Projekt DEAL; [03F0796A]; [818123]; [ANR-19-CE01-0002-01]</t>
  </si>
  <si>
    <t>Projekt DEAL; ; ;</t>
  </si>
  <si>
    <t>Open Access funding enabled and organized by Projekt DEAL.</t>
  </si>
  <si>
    <t>DEC 14</t>
  </si>
  <si>
    <t>10.1038/s43247-022-00643-y</t>
  </si>
  <si>
    <t>7B6LX</t>
  </si>
  <si>
    <t>WOS:000899243600003</t>
  </si>
  <si>
    <t>Wever, N; Keenan, E; Amory, C; Lehning, M; Sigmund, A; Huwald, H; Lenaerts, JTM</t>
  </si>
  <si>
    <t>Wever, Nander; Keenan, Eric; Amory, Charles; Lehning, Michael; Sigmund, Armin; Huwald, Hendrik; Lenaerts, Jan T. M.</t>
  </si>
  <si>
    <t>Observations and simulations of new snow density in the drifting snow-dominated environment of Antarctica</t>
  </si>
  <si>
    <t>Polar firn; snow; ice surface processes; wind-blown snow</t>
  </si>
  <si>
    <t>SURFACE MASS-BALANCE; ICE-SHEET; BLOWING-SNOW; ADELIE LAND; FIRN DENSIFICATION; WIND-PACKING; MAUD-LAND; MODEL; SUBLIMATION; ELEVATION</t>
  </si>
  <si>
    <t>Owing to drifting snow processes, snow accumulation and surface density in polar environments are variable in space and time. We present new field data of manual measurements, repeat terrestrial laser scanning and snow micro-penetrometry from Dronning Maud Land, Antarctica, showing the density of new snow accumulations. We combine these data with published drifting snow mass flux observations, to evaluate the performance of the 1-D, detailed, physics-based snow cover model SNOWPACK in representing drifting snow and surface density. For two sites in East Antarctica with multiple years of data, we found a coefficient of determination for the simulated drifting snow of r(2) = 0.42 and r(2) = 0.50, respectively. The field observations show the existence of low-density snow accumulations during low wind conditions. Successive high wind speed events generally erode these low-density layers while producing spatially variable erosion/deposition patterns with typical length scales of a few metres. We found that a model setup that is able to represent low-density snow accumulating during low wind speed conditions, as well as subsequent snow erosion and redeposition at higher densities during drifting snow events was mostly able to describe the observed temporal variability of surface density in the field.</t>
  </si>
  <si>
    <t>[Wever, Nander; Keenan, Eric; Lenaerts, Jan T. M.] Univ Colorado Boulder, Dept Atmospher &amp; Ocean Sci, Boulder, CO 80309 USA; [Amory, Charles] Univ Grenoble Alpes, Inst Geosci Environm, CNRS, Grenoble, France; [Lehning, Michael; Sigmund, Armin; Huwald, Hendrik] Ecole Polytech Fed Lausanne EPFL, Sch Architecture, Civil &amp; Environm Engn, Lausanne, Switzerland; [Huwald, Hendrik] WSL Inst Snow &amp; Avalanche Res SLF, Davos, Switzerland</t>
  </si>
  <si>
    <t>University of Colorado System; University of Colorado Boulder; Communaute Universite Grenoble Alpes; Universite Grenoble Alpes (UGA); Centre National de la Recherche Scientifique (CNRS); Swiss Federal Institutes of Technology Domain; Ecole Polytechnique Federale de Lausanne; Swiss Federal Institutes of Technology Domain; Swiss Federal Institute for Forest, Snow &amp; Landscape Research</t>
  </si>
  <si>
    <t>Wever, N (corresponding author), Univ Colorado Boulder, Dept Atmospher &amp; Ocean Sci, Boulder, CO 80309 USA.</t>
  </si>
  <si>
    <t>nander.wever@colorado.edu</t>
  </si>
  <si>
    <t>Huwald, Hendrik/S-3688-2019; Lenaerts, Jan/D-9423-2012</t>
  </si>
  <si>
    <t>Huwald, Hendrik/0000-0003-3769-7342; Keenan, Eric/0000-0002-1511-9093; Wever, Nander/0000-0002-4829-8585; Lenaerts, Jan/0000-0003-4309-4011; Sigmund, Armin/0000-0003-3587-1132; Amory, Charles/0000-0002-5906-4303</t>
  </si>
  <si>
    <t>French Polar Institute IPEV [P2ELP2 172299]; Swiss National Science Foundation (SNSF) [BR/165/A2:Mass2Ant]; National Aeronautics and Space Administration; BELSPO Research Contract [80NSSC20K0969]; [CALVA-1013]; Swiss National Science Foundation (SNF) [P2ELP2_172299] Funding Source: Swiss National Science Foundation (SNF)</t>
  </si>
  <si>
    <t>French Polar Institute IPEV; Swiss National Science Foundation (SNSF)(Swiss National Science Foundation (SNSF)); National Aeronautics and Space Administration(National Aeronautics &amp; Space Administration (NASA)); BELSPO Research Contract; ; Swiss National Science Foundation (SNF)(Swiss National Science Foundation (SNSF))</t>
  </si>
  <si>
    <t>We acknowledge the International Polar Foundation for excellent logistical support during the field campaigns at PEA and HAM. The drifting snow observations from Adelie Land, East Antarctica (Amory and others, 2020) would not have been possible without the financial and logistical support of the French Polar Institute IPEV (programme CALVA-1013). We acknowledge the Polar Geospatial Center of the University of Minnesota for providing the Antarctic DEM (REMA). We thank Ghislain Picard, Jessica Lundquist and three anonymous reviewers for their constructive comments that helped to improve the manuscript considerably. During the field campaign at HAM, Nander Wever was supported by the Swiss National Science Foundation (SNSF) grant number P2ELP2 172299, whereas the later data analysis was funded by the BELSPO Research Contract, grant BR/165/A2:Mass2Ant and the National Aeronautics and Space Administration under Grant No. 80NSSC20K0969 issued by the 'Studies with ICESat-2' programme.</t>
  </si>
  <si>
    <t>PII S0022143022001022</t>
  </si>
  <si>
    <t>10.1017/jog.2022.102</t>
  </si>
  <si>
    <t>WOS:000898344100001</t>
  </si>
  <si>
    <t>Bisset, RR; Nienow, PW; Goldberg, DN; Wigmore, O; Loayza-Muro, RA; Wadham, JL; Macdonald, ML; Bingham, RG</t>
  </si>
  <si>
    <t>Bisset, Rosie R.; Nienow, Peter W.; Goldberg, Daniel N.; Wigmore, Oliver; Loayza-Muro, Raul A.; Wadham, Jemma L.; Macdonald, Moya L.; Bingham, Robert G.</t>
  </si>
  <si>
    <t>Using thermal UAV imagery to model distributed debris thicknesses and sub-debris melt rates on debris-covered glaciers</t>
  </si>
  <si>
    <t>Debris-covered glaciers; melt; surface; remote sensing</t>
  </si>
  <si>
    <t>SUPRAGLACIAL ICE CLIFFS; CORDILLERA BLANCA; TROPICAL ANDES; SURFACE; ABLATION; TEMPERATURE; SATELLITE; RADIATION; DYNAMICS; BALANCE</t>
  </si>
  <si>
    <t>Supraglacial debris cover regulates the melt rates of many glaciers in mountainous regions around the world, thereby modifying the availability and quality of downstream water resources. However, the influence of supraglacial debris is often poorly represented within glaciological models, due to the absence of a technique to provide high-precision, spatially continuous measurements of debris thickness. Here, we use high-resolution UAV-derived thermal imagery, in conjunction with local meteorological data, visible UAV imagery and vertically profiled debris temperature time series, to model the spatially distributed debris thickness across a portion of Llaca Glacier in the Cordillera Blanca of Peru. Based on our results, we simulate daily sub-debris melt rates over a 3-month period during 2019. We demonstrate that, by effectively calibrating the radiometric thermal imagery and accounting for temporal and spatial variations in meteorological variables during UAV surveys, thermal UAV data can be used to more precisely represent the highly heterogeneous patterns of debris thickness and sub-debris melt on debris-covered glaciers. Additionally, our results indicate a mean sub-debris melt rate nearly three times greater than the mean melt rate simulated from satellite-derived debris thicknesses, emphasising the importance of acquiring further high-precision debris thickness data for the purposes of investigating glacier-scale melt processes, calibrating regional melt models and improving the accuracy of runoff predictions.</t>
  </si>
  <si>
    <t>[Bisset, Rosie R.; Nienow, Peter W.; Goldberg, Daniel N.; Bingham, Robert G.] Univ Edinburgh, Sch Geosci, Edinburgh, Scotland; [Wigmore, Oliver] Victoria Univ Wellington, Antarctic Res Ctr, Wellington, New Zealand; [Loayza-Muro, Raul A.] Univ Peruana Cayetano Heredia, Fac Sci &amp; Philosophy, Lab Ecotoxicol, Lima, Peru; [Wadham, Jemma L.] UiT Arctic Univ Norway, Tromso, Norway; [Wadham, Jemma L.] Norwegian Polar Res Inst, Tromso, Norway; [Wadham, Jemma L.; Macdonald, Moya L.] Univ Bristol, Sch Geog Sci, Bristol, England</t>
  </si>
  <si>
    <t>University of Edinburgh; Victoria University Wellington; Universidad Peruana Cayetano Heredia; UiT The Arctic University of Tromso; Norwegian Polar Institute; University of Bristol</t>
  </si>
  <si>
    <t>Bisset, RR (corresponding author), Univ Edinburgh, Sch Geosci, Edinburgh, Scotland.</t>
  </si>
  <si>
    <t>rosie.rhian@gmail.com</t>
  </si>
  <si>
    <t>Wadham, Jemma L/G-3138-2014; Bingham, Robert G/G-3576-2017; Facility, NERC Geophysical Equipment/G-5260-2010</t>
  </si>
  <si>
    <t>Wigmore, Oliver/0000-0002-6813-3884; Macdonald, Moya/0000-0001-8754-493X; Bisset, Rosie/0000-0001-8708-3352</t>
  </si>
  <si>
    <t>UK Natural Environment Research Council (NERC); University of Edinburgh NERC E3 Doctoral Training Partnership; Newton Paulet Fund, a UK/Peru [NE/L002558/1]; Consejo Nacional de Ciencia, Tecnologia e Innovacion Tecnologica, Peru (CONCYTEC) [NE/S013288/1]; Scottish Alliance for Geoscience, Environment and Society (SAGES); NERC [NE/S013288/1] Funding Source: UKRI</t>
  </si>
  <si>
    <t>UK Natural Environment Research Council (NERC)(UK Research &amp; Innovation (UKRI)Natural Environment Research Council (NERC)); University of Edinburgh NERC E3 Doctoral Training Partnership; Newton Paulet Fund, a UK/Peru; Consejo Nacional de Ciencia, Tecnologia e Innovacion Tecnologica, Peru (CONCYTEC); Scottish Alliance for Geoscience, Environment and Society (SAGES); NERC(UK Research &amp; Innovation (UKRI)Natural Environment Research Council (NERC))</t>
  </si>
  <si>
    <t>This research was funded by the UK Natural Environment Research Council (NERC), through a studentship awarded to R. R. B. and R. G. B. by the University of Edinburgh NERC E3 Doctoral Training Partnership (NE/L002558/1). The fieldwork formed part of the CASCADA project, a joint UK-Peruvian project researching the impacts of glacial retreat on water resources in the Ancash region of Peru, for which R. A. L. M. and J. L. W. are the PIs. CASCADA is funded by the Newton Paulet Fund, a UK/Peru collaboration led by NERC (NE/S013288/1) and the Consejo Nacional de Ciencia, Tecnologia e Innovacion Tecnologica, Peru (CONCYTEC). Additional funding support was received from the Scottish Alliance for Geoscience, Environment and Society (SAGES).</t>
  </si>
  <si>
    <t>PII S0022143022001162</t>
  </si>
  <si>
    <t>10.1017/jog.2022.116</t>
  </si>
  <si>
    <t>WOS:000898343800001</t>
  </si>
  <si>
    <t>Wu, ZL; Lin, T; Sun, H; Li, RJ; Liu, X; Guo, ZG; Ma, XD; Yao, ZW</t>
  </si>
  <si>
    <t>Wu, Zilan; Lin, Tian; Sun, Hao; Li, Ruijing; Liu, Xing; Guo, Zhigang; Ma, Xindong; Yao, Ziwei</t>
  </si>
  <si>
    <t>Polycyclic aromatic hydrocarbons in Fildes Peninsula, maritime Antarctica: Effects of human disturbance*</t>
  </si>
  <si>
    <t>ENVIRONMENTAL POLLUTION</t>
  </si>
  <si>
    <t>Petrogenic PAHs; Anthropogenic influence; Local pollution; Antarctica</t>
  </si>
  <si>
    <t>PERSISTENT ORGANIC POLLUTANTS; KING GEORGE ISLAND; POLYCHLORINATED-BIPHENYLS; FATE; PAHS; CONTAMINANTS; ATMOSPHERE; EMISSIONS; TRANSPORT; SEDIMENTS</t>
  </si>
  <si>
    <t>This study provides the first data on the distribution, sources, and transport dynamics of polycyclic aromatic hydrocarbons (PAHs) in Fildes Peninsula, Antarctica via summertime analyses of lakes, seawater, snow, and air in 2013. Relatively high PAH levels and similar composition profiles (dominance of two- and three-ring PAHs) in the investigated marine and terrestrial environmental matrices were found, indicating substantial primary emissions of petrogenic PAHs. This result was corroborated by nonequilibrium partitioning of atmospheric PAHs caused by release of anthropically-derived lighter PAHs and air mass movement trajectories mainly originated from the Antarctic marginal seas. Notable geographical disparities of PAH pollution in the various types of samples consistently suggested impacts of station-related activities, rather than long-range atmospheric transport, on PAHs in Fildes Peninsula. The lack for temperature dependence for gas-phase concentrations and various molecular diagnostic ratios of atmospheric PAHs demonstrated that the impact of local anthropogenic inputs on air PAH variability supersedes the re-emission effect. The derived air-water and air-snow exchanges of PAHs in this remote region indicated a disequilibrium state, partially associated with intense local emissions of PAHs. PAH outgassing from, and absorption into, lake and marine waters were both observed, probably due to differences in anthropogenic influences among sites, while the net deposition of gaseous PAHs into snow prevailed. The results of this study shed lights on the major importance of native anthropogenic sources in the footprint and fate of PAHs in the Fildes Peninsula, which merits further monitoring.</t>
  </si>
  <si>
    <t>[Wu, Zilan; Sun, Hao; Li, Ruijing; Liu, Xing; Ma, Xindong; Yao, Ziwei] Natl Marine Environm Monitoring Ctr, State Environm Protect Key Lab Coastal Ecosyst, Dalian 116023, Peoples R China; [Lin, Tian] Shanghai Ocean Univ, Coll Marine Ecol &amp; Environm, Shanghai 201306, Peoples R China; [Guo, Zhigang] Fudan Univ, Inst Atmospher Sci, Dept Environm Sci &amp; Engn, Shanghai Key Lab Atmospher Particle Pollut &amp; Preve, Shanghai 200433, Peoples R China</t>
  </si>
  <si>
    <t>National Marine Environmental Monitoring Center; Shanghai Ocean University; Fudan University</t>
  </si>
  <si>
    <t>Ma, XD (corresponding author), Natl Marine Environm Monitoring Ctr, State Environm Protect Key Lab Coastal Ecosyst, Dalian 116023, Peoples R China.</t>
  </si>
  <si>
    <t>xdma@nmemc.org.cn</t>
  </si>
  <si>
    <t>zhu, yujie/KBC-4009-2024</t>
  </si>
  <si>
    <t>National Natural Science Founda- tion of China [41201491, 21077102, 21577028, 42206159]; Chinese Polar Environment Comprehensive Investigation &amp; Assess- ment Programmes [02 01, 03-04]; National Department Public Benefit Research Foundation of State Oceanic Administration, China [201105013]; Chinese Arctic and Antarctic Administration</t>
  </si>
  <si>
    <t>National Natural Science Founda- tion of China(National Natural Science Foundation of China (NSFC)); Chinese Polar Environment Comprehensive Investigation &amp; Assess- ment Programmes; National Department Public Benefit Research Foundation of State Oceanic Administration, China; Chinese Arctic and Antarctic Administration</t>
  </si>
  <si>
    <t>This study was supported by the National Natural Science Foundation of China (Nos. 41201491, 21077102, 21577028, and 42206159), the Chinese Polar Environment Comprehensive Investigation &amp; Assessment Programmes (02 01, 03-04), and the National Department Public Benefit Research Foundation of State Oceanic Administration, China (201105013). We would like to extend gratitude to the crew of the 29th Chinese National Antarctic Research Expedition and the support from the Chinese Arctic and Antarctic Administration.</t>
  </si>
  <si>
    <t>0269-7491</t>
  </si>
  <si>
    <t>1873-6424</t>
  </si>
  <si>
    <t>ENVIRON POLLUT</t>
  </si>
  <si>
    <t>Environ. Pollut.</t>
  </si>
  <si>
    <t>10.1016/j.envpol.2022.120768</t>
  </si>
  <si>
    <t>7J7RE</t>
  </si>
  <si>
    <t>WOS:000904780100002</t>
  </si>
  <si>
    <t>Reents, S; Möller, I; Evans, B; Schoutens, K; Jensen, K; Paul, M; Bouma, TJ; Temmerman, S; Lustig, J; Kudella, M; Nolte, S</t>
  </si>
  <si>
    <t>Reents, Svenja; Moeller, Iris; Evans, Ben R.; Schoutens, Ken; Jensen, Kai; Paul, Maike; Bouma, Tjeerd J.; Temmerman, Stijn; Lustig, Jennifer; Kudella, Matthias; Nolte, Stefanie</t>
  </si>
  <si>
    <t>Species-specific and seasonal differences in the resistance of salt-marsh vegetation to wave impact</t>
  </si>
  <si>
    <t>salt marshes; flume experiment; wave-induced damage; plant properties; seasonality</t>
  </si>
  <si>
    <t>STIFFNESS; BIOMASS; STRESS; SILICA; PLANTS; FIELD</t>
  </si>
  <si>
    <t>The coastal protection function provided by the vegetation of tidal wetlands (e.g. salt marshes) will play an important role in defending coastlines against storm surges in the future and depend on how these systems respond to such forcing. Extreme wave events may induce vegetation failure and thereby risking loss of functionality in coastal protection. However, crucial knowledge on how hydrodynamic forces affect salt-marsh vegetation and whether plant properties might influence plant resistance is missing. In a true-to-scale flume experiment, we exposed two salt-marsh species to extreme hydrodynamic conditions and quantified wave-induced changes in plant frontal area, which was used to estimate plant damage. Moreover, half of the plants were artificially weakened to induce senescence, thus allowing us to examine potential seasonal effects on plant resistance. Morphological, biomechanical as well as biochemical plant properties were assessed to better explain potential differences in wave-induced plant damage. Our results indicate that the plants were more robust than expected, with pioneer species Spartina anglica showing a higher resistance than the high-marsh species Elymus athericus. Furthermore, wave-induced plant damage mostly occurred in the upper part of the vegetation canopy and thus higher canopies (i.e. Elymus athericus) were more vulnerable to damage. Besides a taller canopy, Elymus athericus had weaker stems than Spartina anglica, suggesting that biomechanical properties (flexural stiffness) also played a role in defining plant resistance. Under the highest wave conditions, we also found seasonal differences in the vulnerability to plant damage but only for Elymus athericus. Although we found higher concentrations of a strengthening compound (biogenic silica) in the plant material of the weakened plants, the flexibility of the plant material was not affected indicating that the treatment might not has been applied long enough. Nevertheless, this study yields important implications since we demonstrate a high robustness of the salt-marsh vegetation as well as species-specific and seasonal differences in the vulnerability to plant damage.</t>
  </si>
  <si>
    <t>[Reents, Svenja; Jensen, Kai] Univ Hamburg, Inst Plant Sdence &amp; Microbiol, Appl Plant Ecol, Hamburg, Germany; [Reents, Svenja] Helmholtz Ctr Polar &amp; Marine Res, Alfred Wegener Inst, Wadden Sea Res Stn, List Auf Sylt, Germany; [Moeller, Iris] Trinity Coll Dublin, Sch Nat Sci, Dept Geog, Dublin, Ireland; [Evans, Ben R.] British Antarctic Survey, Cambridge, England; [Schoutens, Ken; Temmerman, Stijn] Univ Antwerp, Ecosphere, Antwerp, Belgium; [Paul, Maike] Tech Univ Carolo Wilhelmina Braunschweig, Inst Geoecol, Landscape Ecol &amp; Environm Syst Anal, Braunschweig, Germany; [Paul, Maike] Leibniz Univ Hannover, Ludwig Franzius Inst Hydraul Estuarine &amp; Coastal, Hannover, Germany; [Bouma, Tjeerd J.] Royal Netherlands Inst Sea Res NIOZ, Dept Estuarine &amp; Delta Syst, Yerseke, Netherlands; [Bouma, Tjeerd J.] Univ Utrecht, Fac Geosci, Dept Phys Geog, Utrecht, Netherlands; [Lustig, Jennifer] BioConsult SH GmbH &amp; Co KG, Husum, Germany; [Kudella, Matthias] Forschungszentrum Kuste FZK, Hannover, Germany; [Nolte, Stefanie] Univ East Anglia, Sch Environm Sci, Norwich, Norfolk, England; [Nolte, Stefanie] Ctr Environm Fisheries &amp; Aquaculture Sci Cefas, Lowestoft, Suffolk, England</t>
  </si>
  <si>
    <t>University of Hamburg; Helmholtz Association; Alfred Wegener Institute, Helmholtz Centre for Polar &amp; Marine Research; Trinity College Dublin; UK Research &amp; Innovation (UKRI); Natural Environment Research Council (NERC); NERC British Antarctic Survey; University of Antwerp; Braunschweig University of Technology; Leibniz University Hannover; Utrecht University; Royal Netherlands Institute for Sea Research (NIOZ); Utrecht University; University of East Anglia; Centre for Environment Fisheries &amp; Aquaculture Science</t>
  </si>
  <si>
    <t>Reents, S (corresponding author), Univ Hamburg, Inst Plant Sdence &amp; Microbiol, Appl Plant Ecol, Hamburg, Germany.;Reents, S (corresponding author), Helmholtz Ctr Polar &amp; Marine Res, Alfred Wegener Inst, Wadden Sea Res Stn, List Auf Sylt, Germany.</t>
  </si>
  <si>
    <t>svenja.reents@awi.de</t>
  </si>
  <si>
    <t>Nolte, Stefanie/KBB-0467-2024; Temmerman, Stijn/C-5521-2009; Schoutens, Ken/AEQ-1606-2022; Jensen, Kai/L-6657-2015</t>
  </si>
  <si>
    <t>Nolte, Stefanie/0000-0002-8570-241X; Jensen, Kai/0000-0002-0543-070X; Reents, Svenja/0000-0003-1735-0798</t>
  </si>
  <si>
    <t>10.3389/fmars.2022.898080</t>
  </si>
  <si>
    <t>7I3SH</t>
  </si>
  <si>
    <t>WOS:000903811200001</t>
  </si>
  <si>
    <t>Yoon, DS; Choi, H; Sayed, AEH; Shin, KH; Yim, JH; Kim, S; Lee, MC; Lee, JS</t>
  </si>
  <si>
    <t>Yoon, Deok-Seo; Choi, Hyuntae; Sayed, Alaa El -Din H.; Shin, Kyung-Hoon; Yim, Joung Han; Kim, Sanghee; Lee, Min-Chul; Lee, Jae-Seong</t>
  </si>
  <si>
    <t>Effects of temperature and starvation on life history traits and fatty acid profiles of the Antarctic copepod Tigriopus kingsejongensis</t>
  </si>
  <si>
    <t>Antarctic copepod; Tigriopus kingsejongensis; Temperature; Fatty acid profile; Life history traits</t>
  </si>
  <si>
    <t>DOCOSAHEXAENOIC ACID; MARINE COPEPOD; REPRODUCTION; METABOLISM; GROWTH; RESPONSES; HARPACTICOIDA; DERIVATIVES; SURVIVAL; LIPIDS</t>
  </si>
  <si>
    <t>Changes in temperature and starvation are stressors that can modulate metabolism and fatty acid (FA) composition among zooplankton. However, studies on FA modulation have not been conducted on Antarctic zooplankton. In this study, we aimed to understand the changes in life history parameters and FA profiles associated with starvation at four temperatures (4, 8, 14, and 18 degrees C) in the Antarctic copepod Tigriopus kingsejongensis. In our results, higher temperatures accelerated the development of T. kingsejongensis and increased total offspring. In addition, the production of reactive oxygen species increased with temperature, reflecting an increase in metabolic rate. FA analysis revealed that starvation and higher temperatures decreased the polyunsaturated fatty acid (PUFA) proportion but increased the saturated fatty acid proportion of T. kingsejongensis. Even though the proportion of other PUFAs decreased, docosahexaenoic acid and docosapentaenoic acid were increased by starvation and higher temperatures. Our data provide a better understanding of FA regulation in Antarctic copepods in response to external stressors. (c) 2022 Elsevier B.V. All rights reserved.</t>
  </si>
  <si>
    <t>[Yoon, Deok-Seo; Lee, Jae-Seong] Sungkyunkwan Univ, Coll Sci, Dept Biol Sci, Suwon 16419, South Korea; [Choi, Hyuntae; Shin, Kyung-Hoon] Hanyang Univ, Dept Marine Sci &amp; Convergence Engn, Ansan 15588, South Korea; [Sayed, Alaa El -Din H.] Assiut Univ, Fac Sci, Zool Dept, Assiut 71516, Egypt; [Yim, Joung Han; Kim, Sanghee] Korea Polar Res Inst, Div Polar Life Sci, Incheon 21990, South Korea; [Lee, Min-Chul] Gachon Univ, Coll Bionano Technol, Dept Food &amp; Nutr, Seongnam 13120, South Korea</t>
  </si>
  <si>
    <t>Sungkyunkwan University (SKKU); Hanyang University; Egyptian Knowledge Bank (EKB); Assiut University; Korea Polar Research Institute (KOPRI); Gachon University</t>
  </si>
  <si>
    <t>Lee, JS (corresponding author), Sungkyunkwan Univ, Coll Sci, Dept Biol Sci, Suwon 16419, South Korea.;Lee, MC (corresponding author), Gachon Univ, Coll Bionano Technol, Dept Food &amp; Nutr, Seongnam 13120, South Korea.</t>
  </si>
  <si>
    <t>mclee314@gachon.ac.kr; jslee2@skku.edu</t>
  </si>
  <si>
    <t>Lee, Jae-Seong/H-6013-2015; Sayed, Alaa El-Din H./K-8485-2012; Shin, Kyung-Hoon/AAD-6999-2021; Choi, Hyuntae/JDW-4904-2023</t>
  </si>
  <si>
    <t>Lee, Jae-Seong/0000-0003-0944-5172; Sayed, Alaa El-Din H./0000-0001-7487-4729; Shin, Kyung-Hoon/0000-0002-3169-4274; Choi, Hyuntae/0000-0001-5647-5046</t>
  </si>
  <si>
    <t>Korea Polar Research Institute (KOPRI) - Ministry of Oceans and Fisheries; [KOPRI PE22150]</t>
  </si>
  <si>
    <t>Korea Polar Research Institute (KOPRI) - Ministry of Oceans and Fisheries;</t>
  </si>
  <si>
    <t>This work was supported by a Korea Polar Research Institute (KOPRI) grant funded by the Ministry of Oceans and Fisheries (KOPRI PE22150) .</t>
  </si>
  <si>
    <t>10.1016/j.rsma.2022.102743</t>
  </si>
  <si>
    <t>7F4HU</t>
  </si>
  <si>
    <t>WOS:000901811500003</t>
  </si>
  <si>
    <t>Haque, AB; Oyanedel, R; Cavanagh, RD</t>
  </si>
  <si>
    <t>Haque, Alifa Bintha; Oyanedel, Rodrigo; Cavanagh, Rachel D.</t>
  </si>
  <si>
    <t>Mitigating elasmobranch fin trade: A market analysis for made-to-measure interventions</t>
  </si>
  <si>
    <t>Bay of Bengal; Market -based solutions; Shark; Ray; Wildlife market; Wildlife trade; Compliance</t>
  </si>
  <si>
    <t>LEGAL TRADE; SHARK; CONSERVATION; FISHERIES; SCALE; BANGLADESH; CORRUPTION; FRAMEWORK; PRODUCTS; ADOPTION</t>
  </si>
  <si>
    <t>The unsustainable trade in elasmobranch products, particularly fins, contributes to the decline of elasmobranch populations worldwide. Designing and implementing context-appropriate solutions to mitigate unsustainable trade requires a thorough analysis of markets. Here we assess the market component of the elasmobranch fin trade in the Bay of Bengal, Bangladesh, using a framework designed to analyse wildlife markets. Using a mixed-method approach, we characterised the market to identify the components contributing to unsustainable practices. By-catch retention levels were high leading to the development of a solid market. Trade on fins was prevalent due to a high price, lack of awareness, actors' limited ability to adhere to regulations, and no strategies and incentives to limit fishing mortality. An imbalanced power and financial structure between actors were revealed, with some actors accessing unequal ben-efits from the market. Impediments for adopting conservation measures by low-access actors (e.g., fishers) with limited decision-making power or resources were evident. We also identified challenges to enforcement primarily due to limited reporting and issues identifying species and products. Fishers noted several socio-ecological, technical, and en-forcement issues (e.g., policing instead of meaningful monitoring, punitive measures without facilitating compliance), that will require adequate time and resources to change practices. Lack of opportunities and information to adhere to regulations and increased enforcement has led to conflicts, non-compliance and unwillingness to report catches. The study has significantly strengthened the current understanding of Bangladesh's complex elasmobranch product market while highlighting critical knowledge gaps that must be addressed to inform and improve management decisions. Based on the findings, we recommend targeted actions to respond to the current market for mitigating elasmobranch product trade and moving towards establishing sustainable and ethical trade. Our work has both regional and global significance, given the role of the Bay of Bengal nations in the worldwide elasmobranch product market.</t>
  </si>
  <si>
    <t>[Haque, Alifa Bintha] Univ Oxford, Nat Based Solut Initiat, Dept Zool, Zool Res &amp; Adm Bldg,11a Mansfield Rd, Oxford OX1 3SZ, England; [Haque, Alifa Bintha] Univ Dhaka, Dept Zool, Dhaka 1000, Bangladesh; [Oyanedel, Rodrigo] Univ Oxford, Dept Biol, Interdisciplinary Ctr Conservat Sci, Oxford, England; [Oyanedel, Rodrigo] Inst Milenio Socioecol Costa SECOS, Av Libertador Bernardo OHiggins 340, Santiago, Region Metropol, Chile; [Oyanedel, Rodrigo] Univ Austral Chile, Ctr Invest Dinam Ecosistemas Marinos Altas Latitu, Edificio Emilio Pugin,Piso 1 Campus Isla Teja, Valdivia, Region De Los R, Chile; [Cavanagh, Rachel D.] British Antarctic Survey, Madingley Rd, Cambridge CB3 0ET, England</t>
  </si>
  <si>
    <t>University of Oxford; University of Dhaka; University of Oxford; Universidad Austral de Chile; UK Research &amp; Innovation (UKRI); Natural Environment Research Council (NERC); NERC British Antarctic Survey</t>
  </si>
  <si>
    <t>Haque, AB (corresponding author), Univ Oxford, Nat Based Solut Initiat, Dept Zool, Zool Res &amp; Adm Bldg,11a Mansfield Rd, Oxford OX1 3SZ, England.;Haque, AB (corresponding author), Univ Dhaka, Dept Zool, Dhaka 1000, Bangladesh.</t>
  </si>
  <si>
    <t>alifa.haque@zoo.ox.ac.uk</t>
  </si>
  <si>
    <t>Haque, A B M Mahfuzul/GZA-5271-2022; Oyanedel, Rodrigo/AAB-3341-2019</t>
  </si>
  <si>
    <t>Haque, Bazle/0000-0002-0836-3864</t>
  </si>
  <si>
    <t>Bangabandhu Overseas Scholarship, Dhaka University; Natural Environment Research Council (NERC); ANID-Becas Chile; Rufford Foundation; National Geographic Photo Ark ZSL EDGE fellowship; Shark Conservation Fund; Bangladesh Fisheries Research Institute; Save Our Seas Foundation</t>
  </si>
  <si>
    <t>Bangabandhu Overseas Scholarship, Dhaka University; Natural Environment Research Council (NERC)(UK Research &amp; Innovation (UKRI)Natural Environment Research Council (NERC)); ANID-Becas Chile; Rufford Foundation; National Geographic Photo Ark ZSL EDGE fellowship; Shark Conservation Fund; Bangladesh Fisheries Research Institute; Save Our Seas Foundation</t>
  </si>
  <si>
    <t>The authors are grateful to all interviewees for participating in this study and providing essential information. The authors are thankful to Dr. Nathalie Seddon and Dr. Heather Koldeway for very comprehensive comments and edits in shaping the manuscript. The authors also thank SurshtiPatel. The authors are grateful to the Bangabandhu Overseas Scholarship, Dhaka University for funding the 1st author's PhD research, Department of Fisheries (DoF) , Bangladesh for sharing elasmobranch landing data. RDC is supported by Natural Environment Research Council (NERC) core funding to the British Antarctic Survey Ecosystems Programme. RO was supported by ANID-Becas Chile. The authors are also thankful to the Rufford Foundation, National Geographic Photo Ark ZSL EDGE fellowship, Shark Conservation Fund, Bangladesh Fisheries Research Institute and Save Our Seas Foundation for supporting the first author for different conservation research projects in Bangladesh between 2018 and 2022.</t>
  </si>
  <si>
    <t>10.1016/j.scitotenv.2022.160716</t>
  </si>
  <si>
    <t>7F1GQ</t>
  </si>
  <si>
    <t>WOS:000901605000005</t>
  </si>
  <si>
    <t>Silva, JB; Centurion, VB; Duarte, AWF; Galazzi, RM; Arruda, MAZ; Sartoratto, A; Rosa, LH; Oliveira, VM</t>
  </si>
  <si>
    <t>Silva, Jessica B.; Centurion, Victor B.; Duarte, Alysson W. F.; Galazzi, Rodrigo M.; Arruda, Marco A. Z.; Sartoratto, Adilson; Rosa, Luiz H.; Oliveira, Valeria M.</t>
  </si>
  <si>
    <t>Unravelling the genetic potential for hydrocarbon degradation in the sediment microbiome of Antarctic islands</t>
  </si>
  <si>
    <t>FEMS MICROBIOLOGY ECOLOGY</t>
  </si>
  <si>
    <t>biodegradation pathways; soil microbiome; metagenomics; hydrocarbons; maritime antarctica</t>
  </si>
  <si>
    <t>POLYCYCLIC AROMATIC-HYDROCARBONS; DECEPTION ISLAND; MCMURDO-STATION; MINERAL SOILS; DIVERSITY; BACTERIA; BIODEGRADATION; BIOREMEDIATION; CONTAMINATION; COMMUNITIES</t>
  </si>
  <si>
    <t>Hydrocarbons may have a natural or anthropogenic origin and serve as a source of carbon and energy for microorganisms in Antarctic soils. Herein, 16S rRNA gene and shotgun sequencing were employed to characterize taxonomic diversity and genetic potential for hydrocarbon degradation of the microbiome from sediments of sites located in two Antarctic islands subjected to different temperatures, geochemical compositions, and levels of presumed anthropogenic impact, named: Crater Lake/Deception Island (pristine area), Whalers Bay and Fumarole Bay/Deception Island (anthropogenic-impacted area), and Hannah Point/Livingston Island (anthropogenic-impacted area). Hydrocarbon concentrations were measured for further correlation analyses with biological data. The majority of the hydrocarbon-degrading genes were affiliated to the most abundant bacterial groups of the microbiome: Proteobacteria and Actinobacteria. KEGG annotation revealed 125 catabolic genes related to aromatic hydrocarbon (styrene, toluene, ethylbenzene, xylene, naphthalene, and polycyclic hydrocarbons) and aliphatic (alkanes and cycloalkanes) pathways. Only aliphatic hydrocarbons, in low concentrations, were detected in all areas, thus not characterizing the areas under study as anthropogenically impacted or nonimpacted. The high richness and abundance of hydrocarbon-degrading genes suggest that the genetic potential of the microbiome from Antarctic sediments for hydrocarbon degradation is driven by natural hydrocarbon occurrence. Hydrocarbon input in Antarctic soils may result from anthropogenic and natural sources. In this case, a careful investigation was performed to evaluate Antarctic soil microorganisms' genetic potential for hydrocarbon degradation.</t>
  </si>
  <si>
    <t>[Silva, Jessica B.; Centurion, Victor B.; Oliveira, Valeria M.] Univ Estadual Campinas, Res Ctr Chem Biol &amp; Agr CPQBA, Div Microbial Resources, BR-13148218 Paulinia, SP, Brazil; [Silva, Jessica B.; Centurion, Victor B.] Univ Estadual Campinas, Inst Biol, BR-13083862 Campinas, SP, Brazil; [Duarte, Alysson W. F.] Univ Fed Alagoas, Campus Arapiraca UFAL, BR-57309005 Araparica, AL, Brazil; [Galazzi, Rodrigo M.; Arruda, Marco A. Z.] Univ Estadual Campinas, Sample Preparat &amp; Mechanizat Grp GEPAM, Spectrometry, Inst Chem, BR-13083970 Campinas, SP, Brazil; [Galazzi, Rodrigo M.; Arruda, Marco A. Z.] Univ Estadual Campinas, Natl Inst Sci &amp; Technol Bioanalyt INCTBio, Inst Chem, BR-13083970 Campinas, SP, Brazil; [Sartoratto, Adilson] Univ Estadual Campinas, Pluridisciplinary Res Ctr Chem Biol &amp; Agr CPQBA, Organ Chem &amp; Pharmaceut Div, BR-13081970 Paulinia, SP, Brazil; [Rosa, Luiz H.] Fed Univ Minas Gerais UFMG, Inst Biol Sci, BR-31270901 Belo Horizonte, MG, Brazil; [Silva, Jessica B.] Univ Estadual Campinas, Res Ctr Chem Biol &amp; Agr CPQBA, Div Microbial Resources, Ave Alexandre Cazelatto 999, BR-13148218 Paulinia, SP, Brazil</t>
  </si>
  <si>
    <t>Universidade Estadual de Campinas; Universidade de Sao Paulo; Universidade Estadual de Campinas; Universidade Federal de Alagoas; Universidade Estadual de Campinas; Universidade Estadual de Campinas; Universidade Estadual de Campinas; Universidade Federal de Minas Gerais; Universidade Estadual de Campinas</t>
  </si>
  <si>
    <t>Silva, JB (corresponding author), Univ Estadual Campinas, Res Ctr Chem Biol &amp; Agr CPQBA, Div Microbial Resources, Ave Alexandre Cazelatto 999, BR-13148218 Paulinia, SP, Brazil.</t>
  </si>
  <si>
    <t>jbd.silva@outlook.com</t>
  </si>
  <si>
    <t>Duarte, Alysson Wagner Fernandes/S-8062-2019; Oliveira, Valéria Maia/L-2422-2014; da Silva, Jessica/J-7536-2018</t>
  </si>
  <si>
    <t>Duarte, Alysson Wagner Fernandes/0000-0001-9626-7524; Oliveira, Valéria Maia/0000-0001-8817-4758; da Silva, Jessica/0000-0002-5979-5851</t>
  </si>
  <si>
    <t>Sao Paulo Research Foundation-FAPESP [2016/05640-6]; National Council for Scientific and Technological Development (CNPq); Brazilian Antarctic Program (PROANTAR)</t>
  </si>
  <si>
    <t>Sao Paulo Research Foundation-FAPESP(Fundacao de Amparo a Pesquisa do Estado de Sao Paulo (FAPESP)); National Council for Scientific and Technological Development (CNPq)(Conselho Nacional de Desenvolvimento Cientifico e Tecnologico (CNPQ)); Brazilian Antarctic Program (PROANTAR)</t>
  </si>
  <si>
    <t>We thank the Sao Paulo Research Foundation-FAPESP (process number 2016/05640-6), the National Council for Scientific and Technological Development (CNPq; process number159475/2018), the MycoAntar Project, and the Brazilian Antarctic Program (PROANTAR) for financial and logistic support.</t>
  </si>
  <si>
    <t>0168-6496</t>
  </si>
  <si>
    <t>1574-6941</t>
  </si>
  <si>
    <t>FEMS MICROBIOL ECOL</t>
  </si>
  <si>
    <t>FEMS Microbiol. Ecol.</t>
  </si>
  <si>
    <t>fiac143</t>
  </si>
  <si>
    <t>10.1093/femsec/fiac143</t>
  </si>
  <si>
    <t>7A2AA</t>
  </si>
  <si>
    <t>WOS:000898263600003</t>
  </si>
  <si>
    <t>Burgard, C; Jourdain, NC; Reese, R; Jenkins, A; Mathiot, P</t>
  </si>
  <si>
    <t>Burgard, Clara; Jourdain, Nicolas C.; Reese, Ronja; Jenkins, Adrian; Mathiot, Pierre</t>
  </si>
  <si>
    <t>An assessment of basal melt parameterisations for Antarctic ice shelves</t>
  </si>
  <si>
    <t>GROUNDING LINE RETREAT; PINE ISLAND GLACIER; MODEL PISM-PIK; OCEAN CIRCULATION; WEST ANTARCTICA; SEA-LEVEL; SOUTHERN-OCEAN; SHEET MODEL; EXPERIMENTAL-DESIGN; KOHLER GLACIERS</t>
  </si>
  <si>
    <t>Ocean-induced ice-shelf melt is one of the largest uncertainty factors in the Antarctic contribution to future sea-level rise. Several parameterisations exist, linking oceanic properties in front of the ice shelf to melt at the base of the ice shelf, to force ice-sheet models. Here, we assess the potential of a range of these existing basal melt parameterisations to emulate basal melt rates simulated by a cavity-resolving ocean model on the circum-Antarctic scale. To do so, we perform two cross-validations, over time and over ice shelves respectively, and re-tune the parameterisations in a perfect-model approach, to compare the melt rates produced by the newly tuned parameterisations to the melt rates simulated by the ocean model. We find that the quadratic dependence of melt to thermal forcing without dependency on the individual ice-shelf slope and the plume parameterisation yield the best compromise, in terms of integrated shelf melt and spatial patterns. The box parameterisation, which separates the sub-shelf circulation into boxes, the PICOP parameterisation, which combines the box and plume parameterisation, and quadratic parameterisations with dependency on the ice slope yield basal melt rates further from the model reference. The linear parameterisation cannot be recommended as the resulting integrated ice-shelf melt is comparably furthest from the reference. When using offshore hydrographic input fields in comparison to properties on the continental shelf, all parameterisations perform worse; however, the box and the slope-dependent quadratic parameterisations yield the comparably best results. In addition to the new tuning, we provide uncertainty estimates for the tuned parameters.</t>
  </si>
  <si>
    <t>[Burgard, Clara; Jourdain, Nicolas C.; Mathiot, Pierre] Univ Grenoble Alpes, CNRS, IRD, Grenoble INP,IGE, F-38000 Grenoble, France; [Reese, Ronja; Jenkins, Adrian] Northumbria Univ, Dept Geog &amp; Environm Sci, Newcastle Upon Tyne, England</t>
  </si>
  <si>
    <t>Communaute Universite Grenoble Alpes; Universite Grenoble Alpes (UGA); Centre National de la Recherche Scientifique (CNRS); Institut National Polytechnique de Grenoble; Institut de Recherche pour le Developpement (IRD); Northumbria University</t>
  </si>
  <si>
    <t>Burgard, C (corresponding author), Univ Grenoble Alpes, CNRS, IRD, Grenoble INP,IGE, F-38000 Grenoble, France.</t>
  </si>
  <si>
    <t>clara.burgard@univ-grenoble-alpes.fr</t>
  </si>
  <si>
    <t>Jenkins, Adrian/IUN-2406-2023; Jourdain, Nicolas/B-6899-2015</t>
  </si>
  <si>
    <t>Jourdain, Nicolas/0000-0002-1372-2235; Burgard, Clara/0000-0003-3847-3172; Reese, Ronja/0000-0001-7625-040X; Jenkins, Adrian/0000-0002-9117-0616</t>
  </si>
  <si>
    <t>Hori-zon 2020 research and innovation programme [869304]; Equipement NationalDe Calcul Intensif [A0080106035, A0100106035]; European Union [820575, 101003536]; H2020 Societal Challenges Programme [820575] Funding Source: H2020 Societal Challenges Programme</t>
  </si>
  <si>
    <t>Hori-zon 2020 research and innovation programme(Horizon 2020); Equipement NationalDe Calcul Intensif; European Union(European Union (EU)); H2020 Societal Challenges Programme(Horizon 2020European Union (EU)H2020 Societal Challenges Programme)</t>
  </si>
  <si>
    <t>This research has been supported by the Hori-zon 2020 research and innovation programme (grant no. 869304, PROTECT contribution 49) and the Grand Equipement NationalDe Calcul Intensif (grant nos. A0080106035 and A0100106035). Co-authors were also supported by the European Union's Horizon2020 research and innovation programme under grant agreementnos. 820575 (TiPACCs) and 101003536 (ESM2025)</t>
  </si>
  <si>
    <t>10.5194/tc-16-4931-2022</t>
  </si>
  <si>
    <t>7B1DO</t>
  </si>
  <si>
    <t>WOS:000898883200001</t>
  </si>
  <si>
    <t>Akers, PD; Savarino, J; Caillon, N; Magand, O; Le Meur, E</t>
  </si>
  <si>
    <t>Akers, Pete D.; Savarino, Joel; Caillon, Nicolas; Magand, Olivier; Le Meur, Emmanuel</t>
  </si>
  <si>
    <t>Photolytic modification of seasonal nitrate isotope cycles in East Antarctica</t>
  </si>
  <si>
    <t>ATMOSPHERIC CHEMISTRY AND PHYSICS</t>
  </si>
  <si>
    <t>SURFACE MASS-BALANCE; AIR-SNOW TRANSFER; ATMOSPHERIC NITRATE; DOME C; REACTIVE NITROGEN; SOUTH-POLE; FORMATION PATHWAYS; ICE CORES; OXYGEN; CHEMISTRY</t>
  </si>
  <si>
    <t>Nitrate in Antarctic snow has seasonal cycles in nitrogen and oxygen isotopic ratios that reflect its sources and atmospheric formation processes, and as a result, nitrate archived in Antarctic ice should have great potential to record atmospheric chemistry changes over thousands of years. However, sunlight that strikes the snow surface results in photolytic nitrate loss and isotopic fractionation that can completely obscure the nitrate's original isotopic values. To gain insight into how photolysis overwrites the seasonal atmospheric cycles, we collected 244 snow samples along an 850 km transect of East Antarctica during the 2013-2014 CHICTABA traverse. The CHICTABA route's limited elevation change, consistent distance between the coast and the high interior plateau, and intermediate accumulation rates offered a gentle environmental gradient ideal for studying the competing pre- and post-depositional influences on archived nitrate isotopes. We find that nitrate isotopes in snow along the transect are indeed notably modified by photolysis after deposition, and drier sites have more intense photolytic impacts. Still, an imprint of the original seasonal cycles of atmospheric nitrate isotopes is present in the top 1-2 m of the snowpack and likely preserved through archiving in glacial ice at these sites. Despite this preservation, reconstructing past atmospheric values from archived nitrate in similar transitional regions will remain a difficult challenge without having an independent proxy for photolytic loss to correct for post-depositional isotopic changes. Nevertheless, nitrate isotopes should function as a proxy for snow accumulation rate in such regions if multiple years of deposition are aggregated to remove the seasonal cycles, and this application can prove highly valuable in its own right.</t>
  </si>
  <si>
    <t>[Akers, Pete D.] Trinity Coll Dublin, Sch Nat Sci, Discipline Geog, Dublin, Ireland; [Akers, Pete D.; Savarino, Joel; Caillon, Nicolas; Magand, Olivier; Le Meur, Emmanuel] Univ Grenoble Alpes, CNRS, IRD, Grenoble INP, Grenoble, France</t>
  </si>
  <si>
    <t>Trinity College Dublin; Communaute Universite Grenoble Alpes; Institut National Polytechnique de Grenoble; Centre National de la Recherche Scientifique (CNRS); Institut de Recherche pour le Developpement (IRD); Universite Grenoble Alpes (UGA)</t>
  </si>
  <si>
    <t>Akers, PD (corresponding author), Trinity Coll Dublin, Sch Nat Sci, Discipline Geog, Dublin, Ireland.;Akers, PD (corresponding author), Univ Grenoble Alpes, CNRS, IRD, Grenoble INP, Grenoble, France.</t>
  </si>
  <si>
    <t>pete.akers@tcd.ie</t>
  </si>
  <si>
    <t>Akers, Pete D/J-7590-2017; Caillon, Nicolas/B-7127-2019; savarino, joel/H-9730-2012</t>
  </si>
  <si>
    <t>Akers, Pete D./0000-0002-2266-5551; Caillon, Nicolas/0000-0002-6318-6194; savarino, joel/0000-0002-6708-9623</t>
  </si>
  <si>
    <t>INSU/C-NRS LEFE-IMAGO though the project PROXYNNOV; European Commission, Horizon 2020 Framework Programme (SCADI); Agence Nationale de la Recherche [889508]; Institut Polaire Francais Paul Emile Victor [ANR-10-LABX56, ANR-11-EQPX-009-CLIMCOR, ANR-16-CE01-0011-01-EAIIST]; [1115]; [1117]; [1169]</t>
  </si>
  <si>
    <t>INSU/C-NRS LEFE-IMAGO though the project PROXYNNOV; European Commission, Horizon 2020 Framework Programme (SCADI); Agence Nationale de la Recherche(Agence Nationale de la Recherche (ANR)); Institut Polaire Francais Paul Emile Victor; ; ;</t>
  </si>
  <si>
    <t>This research has been supported by INSU/C-NRS LEFE-IMAGO though the project PROXYNNOV, the European Commission, Horizon 2020 Framework Programme (SCADI (grant no. 889508)), the Agence Nationale de la Recherche (grant nos. ANR-10-LABX56, ANR-11-EQPX-009-CLIMCOR, ANR-16-CE01-0011-01-EAIIST), and the Institut Polaire Francais Paul Emile Victor (grant nos. 1115, 1117, 1169).</t>
  </si>
  <si>
    <t>1680-7316</t>
  </si>
  <si>
    <t>1680-7324</t>
  </si>
  <si>
    <t>ATMOS CHEM PHYS</t>
  </si>
  <si>
    <t>Atmos. Chem. Phys.</t>
  </si>
  <si>
    <t>10.5194/acp-22-15637-2022</t>
  </si>
  <si>
    <t>7B1LS</t>
  </si>
  <si>
    <t>WOS:000898904500001</t>
  </si>
  <si>
    <t>Todd, BJ; Dowdeswell, JA; Shaw, J; Campbell, DC; Mate, DJ</t>
  </si>
  <si>
    <t>Todd, Brian J.; Dowdeswell, Julian A.; Shaw, John; Campbell, D. Calvin; Mate, David J.</t>
  </si>
  <si>
    <t>Deglacial dynamics of the Foxe-Baffin Ice Sheet, Frobisher Bay, Nunavut, Canada revealed by submarine landform mapping</t>
  </si>
  <si>
    <t>JOURNAL OF QUATERNARY SCIENCE</t>
  </si>
  <si>
    <t>Foxe-Baffin Ice Dome; Frobisher Bay; ice-moulded bedrock; megaridges; submarine glacial landforms</t>
  </si>
  <si>
    <t>PINE ISLAND BAY; HUDSON STRAIT; GLACIAL LANDFORMS; CONTINENTAL-SHELF; STREAMLINED BEDROCK; BRITISH-COLUMBIA; DEGEER MORAINES; AGE CALIBRATION; EASTERN CANADA; PLACENTIA BAY</t>
  </si>
  <si>
    <t>Previous interpretation of the nature and distribution of subaerial glacial landforms established that Frobisher Bay in southeastern Baffin Island was glaciated in the Late Wisconsinan by ice flowing southeast from the Foxe-Baffin Ice Dome. New seafloor mapping within the bay has revealed submarine glacial landforms that are described and interpreted in the context of their subglacial, ice-marginal, glaciomarine and marine process environments. Interpretation of the evidence confirms that ice occupied Frobisher Bay, flowing from the northwest to southeast, parallel to the orientation of the bay. Relatively rapid ice velocities are indicated by the presence of ice-moulded bedrock and megaridges flanking a deep trough (&gt;700 m) along the faulted southern flank of Frobisher Bay. In shallower regions, areal scouring and channelisation indicate the widespread presence of glacial ice. As ice retreated to the northwest towards the Foxe Ice Dome, De Geer and recessional moraines were deposited at the ice front. The latter correlate spatially with the extensive Frobisher Bay Moraine System on land. Two iceberg ploughmark populations are evident, with smaller relict features in shallow water in rare locations in the northwest of the bay, and larger relict and modern ploughmarks in deeper water in outer Frobisher Bay.</t>
  </si>
  <si>
    <t>[Todd, Brian J.; Shaw, John; Campbell, D. Calvin] Nat Resources Canada, Bedford Inst Oceanog, Geol Survey Canada Atlantic, Dartmouth, NS, Canada; [Dowdeswell, Julian A.] Univ Cambridge, Scott Polar Res Inst, Cambridge, England; [Mate, David J.] Nat Resources Canada, Geol Survey Canada, Ottawa, ON, Canada</t>
  </si>
  <si>
    <t>Bedford Institute of Oceanography; Natural Resources Canada; Lands &amp; Minerals Sector - Natural Resources Canada; Geological Survey of Canada; University of Cambridge; Natural Resources Canada; Lands &amp; Minerals Sector - Natural Resources Canada; Geological Survey of Canada</t>
  </si>
  <si>
    <t>Todd, BJ (corresponding author), Nat Resources Canada, Bedford Inst Oceanog, Geol Survey Canada Atlantic, Dartmouth, NS, Canada.</t>
  </si>
  <si>
    <t>brian.todd@nrcan-rncan.gc.ca</t>
  </si>
  <si>
    <t>Canadian Northern Economic Development Agency's (CanNor) Strategic Investments in Northern Economic Development (SINED) program; Program of Energy Research and Development (PERD); ArcticNet; [20210625]</t>
  </si>
  <si>
    <t>Canadian Northern Economic Development Agency's (CanNor) Strategic Investments in Northern Economic Development (SINED) program; Program of Energy Research and Development (PERD)(Natural Resources Canada); ArcticNet;</t>
  </si>
  <si>
    <t>The multibeam sonar bathymetric data were collected and initially processed by the Ocean Mapping Group of the University of New Brunswick under the direction of J.E. Hughes Clarke. The authors thank the captains, crews and scientific staff on board the CCGS Amundsen and the RV Nuliajuk during surveys of the region. J. Kennedy is thanked for co-ordinating data collection on the RV Nuliajuk. Financial support for this study was provided by the Canadian Northern Economic Development Agency's (CanNor) Strategic Investments in Northern Economic Development (SINED) program, the Program of Energy Research and Development (PERD) and ArcticNet. Robert C. Courtney of the Geological Survey of Canada (GSC) developed the seismic reflection freeware. The authors thank Kelly A. Hogan (British Antarctic Survey) and an anonymous reviewer for their helpful comments on the manuscript. This is Natural Resources Canada contribution number 20210625.</t>
  </si>
  <si>
    <t>0267-8179</t>
  </si>
  <si>
    <t>1099-1417</t>
  </si>
  <si>
    <t>J QUATERNARY SCI</t>
  </si>
  <si>
    <t>J. Quat. Sci.</t>
  </si>
  <si>
    <t>10.1002/jqs.3486</t>
  </si>
  <si>
    <t>C6NC8</t>
  </si>
  <si>
    <t>WOS:000898020300001</t>
  </si>
  <si>
    <t>Van Puyvelde, M; Gijbels, D; Van Caelenberg, T; Smith, N; Bessone, L; Buckle-Charlesworth, S; Pattyn, N</t>
  </si>
  <si>
    <t>Van Puyvelde, Martine; Gijbels, Daisy; Van Caelenberg, Thomas; Smith, Nathan; Bessone, Loredana; Buckle-Charlesworth, Susan; Pattyn, Nathalie</t>
  </si>
  <si>
    <t>Living on the edge: How to prepare for it?</t>
  </si>
  <si>
    <t>FRONTIERS IN NEUROERGONOMICS</t>
  </si>
  <si>
    <t>isolated; confined; extreme environment; ICE-environment; isolation; space-analog; Antarctica; training</t>
  </si>
  <si>
    <t>SHORT-TERM; COGNITIVE PERFORMANCE; SLEEP-DEPRIVATION; CIRCADIAN-RHYTHMS; SPACE; POLAR; MISSIONS; ENVIRONMENTS; PSYCHOLOGY; CONFLICT</t>
  </si>
  <si>
    <t>IntroductionIsolated, confined, and extreme (ICE) environments such as found at Antarctic, Arctic, and other remote research stations are considered space-analogs to study the long duration isolation aspects of operational space mission conditions.MethodsWe interviewed 24 sojourners that participated in different short/long duration missions in an Antarctic (Concordia, Halley VI, Rothera, Neumayer II) or non-Antarctic (e.g., MDRS, HI-SEAS) station or in polar treks, offering a unique insight based on first-hand information on the nature of demands by ICE-personnel at multiple levels of functioning. We conducted a qualitative thematic analysis to explore how sojourners were trained, prepared, how they experienced the ICE-impact in function of varieties in environment, provided trainings, station-culture, and type of mission.ResultsThe ICE-environment shapes the impact of organizational, interpersonal, and individual working- and living systems, thus influencing the ICE-sojourners' functioning. Moreover, more specific training for operating in these settings would be beneficial. The identified pillars such as sensory deprivation, sleep, fatigue, group dynamics, displacement of negative emotions, gender-issues along with coping strategies such as positivity, salutogenic effects, job dedication and collectivistic thinking confirm previous literature. However, in this work, we applied a systemic perspective, assembling the multiple levels of functioning in ICE-environments.DiscussionA systemic approach could serve as a guide to develop future preparatory ICE-training programs, including all the involved parties of the crew system (e.g., family, on-ground crew) with attention for the impact of organization- and station-related subcultures and the risk of unawareness about the impact of poor sleep, fatigue, and isolation on operational safety that may occur on location.</t>
  </si>
  <si>
    <t>[Van Puyvelde, Martine; Gijbels, Daisy; Van Caelenberg, Thomas; Pattyn, Nathalie] Royal Mil Acad, Life Sci LIFE Dept, Vital Signs &amp; PERformance Monitoring VIPER Res Uni, Brussels, Belgium; [Van Puyvelde, Martine] Vrije Univ Brussel, Fac Psychol &amp; Educ Sci, Dept Psychol, Brain Body &amp; Cognit BBC, Brussels, Belgium; [Van Puyvelde, Martine] Vrije Univ Brussel, Fac Psychol &amp; Educ Sci, Dept Psychol, Clin &amp; Lifespan Psychol, Brussels, Belgium; [Van Puyvelde, Martine] Liverpool John Moores Univ, Fac Sci, Sch Nat Sci &amp; Psychol, Liverpool, England; [Van Caelenberg, Thomas; Bessone, Loredana; Buckle-Charlesworth, Susan] European Astronaut Ctr, Human Behav &amp; Performance Training, Cologne, Germany; [Smith, Nathan] Coventry Univ, Protect Secur &amp; Resilience Ctr, Coventry, England; [Buckle-Charlesworth, Susan] Oxford Human Performance, Oxford, Oxon, England; [Pattyn, Nathalie] Vrije Univ Brussel, Human Physiol Dept, Human Physiol &amp; Human Performance Lab MFYS BLITS, Brussels, Belgium</t>
  </si>
  <si>
    <t>Vrije Universiteit Brussel; Vrije Universiteit Brussel; Liverpool John Moores University; European Space Agency; Coventry University; Vrije Universiteit Brussel</t>
  </si>
  <si>
    <t>Van Puyvelde, M (corresponding author), Royal Mil Acad, Life Sci LIFE Dept, Vital Signs &amp; PERformance Monitoring VIPER Res Uni, Brussels, Belgium.;Van Puyvelde, M (corresponding author), Vrije Univ Brussel, Fac Psychol &amp; Educ Sci, Dept Psychol, Brain Body &amp; Cognit BBC, Brussels, Belgium.;Van Puyvelde, M (corresponding author), Vrije Univ Brussel, Fac Psychol &amp; Educ Sci, Dept Psychol, Clin &amp; Lifespan Psychol, Brussels, Belgium.;Van Puyvelde, M (corresponding author), Liverpool John Moores Univ, Fac Sci, Sch Nat Sci &amp; Psychol, Liverpool, England.</t>
  </si>
  <si>
    <t>Martine.Van.Puyvelde@vub.be</t>
  </si>
  <si>
    <t>Smith, Nathan John/JXY-5736-2024</t>
  </si>
  <si>
    <t>Smith, Nathan John/0009-0000-1982-8420</t>
  </si>
  <si>
    <t>BELSPO (Belgian Federal Science Policy Office)</t>
  </si>
  <si>
    <t>BELSPO (Belgian Federal Science Policy Office)(Belgian Federal Science Policy Office)</t>
  </si>
  <si>
    <t>This research was funded by BELSPO (Belgian Federal Science Policy Office).</t>
  </si>
  <si>
    <t>2673-6195</t>
  </si>
  <si>
    <t>FRONT NEUROERGONOM</t>
  </si>
  <si>
    <t>Front. Neuroergon.</t>
  </si>
  <si>
    <t>10.3389/fnrgo.2022.1007774</t>
  </si>
  <si>
    <t>Ergonomics; Neurosciences</t>
  </si>
  <si>
    <t>Engineering; Neurosciences &amp; Neurology</t>
  </si>
  <si>
    <t>Y4NZ0</t>
  </si>
  <si>
    <t>WOS:001105058100001</t>
  </si>
  <si>
    <t>Giacomini, HC</t>
  </si>
  <si>
    <t>Giacomini, Henrique Correa</t>
  </si>
  <si>
    <t>Metabolic responses of predators to prey density</t>
  </si>
  <si>
    <t>FRONTIERS IN ECOLOGY AND EVOLUTION</t>
  </si>
  <si>
    <t>metabolic ecology; predator-prey interactions; food web stability; ecosystem models; generalized modeling; trophic cascades; bioenergetics; functional response</t>
  </si>
  <si>
    <t>PERCH PERCA-FLAVESCENS; DOUBLY LABELED WATER; FOOD-WEB COMPLEXITY; ANTARCTIC FUR SEALS; FUNCTIONAL-RESPONSES; ENERGY-EXPENDITURE; FORAGING BEHAVIOR; BODY-SIZE; TROPHIC CASCADES; ECOLOGICAL CONSEQUENCES</t>
  </si>
  <si>
    <t>The metabolic cost of foraging is the dark energy of ecological systems. It is much harder to observe and to measure than its beneficial counterpart, prey consumption, yet it is not inconsequential for the dynamics of prey and predator populations. Here I define the metabolic response as the change in energy expenditure of predators in response to changes in prey density. It is analogous and intrinsically linked to the functional response, which is the change in consumption rate with prey density, as they are both shaped by adjustments in foraging activity. These adjustments are adaptive, ubiquitous in nature, and are implicitly assumed by models of predator-prey dynamics that impose consumption saturation in functional responses. By ignoring the associated metabolic responses, these models violate the principle of energy conservation and likely underestimate the strength of predator-prey interactions. Using analytical and numerical approaches, I show that missing this component of interaction has broad consequences for dynamical stability and for the robustness of ecosystems to persistent environmental or anthropogenic stressors. Negative metabolic responses - those resulting from decreases in foraging activity when more prey is available, and arguably the most common - lead to lower local stability of food webs and a faster pace of change in population sizes, including higher excitability, higher frequency of oscillations, and quicker return times to equilibrium when stable. They can also buffer the effects of press perturbations, such as harvesting, on target populations and on their prey through top-down trophic cascades, but are expected to magnify bottom-up cascades, including the effects of nutrient enrichment or the effects of altering lower trophic levels that can be caused by environmental forcing and climate change. These results have implications for any resource management approach that relies on models of food web dynamics, which is the case of many applications of ecosystem-based fisheries management. Finally, besides having their own individual effects, metabolic responses have the potential to greatly alter, or even invert, functional response-stability relationships, and therefore can be critical to an integral understanding of predation and its influence on population dynamics and persistence.</t>
  </si>
  <si>
    <t>[Giacomini, Henrique Correa] Ontario Minist Nat Resources &amp; Forestry, Aquat Res &amp; Monitoring Sect, Peterborough, ON, Canada</t>
  </si>
  <si>
    <t>Ministry of Natural Resources &amp; Forestry</t>
  </si>
  <si>
    <t>Giacomini, HC (corresponding author), Ontario Minist Nat Resources &amp; Forestry, Aquat Res &amp; Monitoring Sect, Peterborough, ON, Canada.</t>
  </si>
  <si>
    <t>henrique.giacomini@ontario.ca</t>
  </si>
  <si>
    <t>Fonds de recherche du Quebec - Nature et technologies (FRQNT); [176474]</t>
  </si>
  <si>
    <t>Fonds de recherche du Quebec - Nature et technologies (FRQNT)(Fonds de recherche du Quebec (FRQ)Fonds de recherche du Quebec - Nature et technologies (FRQNT));</t>
  </si>
  <si>
    <t>The initial project giving rise to this paper was supported by a Quebec-Brazil Postdoctoral fellowship scholarship from the Fonds de recherche du Quebec - Nature et technologies (FRQNT), dossier 176474, in the period 2013-2014.</t>
  </si>
  <si>
    <t>2296-701X</t>
  </si>
  <si>
    <t>FRONT ECOL EVOL</t>
  </si>
  <si>
    <t>Front. Ecol. Evol.</t>
  </si>
  <si>
    <t>DEC 13</t>
  </si>
  <si>
    <t>10.3389/fevo.2022.980812</t>
  </si>
  <si>
    <t>7I7KG</t>
  </si>
  <si>
    <t>WOS:000904064400001</t>
  </si>
  <si>
    <t>Mair, L; Amorim, E; Bicalho, M; Brooks, TM; Calfo, V; Capellao, RD; Clubbe, C; Evju, M; Fernandez, EP; Ferreira, GC; Hawkins, F; Jiménez, RR; Jordao, LSB; Kyrkjeeide, MO; Macfarlane, NBW; Mattos, BC; de Melo, PHA; Monteiro, LM; Lughadha, EN; Pougy, N; Raimondo, DC; Setsaas, TH; Shen, XL; de Siqueira, MF; Strassburg, BBN; McGowan, PJK</t>
  </si>
  <si>
    <t>Mair, Louise; Amorim, Eduardo; Bicalho, Monira; Brooks, Thomas M.; Calfo, Vincente; Capellao, Renata de T.; Clubbe, Colin; Evju, Marianne; Fernandez, Eduardo P.; Ferreira, Glaucia C.; Hawkins, Frank; Jimenez, Randall R.; Jordao, Lucas S. B.; Kyrkjeeide, Magni Olsen; Macfarlane, Nicholas B. W.; Mattos, Bianca C.; de Melo, Pablo H. A.; Monteiro, Lara M.; Lughadha, Eimear Nic; Pougy, Nina; Raimondo, Domitilla C.; Setsaas, Trine Hay; Shen, Xiaoli; de Siqueira, Marinez Ferreira; Strassburg, Bernardo B. N.; McGowan, Philip J. K.</t>
  </si>
  <si>
    <t>Quantifying and mapping species threat abatement opportunities to support national target setting</t>
  </si>
  <si>
    <t>CONSERVATION BIOLOGY</t>
  </si>
  <si>
    <t>habitat restoration; national red lists; species' extinction risk; threat reduction; threatened species; vascular plants</t>
  </si>
  <si>
    <t>EXTINCTION RISK; CONSERVATION; BIODIVERSITY</t>
  </si>
  <si>
    <t>The successful implementation of the Convention on Biological Diversity's post-2020 Global Biodiversity Framework will rely on effective translation of targets from global to national level and increased engagement across diverse sectors of society. Species conservation targets require policy support measures that can be applied to a diversity of taxonomic groups, that link action targets to outcome goals, and that can be applied to both global and national data sets to account for national context, which the species threat abatement and restoration (STAR) metric does. To test the flexibility of STAR, we applied the metric to vascular plants listed on national red lists of Brazil, Norway, and South Africa. The STAR metric uses data on species' extinction risk, distributions, and threats, which we obtained from national red lists to quantify the contribution that threat abatement and habitat restoration activities could make to reducing species' extinction risk. Across all 3 countries, the greatest opportunity for reducing plant species' extinction risk was from abating threats from agricultural activities, which could reduce species' extinction risk by 54% in Norway, 36% in South Africa, and 29% in Brazil. Species extinction risk could be reduced by a further 21% in South Africa by abating threats from invasive species and by 21% in Brazil by abating threats from urban expansion. Even with different approaches to red-listing among countries, the STAR metric yielded informative results that identified where the greatest conservation gains could be made for species through threat-abatement and restoration activities. Quantifiably linking local taxonomic coverage and data collection to global processes with STAR would allow national target setting to align with global targets and enable state and nonstate actors to measure and report on their potential contributions to species conservation.</t>
  </si>
  <si>
    <t>[Mair, Louise; McGowan, Philip J. K.] Newcastle Univ, Sch Nat &amp; Environm Sci, Newcastle Upon Tyne NE1 7RU, Tyne &amp; Wear, England; [Amorim, Eduardo; Bicalho, Monira; Calfo, Vincente; Fernandez, Eduardo P.; Ferreira, Glaucia C.; Jordao, Lucas S. B.; de Melo, Pablo H. A.; de Siqueira, Marinez Ferreira] Ctr Nacl Conservacao Flora, Inst Pesquisas Jardim Bot Rio de Janeiro, Rio De Janeiro, Brazil; [Brooks, Thomas M.] IUCN, Gland, Switzerland; [Brooks, Thomas M.] Univ Philippines Los Banos, World Agroforestry Ctr ICRAF, Laguna, Philippines; [Brooks, Thomas M.] Univ Tasmania, Inst Marine &amp; Antarctic Studies, Hobart, Tas, Australia; [Capellao, Renata de T.; Monteiro, Lara M.; Pougy, Nina; Strassburg, Bernardo B. N.] Int Inst Sustainabil, Rio De Janeiro, Brazil; [Clubbe, Colin; Lughadha, Eimear Nic] Royal Bot Gardens Kew, Richmond, Surrey, England; [Evju, Marianne] Norwegian Inst Nat Res NINA, Oslo, Norway; [Hawkins, Frank; Macfarlane, Nicholas B. W.] IUCN, Washington, DC USA; [Jimenez, Randall R.] IUCN, San Jose, Costa Rica; [Kyrkjeeide, Magni Olsen; Setsaas, Trine Hay] Norwegian Inst Nat Res NINA, Trondheim, Norway; [Mattos, Bianca C.] WWF Portugal, Lisbon, Portugal; [Raimondo, Domitilla C.] South African Natl Biodivers Inst, Pretoria, South Africa; [Raimondo, Domitilla C.] IUCN Species Survival Commiss, Pretoria, South Africa; [Shen, Xiaoli] Chinese Acad Sci, Inst Bot, State Key Lab Vegetat &amp; Environm Change, Beijing, Peoples R China; [Strassburg, Bernardo B. N.] Pontificia Univ Catolica Rio de Janeiro, Rio Conservat &amp; Sustainabil Sci Ctr, Dept Geog &amp; Environm, Rio de Janeiro, Brazil</t>
  </si>
  <si>
    <t>Newcastle University - UK; Jardim Botanico do Rio de Janeiro; CGIAR; World Agroforestry (ICRAF); University of the Philippines System; University of the Philippines Los Banos; University of Tasmania; Royal Botanic Gardens, Kew; Norwegian Institute Nature Research; Norwegian Institute Nature Research; South African National Biodiversity Institute; Chinese Academy of Sciences; Institute of Botany, CAS; Pontificia Universidade Catolica do Rio de Janeiro</t>
  </si>
  <si>
    <t>Mair, L (corresponding author), Newcastle Univ, Sch Nat &amp; Environm Sci, Newcastle Upon Tyne NE1 7RU, Tyne &amp; Wear, England.</t>
  </si>
  <si>
    <t>louise.mair@newcastle.ac.uk</t>
  </si>
  <si>
    <t>Mair, Louise/AAL-4986-2020; Lughadha, Eimear M Nic/N-4560-2014; de Siqueira, Marinez Ferreira/I-9205-2012; Melo, Pablo Hendrigo Alves/F-2526-2017</t>
  </si>
  <si>
    <t>Mair, Louise/0000-0002-7419-7200; de Siqueira, Marinez Ferreira/0000-0002-6869-0293; de Macedo Monteiro, Lara/0000-0002-2524-5173; Fernandez, Eduardo/0000-0003-3162-0061; Crispim Ferreira, Glaucia/0000-0001-5166-5115; Sa Barreto Jordao, Lucas/0000-0002-9501-0548</t>
  </si>
  <si>
    <t>Global Environment Facility; Conservation International GEF Project Agency; Newcastle University; International Union for the Conservation of Nature (IUCN); Norwegian Institute for Nature Research (NINA)</t>
  </si>
  <si>
    <t>We acknowledge funding from the Global Environment Facility and support from the Conservation International GEF Project Agency. L.M. is funded by Newcastle University and the International Union for the Conservation of Nature (IUCN). M.E., M.O.K., and T.H.S. are funded by the Norwegian Institute for Nature Research (NINA).</t>
  </si>
  <si>
    <t>0888-8892</t>
  </si>
  <si>
    <t>1523-1739</t>
  </si>
  <si>
    <t>CONSERV BIOL</t>
  </si>
  <si>
    <t>Conserv. Biol.</t>
  </si>
  <si>
    <t>10.1111/cobi.14046</t>
  </si>
  <si>
    <t>Biodiversity Conservation; Ecology; Environmental Sciences</t>
  </si>
  <si>
    <t>9E8OZ</t>
  </si>
  <si>
    <t>WOS:000897886300001</t>
  </si>
  <si>
    <t>Kelly, TR; Fitzgibbon, QP; Giosio, DR; Trotter, AJ; Smith, GG</t>
  </si>
  <si>
    <t>Kelly, Tara R.; Fitzgibbon, Quinn P.; Giosio, Dean R.; Trotter, Andrew J.; Smith, Gregory G.</t>
  </si>
  <si>
    <t>Development of a two-current choice flume behavioural bioassay for juvenile Panulirus ornatus response to moulting cues</t>
  </si>
  <si>
    <t>CARIBBEAN SPINY LOBSTERS; ROCK LOBSTER; ORCONECTES RUSTICUS; PHYLLOSOMA LARVAE; FEEDING-BEHAVIOR; STAGE PHYLLOSOMA; SEX-PHEROMONE; CHEMICAL CUES; CRAYFISH; GROWTH</t>
  </si>
  <si>
    <t>Characterising crustacean behaviour in response to conspecific chemical cues contributes to our evolving knowledge of the drivers of their social behaviour. There is particular interest in understanding the chemical and behavioural mechanisms contributing to cannibalism at ecdysis, as this behaviour substantially limits culture productivity of several commercially important crustaceans. Before investigating the role of chemoreception in cannibalism of moulting crustaceans, we must investigate its role in detecting moulting conspecifics. Here we use a two-current choice flume to observe juvenile tropical rock lobster (Panulirus ornatus) behavioural response to conspecific moulting cues and identifying attracted and avoidant behaviours correlating to moult stage and social relationship. Observed cue preferences show inter-moult juveniles are attracted to the moulting cues of lobsters to which they are socially naive. In contrast, post-moult and inter-moult juveniles avoid the moulting cues of individuals whom they are socially familiar with. Average speed and total distance travelled by lobsters increases in response to conspecific moulting cues. This study demonstrates the suitability of a two-current choice flume for behavioural assays in P. ornatus and characterises clear behavioural patterns in juveniles exposed to conspecific moulting cues. This provides important framework for understanding the role of chemical communication in eliciting cannibalism.</t>
  </si>
  <si>
    <t>[Kelly, Tara R.; Fitzgibbon, Quinn P.; Trotter, Andrew J.; Smith, Gregory G.] Univ Tasmania, Inst Marine &amp; Antarctic Studies IMAS, Private Bag 49, Hobart, Tas 7001, Australia; [Giosio, Dean R.] Univ Tasmania, Sch Engn, Hobart, Tas 7000, Australia</t>
  </si>
  <si>
    <t>University of Tasmania; University of Tasmania</t>
  </si>
  <si>
    <t>Kelly, TR (corresponding author), Univ Tasmania, Inst Marine &amp; Antarctic Studies IMAS, Private Bag 49, Hobart, Tas 7001, Australia.</t>
  </si>
  <si>
    <t>t.kelly@utas.edu.au</t>
  </si>
  <si>
    <t>Kelly, Tara/0000-0001-5417-2041; Fitzgibbon, Quinn/0000-0002-1104-3052</t>
  </si>
  <si>
    <t>Australian Research Council Industrial Transformation Hub for Sustainable Onshore Lobster Aquaculture [IH190100014]</t>
  </si>
  <si>
    <t>Australian Research Council Industrial Transformation Hub for Sustainable Onshore Lobster Aquaculture(Australian Research Council)</t>
  </si>
  <si>
    <t>This research was conducted by the Australian Research Council Industrial Transformation Hub for Sustainable Onshore Lobster Aquaculture (project number IH190100014). The views expressed herein are those of the authors and are not necessarily those of the Australian Government or Australian Research Council. Thanks to all Hub staff for lobster culture and assistance with system construction. Many thanks to reviewers for their comments.</t>
  </si>
  <si>
    <t>DEC 12</t>
  </si>
  <si>
    <t>10.1038/s41598-022-25969-7</t>
  </si>
  <si>
    <t>9A5PU</t>
  </si>
  <si>
    <t>WOS:000934111100049</t>
  </si>
  <si>
    <t>Ordóñez-Enireb, E; Cucalon, RV; Cárdenas, D; Ordóñez, N; Coello, S; Elizalde, P; Cárdenas, WB</t>
  </si>
  <si>
    <t>Ordonez-Enireb, Eunice; Cucalon, Roberto, V; Cardenas, Diana; Ordonez, Nadia; Coello, Santiago; Elizalde, Paola; Cardenas, Washington B.</t>
  </si>
  <si>
    <t>Antarctic fungi with antibiotic potential isolated from Fort William Point, Antarctica</t>
  </si>
  <si>
    <t>THELEBOLUS-MICROSPORUS; PHYLOGENETIC ANALYSIS; MICROBIAL DIVERSITY; COMMUNITIES PRESENT; ASCOMYCETE FUNGUS; ANTIBACTERIAL; SEQUENCE; SOIL; IDENTIFICATION; ADAPTATION</t>
  </si>
  <si>
    <t>The Antarctic continent is one of the most inhospitable places on earth, where living creatures, mostly represented by microorganisms, have specific physiological characteristics that allow them to adapt to the extreme environmental conditions. These physiological adaptations can result in the production of unique secondary metabolites with potential biotechnological applications. The current study presents a genetic and antibacterial characterization of four Antarctic fungi isolated from soil samples collected in Pedro Vicente Maldonado Scientific Station, at Fort William Point, Greenwich Island, Antarctica. Based on the sequences of the internal transcribed spacer (ITS) region, the fungi were identified as Antarctomyces sp., Thelebolus sp., Penicillium sp., and Cryptococcus gilvescens. The antibacterial activity was assessed against four clinical bacterial strains: Escherichia coli, Klebsiella pneumoniae, Enterococcus faecalis, and Staphylococcus aureus, by a modified bacterial growth inhibition assay on agar plates. Results showed that C. gilvescens and Penicillium sp. have potential antibiotic activity against all bacterial strains. Interestingly, Thelebolus sp. showed potential antibiotic activity only against E. coli. In contrast, Antarctomyces sp. did not show antibiotic activity against any of the bacteria tested under our experimental conditions. This study highlights the importance of conservation of Antarctica as a source of metabolites with important biomedical applications.</t>
  </si>
  <si>
    <t>[Ordonez-Enireb, Eunice; Cucalon, Roberto, V; Cardenas, Diana; Ordonez, Nadia; Coello, Santiago; Elizalde, Paola; Cardenas, Washington B.] Escuela Super Politecn Litoral, Fac Ciencias Vida, Lab Invest Biomed, Guayaquil, Ecuador; [Cucalon, Roberto, V] Univ Illinois, Program Ecol Evolut &amp; Conservat Biol, Nat Resources Bldg 607 E Peabody Dr, Champaign, IL 61820 USA; [Ordonez, Nadia] Bayer AG, Crop Sci, Res &amp; Dev, Biochem &amp; Biosupport, Monheim, Germany; [Elizalde, Paola] Univ Saskatchewan, Vaccine &amp; Infect Dis Org VIDO, 120 Vet Rd, Saskatoon, SK S7N 5E3, Canada; [Elizalde, Paola] Univ Saskatchewan, Sch Publ Hlth, Saskatoon, SK S7N 5E5, Canada</t>
  </si>
  <si>
    <t>Escuela Superior Politecnica del Litoral; University of Illinois System; University of Illinois Urbana-Champaign; Bayer AG; University of Saskatchewan; University of Saskatchewan</t>
  </si>
  <si>
    <t>Cárdenas, WB (corresponding author), Escuela Super Politecn Litoral, Fac Ciencias Vida, Lab Invest Biomed, Guayaquil, Ecuador.</t>
  </si>
  <si>
    <t>wbcarden@espol.edu.ec</t>
  </si>
  <si>
    <t>Cardenas, Diana/0009-0005-7987-0758</t>
  </si>
  <si>
    <t>Seed Funding of Escuela Superior Politecnica del Litoral (ESPOL)</t>
  </si>
  <si>
    <t>We want to thank Instituto Antartico Ecuatoriano (INAE) for their extraordinary support and logistic assistance for traveling to and from Antarctica. We are in debt for their significant effort in the sample collection process and for the accommodation at Pedro Vicente Maldonado Scientific Station in Antarctica. This work was supported by the grant Seed Funding of Escuela Superior Politecnica del Litoral (ESPOL).</t>
  </si>
  <si>
    <t>10.1038/s41598-022-25911-x</t>
  </si>
  <si>
    <t>WOS:000934111100040</t>
  </si>
  <si>
    <t>Hwang, J; Lee, H; Do, H; Lee, SG; Oh, TJ; Lee, JH</t>
  </si>
  <si>
    <t>Hwang, Jisub; Lee, Hyoungseok; Do, Hackwon; Lee, Sung Gu; Oh, Tae-Jin; Lee, Jun Hyuck</t>
  </si>
  <si>
    <t>Complete Genome Sequence of the Antibiotic-Resistant Pseudomonas fluorescens Strain Ant01, from the Rhizosphere of Antarctic Moss</t>
  </si>
  <si>
    <t>MICROBIOLOGY RESOURCE ANNOUNCEMENTS</t>
  </si>
  <si>
    <t>Pseudomonas fluorescens Ant01 was isolated as an antibiotic-resistant strain from the rhizosphere of a moss from Barton Peninsula, King George Island, Antarctica. The assembled genome size is 6,249,144 bp, with 5,616 protein-coding genes, 69 tRNA genes, and 19 rRNA genes. Pseudomonas fluorescens Ant01 was isolated as an antibiotic-resistant strain from the rhizosphere of a moss from Barton Peninsula, King George Island, Antarctica. The assembled genome size is 6,249,144 bp, with 5,616 protein-coding genes, 69 tRNA genes, and 19 rRNA genes.</t>
  </si>
  <si>
    <t>[Hwang, Jisub; Do, Hackwon; Lee, Sung Gu; Lee, Jun Hyuck] Korea Polar Res Inst, Res Unit Cryogen Novel Mat, Incheon, South Korea; [Hwang, Jisub; Lee, Hyoungseok; Do, Hackwon; Lee, Sung Gu; Lee, Jun Hyuck] Univ Sci &amp; Technol, Dept Polar Sci, Incheon, South Korea; [Lee, Hyoungseok] Korea Polar Res Inst, Div Life Sci, Incheon, South Korea; [Oh, Tae-Jin] SunMoon Univ, Grad Sch, Dept Life Sci &amp; Biochem Engn, Asan, South Korea</t>
  </si>
  <si>
    <t>Korea Polar Research Institute (KOPRI); Korea Polar Research Institute (KOPRI); Sun Moon University</t>
  </si>
  <si>
    <t>Lee, JH (corresponding author), Korea Polar Res Inst, Res Unit Cryogen Novel Mat, Incheon, South Korea.;Lee, JH (corresponding author), Univ Sci &amp; Technol, Dept Polar Sci, Incheon, South Korea.</t>
  </si>
  <si>
    <t>junhyucklee@kopri.re.kr</t>
  </si>
  <si>
    <t>Institute of Information and communications Technology Planning and Evaluation (IITP) - South Korean government (Ministry of Science and ICT [MSIT]) [2021-0-01581]; Korea Institute of Marine Science and Technology Promotion [KIMST] [20200610]; Korea Polar Research Institute [KOPRI] [PM22030]; Ministry of Oceans and Fisheries, South Korea</t>
  </si>
  <si>
    <t>Institute of Information and communications Technology Planning and Evaluation (IITP) - South Korean government (Ministry of Science and ICT [MSIT]); Korea Institute of Marine Science and Technology Promotion [KIMST](Korea Institute of Marine Science &amp; Technology Promotion (KIMST)); Korea Polar Research Institute [KOPRI](Korea Polar Research Institute of Marine Research Placement (KOPRI)); Ministry of Oceans and Fisheries, South Korea</t>
  </si>
  <si>
    <t>This work was supported by an Institute of Information and communications Technology Planning and Evaluation (IITP) grant funded by the South Korean government (Ministry of Science and ICT [MSIT] project 2021-0-01581 [Cultivation of innovative ICT-based interdisciplinary global talents for AI-based big data research in microorganism genome]). This research was also a part of the project titled Development of potential antibiotic compounds using polar organism resources (Korea Institute of Marine Science and Technology Promotion [KIMST] project 20200610, Korea Polar Research Institute [KOPRI] grant PM22030), funded by the Ministry of Oceans and Fisheries, South Korea.</t>
  </si>
  <si>
    <t>AMER SOC MICROBIOLOGY</t>
  </si>
  <si>
    <t>1752 N ST NW, WASHINGTON, DC 20036-2904 USA</t>
  </si>
  <si>
    <t>2576-098X</t>
  </si>
  <si>
    <t>MICROBIOL RESOUR ANN</t>
  </si>
  <si>
    <t>Microbiol. Resour. Ann.</t>
  </si>
  <si>
    <t>2022 DEC 12</t>
  </si>
  <si>
    <t>10.1128/mra.01057-22</t>
  </si>
  <si>
    <t>9A6EG</t>
  </si>
  <si>
    <t>WOS:000934148700001</t>
  </si>
  <si>
    <t>Najjarifarizhendi, B; Uenzelmann-Neben, G</t>
  </si>
  <si>
    <t>Najjarifarizhendi, Banafsheh; Uenzelmann-Neben, Gabriele</t>
  </si>
  <si>
    <t>Fossilized silica diagenetic fronts: Implications for palaeoceanographic evolution across the Falkland/Malvinas plateau</t>
  </si>
  <si>
    <t>MARINE AND PETROLEUM GEOLOGY</t>
  </si>
  <si>
    <t>Falkland; Malvinas Plateau; South atlantic; Seismic reflection data; DSDP Leg 36 and 71; (Non) bottom simulating reflector (NBSR; BSR); Silica diagenesis; Antarctic glaciation; Deep and bottom water masses</t>
  </si>
  <si>
    <t>BOTTOM-SIMULATING REFLECTORS; DIFFERENTIAL COMPACTION; SOUTHERN-OCEAN; WEDDELL SEA; OPAL-A; ATLANTIC; MARGIN; TRANSFORMATION; STABILITY; ORIGIN</t>
  </si>
  <si>
    <t>A set of newly collected 2D seismic reflection data allows the mapping of two distinct cross-cutting reflectors across the Falkland/Malvinas Plateau. Reflector XR-F/MB in the Falkland/Malvinas Basin appears as a bottom simulating reflector that mimics the geometry of the present seafloor, whereas reflector XR-F/MT in the Falk-land/Malvinas Trough is a non-bottom simulating reflector that mimics a shallower reflector representing the Early-Middle Miocene unconformity. The discordant geometry of these two reflectors with respect to the host-stratigraphy is argued to be associated with Opal-A to Opal-CT diagenesis, which is primarily a function of temperature. However, the estimated temperature at the present depth for reflector XR-F/MB lies below the minimum temperature for the onset of silica diagenesis. Based on their geometry and seismic characteristics, the two reflectors are interpreted to be fossilized silica diagenetic fronts, formed under palaeo-thermal conditions different from today. We hypothesize that the erosional action of intensified deep and bottom water masses subsequent to Antarctic glaciations during the Early-Middle Miocene may have driven the fossilization of the diagenetic front in the study area. It is estimated that erosion of a minimum of 270 m of overburden would account for the temperature drop driving the fossilization of the silica diagenetic fron.</t>
  </si>
  <si>
    <t>[Najjarifarizhendi, Banafsheh; Uenzelmann-Neben, Gabriele] Alfred Wegener Inst Polar &amp; Marine Res, Alten Hafen 26, D-27568 Bremerhaven, Germany</t>
  </si>
  <si>
    <t>Helmholtz Association; Alfred Wegener Institute, Helmholtz Centre for Polar &amp; Marine Research</t>
  </si>
  <si>
    <t>Najjarifarizhendi, B (corresponding author), Alfred Wegener Inst Polar &amp; Marine Res, Alten Hafen 26, D-27568 Bremerhaven, Germany.</t>
  </si>
  <si>
    <t>banafsheh.najjarifarizhendi@awi.de</t>
  </si>
  <si>
    <t>Uenzelmann-Neben, Gabriele/0000-0002-0115-5923</t>
  </si>
  <si>
    <t>Deutsche Forschungsgemeinschaft (DFG) [Ue 49/23]</t>
  </si>
  <si>
    <t>Deutsche Forschungsgemeinschaft (DFG)(German Research Foundation (DFG))</t>
  </si>
  <si>
    <t>We are grateful for the support of Captain R. Schmidt and his crew during cruise MSM 81 with RV Maria S Merian. The data collection was funded within the core program METEOR/MERIAN provided by the Deutsche Forschungsgemeinschaft (DFG). This work was funded by the DFG under grant no. Ue 49/23. We further would like to thank two reviewers (J. Cartwright and E. Lodolo) and Associate Editor D. Praeg for their helpful comments, which improved the manuscript. This work used data provided by the Deep Sea Drilling Project (DSDP). The authors would like to thank Emerson E &amp; P software, Emerson Automation Solutions, for providing licenses for their seismic processing and mapping software Paradigm in the scope of the Emerson Academic program. For the Seismic attribute analysis, the open source version of OpendTect is used.</t>
  </si>
  <si>
    <t>0264-8172</t>
  </si>
  <si>
    <t>1873-4073</t>
  </si>
  <si>
    <t>MAR PETROL GEOL</t>
  </si>
  <si>
    <t>Mar. Pet. Geol.</t>
  </si>
  <si>
    <t>10.1016/j.marpetgeo.2022.106035</t>
  </si>
  <si>
    <t>7O9XV</t>
  </si>
  <si>
    <t>WOS:000908368800001</t>
  </si>
  <si>
    <t>Hoang, C; Magand, O; Brioude, J; Dimuro, A; Brunet, C; Ah-Peng, C; Bertrand, Y; Dommergue, A; Lei, YD; Wania, F</t>
  </si>
  <si>
    <t>Hoang, Christopher; Magand, Olivier; Brioude, Jerome; Dimuro, Andrea; Brunet, Christophe; Ah-Peng, Claudine; Bertrand, Yann; Dommergue, Aurelien; Lei, Ying Duan; Wania, Frank</t>
  </si>
  <si>
    <t>Probing the limits of sampling gaseous elemental mercury passively in the remote atmosphere</t>
  </si>
  <si>
    <t>ENVIRONMENTAL SCIENCE-ATMOSPHERES</t>
  </si>
  <si>
    <t>SOUTHERN-HEMISPHERE; AIR SAMPLER; STATION; RECORD; ISLAND; SITES; TREND</t>
  </si>
  <si>
    <t>Reliably recording very low ambient concentrations of gaseous elemental mercury (GEM) in remote regions is often required, for example in the context of evaluating how effective the Minamata Convention is in reducing global Hg emissions. However, sampling over extended periods of time at sites that are difficult to access can be very challenging. In order to establish what role inexpensive and easy-to-use passive air samplers may play in this regard, we deployed a sampler using a Radiello diffusive barrier and activated carbon sorbent for periods of up to three years and with sampling periods ranging from one to three months in some of the most extreme, remote and challenging global environments: at Concordia station on the Antarctic plateau, on Amsterdam Island in the remote Southern Indian Ocean and at several sites on the tropical island of La Reunion. The ability to reliably record the GEM concentrations at these sites was strongly influenced by the size of the sequestered amount of mercury relative to the extent and variability of the contamination of field blank samples. In some cases, acceptably low and consistent field blank contamination could only be achieved by storing samplers in sealed glass jars during transport and storage. The size of the sequestered amount is easily increased by extending deployment times, and the experience of the current study suggests that deployment periods in excess of two months are advisable. Sampling in Antarctica was compromised by the extreme low temperatures, which caused unknown sampling rates, hoar frost accumulation, material failure and potential failure of storage seals. While good agreement with GEM concentrations measured with an active sampler was noted on Amsterdam Island, the passive sampler derived levels at the Maido Observatory in La Reunion were notably higher than concentrations measured simultaneously with a Tekran vapour analyzer, which was possibly related to sampling rates being temporarily elevated at the very beginning of deployment at low GEM concentrations.</t>
  </si>
  <si>
    <t>[Hoang, Christopher; Lei, Ying Duan; Wania, Frank] Univ Toronto Scarborough, Dept Phys &amp; Environm Sci, 1265 Mil Trail, Toronto, ON M1C 1A4, Canada; [Magand, Olivier; Bertrand, Yann; Dommergue, Aurelien] Univ Grenoble Alpes, CNRS, IRD, Grenoble INP,IGE, Grenoble, France; [Brioude, Jerome] Univ Reunion, Lab Atmosphere &amp; Cyclones, UMR8105, CNRS, F-97744 Saint Denis, France; [Dimuro, Andrea; Brunet, Christophe] Inst Phys Globe Paris, Observ Volcanol Piton Fournaise, La Plaine des Cafres,Reunion, F-97418 Saint Denis, France; [Ah-Peng, Claudine] Univ Reunion, UMR PVBMT, Saint Pierre, France; [Dimuro, Andrea] Univ Claude Bernard Lyon 1, Univ Lyon, Ecole Normale Super Lyon, Lab Geol Lyon Terre Planetes Environm,CNRS,UMR 52, Villeurbanne, France</t>
  </si>
  <si>
    <t>University of Toronto; University Toronto Scarborough; Institut de Recherche pour le Developpement (IRD); Centre National de la Recherche Scientifique (CNRS); Communaute Universite Grenoble Alpes; Universite Grenoble Alpes (UGA); Institut National Polytechnique de Grenoble; Centre National de la Recherche Scientifique (CNRS); University of La Reunion; Universite Paris Cite; University of La Reunion; Ecole Normale Superieure de Lyon (ENS de LYON); Universite Claude Bernard Lyon 1; Centre National de la Recherche Scientifique (CNRS)</t>
  </si>
  <si>
    <t>Wania, F (corresponding author), Univ Toronto Scarborough, Dept Phys &amp; Environm Sci, 1265 Mil Trail, Toronto, ON M1C 1A4, Canada.;Magand, O (corresponding author), Univ Grenoble Alpes, CNRS, IRD, Grenoble INP,IGE, Grenoble, France.</t>
  </si>
  <si>
    <t>olivier.magand@cnrs.fr; frank.wania@utoronto.ca</t>
  </si>
  <si>
    <t>Wania, Frank/J-2532-2012; Brioude, Jerome/E-4629-2011; dommergue, aurelien/HLP-6539-2023; Wania, Frank/JAX-3216-2023; Di Muro, Andrea/E-6025-2017</t>
  </si>
  <si>
    <t>Wania, Frank/0000-0003-3836-0901; dommergue, aurelien/0000-0002-8185-9604; Wania, Frank/0000-0003-3836-0901; Brioude, Jerome/0000-0002-5603-7924; MAGAND, Olivier/0000-0001-8711-4155; Di Muro, Andrea/0000-0002-7635-1283</t>
  </si>
  <si>
    <t>Global Mercury Observation System (GMOS); European Commission - H2020; ERA-PLANET programme [689443]; GMOstral-1028 program of the Institut polaire francais Paul -'Emile Victor (IPEV); CNRS-INSU; Universit'e de La R'eunion; Institut des Sciences de l'Environnement (IGE) [UMR 5001/UR 252]; Centre national de la recherche scientifique (CNRS); University of Toronto</t>
  </si>
  <si>
    <t>Global Mercury Observation System (GMOS); European Commission - H2020; ERA-PLANET programme; GMOstral-1028 program of the Institut polaire francais Paul -'Emile Victor (IPEV); CNRS-INSU(Centre National de la Recherche Scientifique (CNRS)); Universit'e de La R'eunion; Institut des Sciences de l'Environnement (IGE); Centre national de la recherche scientifique (CNRS)(Centre National de la Recherche Scientifique (CNRS)); University of Toronto(University of Toronto)</t>
  </si>
  <si>
    <t>Funding from the joint research project program of the Centre national de la recherche scientifique (CNRS) and the FUniversity of Toronto and an undergraduate student summer internship from the Centre for Global Change Science of the University of Toronto is gratefully acknowledged. This work was further supported by the project Global Mercury Observation System (GMOS; https://www.gmos.eu/) of the European Union Seventh Framework Programme with funding by the European Commission - H2020, the ERA-PLANET programme (https://www.era-planet.eu) (Contract. No. 689443) within the IGOSP project and LEFE program (CNRS-INSU). Logistical and finan-cial support for work at AMS and DMC has been provided by the GMOstral-1028 program of the Institut polaire francais Paul -'Emile Victor (IPEV). The Observatoire de Physique de l'Atmos-ph`ere a` La R'eunion is funded by CNRS-INSU and the Universit'e de La R'eunion and managed by the Observatoire des Sciences de l'Univers a` La R'eunion (UMS 3365). The authors also acknowledge the Institut des Sciences de l'Environnement (IGE, UMR 5001/UR 252) for internal funding. The Tekran 2537 systems used in this study are coordinated by the IGE-PTICHA technical platform dedicated to atmospheric chemistry field instrumentation. Finally, the GMOS-FR national data portal is maintained by the French National Center for Atmospheric Data and Services (AERIS). We would like to thank Elisabeth Logeais, Laura Noel, Julien Moye, Ines Ollivier, Pierre Stam'en-off, and Jean-Marc Metzger for their support in the collection and deployment of the passive samplers.</t>
  </si>
  <si>
    <t>2634-3606</t>
  </si>
  <si>
    <t>ENVIRON SCI-ATMOS</t>
  </si>
  <si>
    <t>Environ. Sci. - Atmospheres</t>
  </si>
  <si>
    <t>FEB 16</t>
  </si>
  <si>
    <t>10.1039/d2ea00119e</t>
  </si>
  <si>
    <t>9Z4WS</t>
  </si>
  <si>
    <t>WOS:000900101400001</t>
  </si>
  <si>
    <t>Martin, S; Long, DG; Schodlok, MP</t>
  </si>
  <si>
    <t>Martin, Seelye; Long, David G. G.; Schodlok, Michael P. P.</t>
  </si>
  <si>
    <t>Comparison of Antarctic iceberg observations by Cook in 1772-75, Halley in 1700, Bouvet in 1739 and Riou in 1789 with modern data</t>
  </si>
  <si>
    <t>Antarctic glaciology; icebergs; polar and subpolar oceans</t>
  </si>
  <si>
    <t>WEDDELL SEA</t>
  </si>
  <si>
    <t>During Cook's 1772-75 Antarctic circumnavigation on the HMS Resolution, he recorded the positions of hundreds of icebergs. This paper compares Cook's observations and those of Halley in 1700, Bouvet in 1739 and Riou in 1789, with the Brigham Young University/National Ice Center (BYU/NIC) and the Alfred Wegener Institute datasets. Cook's description of the iceberg plume east of the Amery Ice Shelf and the iceberg distributions in the Weddell, Ross and Amundsen Seas agree with modern data. In January 1774, Cook reached his farthest south on the shelf of the Amundsen Sea Embayment, the site of the current International Thwaites Glacier Collaboration field study. Cook's largest iceberg had a 2.5 km diameter, where power-law models show that icebergs of this size or smaller comprise 92% of their total number. In the eastern Weddell, Cook's observation of a sea-ice tongue with a much greater extent than in satellite imagery remains unexplained. Although Riou's icebergs lie 1000 km east of the BYU/NIC trajectories, application of the England and others (2020) fracture and drift model to the trajectories removes the discrepancy and means that all the ship observations are consistent with modern observations and theory.</t>
  </si>
  <si>
    <t>[Martin, Seelye] Univ Washington, Sch Oceanog, Seattle, WA 98195 USA; [Long, David G. G.] Brigham Young Univ, Dept Elect &amp; Comp Engn, 450 EB, Provo, UT 84602 USA; [Schodlok, Michael P. P.] CALTECH, Jet Prop Lab, Pasadena, CA 91109 USA</t>
  </si>
  <si>
    <t>University of Washington; University of Washington Seattle; Brigham Young University; National Aeronautics &amp; Space Administration (NASA); NASA Jet Propulsion Laboratory (JPL); California Institute of Technology</t>
  </si>
  <si>
    <t>Martin, S (corresponding author), Univ Washington, Sch Oceanog, Seattle, WA 98195 USA.</t>
  </si>
  <si>
    <t>seelye@uw.edu</t>
  </si>
  <si>
    <t>Martin, Seelye/0000-0003-0700-0364</t>
  </si>
  <si>
    <t>NASA Oceanography Program [80NSSC19K0057]; NASA Cryospheric Science Program [80NSSC18K1055]; National Aeronautics and Space Administration; University of Washington Libraries</t>
  </si>
  <si>
    <t>NASA Oceanography Program(National Aeronautics &amp; Space Administration (NASA)); NASA Cryospheric Science Program; National Aeronautics and Space Administration(National Aeronautics &amp; Space Administration (NASA)); University of Washington Libraries</t>
  </si>
  <si>
    <t>David G. Long's work was supported by the NASA Oceanography Program under Grant 80NSSC19K0057 and the NASA Cryospheric Science Program under Grant 80NSSC18K1055. Michael P. Schodlok's work was carried out at the Jet Propulsion Laboratory, California Institute of Technology, under a contract with the National Aeronautics and Space Administration. He gratefully acknowledges support from the NASA Cryospheric Science Program. S. M. thanks Rachel Clark, Claire Parkinson, Harry Stern and Till Wagner for comments, Jenny Uglow for her introduction to 18th century icebergs, Walt Meier for help with Figure 3 and the NSIDC, Doug MacAyeal for help with references related to the Amundsen Sea Embayment, and the University of Washington Libraries and Corey Murata for their help with publication costs. Finally, the authors thank Editor Hester Jiskoot and the unnamed reviewers for their comments, questions, and suggested revisions. These greatly improved the paper.</t>
  </si>
  <si>
    <t>PII S0022143022001113</t>
  </si>
  <si>
    <t>10.1017/jog.2022.111</t>
  </si>
  <si>
    <t>WOS:000898269400001</t>
  </si>
  <si>
    <t>Griffin, S; Udry, A; Daly, L; Forman, LV; Lee, MR; Cohen, BE</t>
  </si>
  <si>
    <t>Griffin, Sammy; Udry, Arya; Daly, Luke; Forman, Lucy Victoria; Lee, Martin R.; Cohen, Benjamin E.</t>
  </si>
  <si>
    <t>Investigating the igneous petrogenesis of Martian volcanic rocks using augite quantitative textural analysis of the Yamato nakhlites</t>
  </si>
  <si>
    <t>METEORITICS &amp; PLANETARY SCIENCE</t>
  </si>
  <si>
    <t>SINGLE-CRYSTAL CLINOPYROXENES; NORTHWEST AFRICA 5790; SIZE DISTRIBUTION CSD; MAGMATIC PROCESSES; DEFORMATION; EVOLUTION; PETROLOGY; DIOPSIDE; MATRIX; MARS</t>
  </si>
  <si>
    <t>To better understand volcanism on planetary bodies other than the Earth, the quantification of physical processes is needed. Here, the petrogenesis of the achondrite Martian Yamato (Y) nakhlites (Y 000593, Y 000749, and Y 000802) is reinvestigated via quantitative analysis of augite (high-Ca clinopyroxene) phenocrysts: crystal size distribution (CSD), spatial distribution patterns (SDP), and electron backscatter diffraction (EBSD). Results from CSD and EBSD quantitative data sets show augite to have continuous uninterrupted growth resulting in calculated minimum magma chamber residence times of either 88-117 +/- 6 yr or 9-12 yr. All samples exhibit low-intensity S-LS type crystallographic preferred orientation. Directional strain is observed across all samples with intracrystalline misorientation patterns indicative of (100)[001]:(001)[100] (Y 000593 and Y 000802) and {110}or {110}(1)/(2) (Y 000749) slip systems. SDP results indicate phenocryst-bearing crystal-clustered rock signatures. Combined findings from this work show that the Yamato nakhlites formed on Mars as individual low-viscosity lava flows or sills. This study shows that through combining these different quantitative techniques over multiple samples, one can more effectively compare and interpret resulting data to gain a more robust, geologically contextualized petrogenetic understanding of the rock suite being studied. The techniques used in this study should be equally applicable to igneous achondrites from other parent bodies.</t>
  </si>
  <si>
    <t>[Griffin, Sammy; Daly, Luke; Lee, Martin R.] Univ Glasgow, Sch Geog &amp; Earth Sci, Glasgow G12 8QQ, Lanark, Scotland; [Udry, Arya] Univ Nevada, Dept Geosci, Las Vegas, NV 89154 USA; [Daly, Luke] Univ Sydney, Australian Ctr Microscopy &amp; Microanal, Sydney, NSW 2006, Australia; [Daly, Luke] Univ Oxford, Dept Mat, Oxford OX1 3PH, England; [Forman, Lucy Victoria] Curtin Univ, Space Sci &amp; Technol Ctr, Sch Earth &amp; Planetary Sci, GPO Box U1987, Perth, WA 6845, Australia; [Forman, Lucy Victoria] Western Australian Museum, Dept Earth &amp; Planetary Sci, Perth, WA 6986, Australia; [Cohen, Benjamin E.] Univ Edinburgh, Sch GeoSci, Edinburgh EH9 3FE, Midlothian, Scotland</t>
  </si>
  <si>
    <t>University of Glasgow; Nevada System of Higher Education (NSHE); University of Nevada Las Vegas; University of Sydney; University of Oxford; Curtin University; Western Australian Museum; University of Edinburgh</t>
  </si>
  <si>
    <t>Griffin, S (corresponding author), Univ Glasgow, Sch Geog &amp; Earth Sci, Glasgow G12 8QQ, Lanark, Scotland.</t>
  </si>
  <si>
    <t>sammy.griffin@glasgow.ac.uk</t>
  </si>
  <si>
    <t>Forman, Lucy/X-5663-2018; Lee, Martin/D-9169-2011</t>
  </si>
  <si>
    <t>Forman, Lucy/0000-0002-5759-6517; Lee, Martin/0000-0002-6004-3622; Udry, Arya/0000-0002-0074-8110; Daly, Luke/0000-0002-7150-4092</t>
  </si>
  <si>
    <t>UK STFC [ST/H002960/1]; STFC [ST/H002960/1] Funding Source: UKRI</t>
  </si>
  <si>
    <t>UK STFC(UK Research &amp; Innovation (UKRI)Science &amp; Technology Facilities Council (STFC)); STFC(UK Research &amp; Innovation (UKRI)Science &amp; Technology Facilities Council (STFC))</t>
  </si>
  <si>
    <t>We thank the Antarctic Meteorite Research Centre, National Institute of Polar Research, Japan, for providing the samples used in this study via loans to M. R. Lee (No. 0714). We thank Peter Chung and the ISAAC imaging facility, University of Glasgow for assistance with EBSD analysis, Minghua Ren at UNLV for assistance with EMP analyses, and the UK STFC for funding through grant ST/H002960/1. We also thank the helpful comments of Associate Editor Akira Yamaguchi, B. Balta, B. Tkalcec, Cari Corrigan, another anonymous reviewer, and David Prior who have greatly enhanced our manuscript. This manuscript forms a part of S.G.'s Ph.D. thesis.</t>
  </si>
  <si>
    <t>1086-9379</t>
  </si>
  <si>
    <t>1945-5100</t>
  </si>
  <si>
    <t>METEORIT PLANET SCI</t>
  </si>
  <si>
    <t>Meteorit. Planet. Sci.</t>
  </si>
  <si>
    <t>10.1111/maps.13934</t>
  </si>
  <si>
    <t>8F4MF</t>
  </si>
  <si>
    <t>hybrid, Green Accepted, Green Published</t>
  </si>
  <si>
    <t>WOS:000896869900001</t>
  </si>
  <si>
    <t>Civel-Mazens, M; Lawler, KA; Ikehara, M; Itaki, T; Cortese, G; Crosta, X; Lowe, V</t>
  </si>
  <si>
    <t>Civel-Mazens, M.; Lawler, K. A.; Ikehara, M.; Itaki, T.; Cortese, G.; Crosta, X.; Lowe, V.</t>
  </si>
  <si>
    <t>New Southern Ocean transfer function for subsurface temperature prediction using radiolarian assemblages</t>
  </si>
  <si>
    <t>MARINE MICROPALEONTOLOGY</t>
  </si>
  <si>
    <t>Southern Ocean; Radiolarian; Transfer function; Subsurface temperature</t>
  </si>
  <si>
    <t>SEA-SURFACE; PALEOENVIRONMENTAL RECONSTRUCTIONS; POLYCYSTINA PROTISTA; INDIAN-OCEAN; PACIFIC; DATASET; FRONTS; FLUX; ICE</t>
  </si>
  <si>
    <t>Radiolarians are microzooplankton that produce siliceous shells that preserve well in sediments and allow for paleo-reconstructions. Previous studies have used them for sea surface temperature (SST) reconstructions. However, radiolarians peak in abundances between 100 and 400 m in the Southern Ocean (SO), suggesting that their assemblages are more representative of subsurface conditions. Here, we aim to develop a SO-wide transfer function (TF) for subsurface temperature reconstructions (subST) using the Southern Ocean RAdiolarian Dataset (SORAD), a compilation of data for about 240 radiolarian taxa in 228 surface sediment samples from the SO. This exhaustive dataset has been simplified using common TF criteria to minimize noise and optimize SORAD for subST prediction. Ordination tests and Q-mode Factor Analyses (QFA) were applied to the resulting training dataset, which includes 212 samples and 75 taxa (SORAD212_75). The results suggest that, out of six environ-mental variables, radiolarian assemblages in SORAD are mainly driven by summer temperatures at 200 m and that the first five factors of the QFA explained over 75% of SORAD212_75 variance. We applied common TF methods, IKM, MAT and Weighted-MAT (WMAT), to two data transformations (relative abundances of species and log-transformed). The six models of modern temperature predictions all show excellent performance over the-2 to 18 degrees C interval. To compare with previously published results generated with the same method, IKM% was applied to radiolarian census data of three cores from the Atlantic, Indian and Pacific sectors of the SO, thus calculating new subST reconstructions and testing the new TF performance.</t>
  </si>
  <si>
    <t>[Civel-Mazens, M.; Ikehara, M.] Kochi Univ, Ctr Adv Marine Core Res, Kochi, Japan; [Cortese, G.] GNS Sci, Surface Geosci Dept, Lower Hutt, New Zealand; [Crosta, X.] Univ Bordeaux, CNRS, EPHE, UMR 5805 EPOC, Pessac, France; [Lawler, K. A.] Australian Natl Univ, Res Sch Earth &amp; Marine Sci, Canberra, Australia; [Lowe, V.] Univ Queensland, Sch Earth &amp; Environm Sci, Brisbane, Australia; [Itaki, T.] Geol Survey Japan GSJ, Tsukuba, Japan</t>
  </si>
  <si>
    <t>Kochi University; GNS Science - New Zealand; Centre National de la Recherche Scientifique (CNRS); Universite PSL; Ecole Pratique des Hautes Etudes (EPHE); Universite de Bordeaux; Australian National University; University of Queensland</t>
  </si>
  <si>
    <t>Civel-Mazens, M (corresponding author), Kochi Univ, Ctr Adv Marine Core Res, Kochi, Japan.</t>
  </si>
  <si>
    <t>civelmatthieu@hotmail.fr</t>
  </si>
  <si>
    <t>Lowe, Vikki/KDO-5506-2024</t>
  </si>
  <si>
    <t>Lowe, Vikki/0000-0003-3314-1005; Itaki, Takuya/0000-0001-5232-0055; Ikehara, Minoru/0000-0002-2695-4713</t>
  </si>
  <si>
    <t>New Zealand Ministry of Business, Innovation and Employment through the Antarctic Science Platform [ANTA1801]; Global Change through Time Program; Australian Research Training Program (RTP) scholarships; JSPS KAKENHI [JP17H06318]; Postdoc at Kochi University/AIST</t>
  </si>
  <si>
    <t>New Zealand Ministry of Business, Innovation and Employment through the Antarctic Science Platform(New Zealand Ministry of Business, Innovation and Employment (MBIE)); Global Change through Time Program; Australian Research Training Program (RTP) scholarships; JSPS KAKENHI(Ministry of Education, Culture, Sports, Science and Technology, Japan (MEXT)Japan Society for the Promotion of ScienceGrants-in-Aid for Scientific Research (KAKENHI)); Postdoc at Kochi University/AIST</t>
  </si>
  <si>
    <t>We warmly thank Professor Sebastien Zaragosi of the University of Bordeaux to have granted MCM access to his Leica microphotography setup to make radiolarian plates in October-November 2021. Funding for this project was provided by the New Zealand Ministry of Business, Innovation and Employment through the Antarctic Science Platform (ANTA1801) and Global Change through Time Program (both to GC) . Financial support to this study was also provided by LEFE DYNACC and LEFE GLACOCEAN projects (attributed to XC) . KAL and VL are sup-ported by Australian Research Training Program (RTP) scholarships. JSPS KAKENHI (Grants-in-Aid for Scientific Research) Grant Number JP17H06318 was attributed to MI and TI and logistical support of MCM?s salary during his PhD and Postdoc at Kochi University/AIST. We are also thankful to IDEX Bordeaux Visiting Scholar scheme that funded GC stay at EPOC in 2017. We thank two anonymous reviewers and the editor in chief, Ric Jordan, for their time spent improving our article.</t>
  </si>
  <si>
    <t>0377-8398</t>
  </si>
  <si>
    <t>1872-6186</t>
  </si>
  <si>
    <t>MAR MICROPALEONTOL</t>
  </si>
  <si>
    <t>Mar. Micropaleontol.</t>
  </si>
  <si>
    <t>10.1016/j.marmicro.2022.102198</t>
  </si>
  <si>
    <t>7B4SB</t>
  </si>
  <si>
    <t>WOS:000899123900002</t>
  </si>
  <si>
    <t>Meilland, J; Ezat, MM; WestgÅrd, A; Manno, C; Morard, R; Siccha, M; Kucera, M</t>
  </si>
  <si>
    <t>Meilland, Julie; Ezat, Mohamed M.; WestgArd, Adele; Manno, Clara; Morard, RaphaEl; Siccha, Michael; Kucera, Michal</t>
  </si>
  <si>
    <t>Rare but persistent asexual reproduction explains the success of planktonic foraminifera in polar oceans</t>
  </si>
  <si>
    <t>planktonic foraminifera; asexual reproduction; sexual reproduction; proloculus; dimorphism</t>
  </si>
  <si>
    <t>NEOGLOBOQUADRINA-PACHYDERMA; GLOBIGERINOIDES-SACCULIFER; POPULATION-DYNAMICS; MOLECULAR EVIDENCE; VERTICAL HABITATS; LIFE PROCESSES; IN-SITU; PROTISTS; ECOLOGY; CALCIFICATION</t>
  </si>
  <si>
    <t>The reproductive strategy of planktonic foraminifera, key pelagic calcifiers, has long remained elusive, hampering efforts to understand and model their population dynamics. This is particularly critical in polar oceans where their success relies on rapid population growth after the polar night. Here, we provide field and laboratory observations constraining the reproductive cycle of the dominant polar species Neogloboquadrina pachyderma in Antarctic and Arctic waters. We observe that asexual reproduction is a rare but persistent element of the reproductive strategy and that it is reflected in a dimorphism in proloculus and in the ratio of shell size versus the number of chambers between sexually and asexually produced individuals. This dimorphism in natural populations reveals that asexual reproduction supplies more than 75% of adult individuals. This indicates a multigenerational reproduction strategy, where the majority of the population releases gametes to facilitate recombination, while a minority persistently reproduces asexually, allowing rapid population growth as a prerequisite for success in the polar oceans.</t>
  </si>
  <si>
    <t>[Meilland, Julie; Morard, RaphaEl; Siccha, Michael; Kucera, Michal] Univ Bremen, MARUM Ctr Marine Environm Sci, Leoberner Str 8, D-28359 Bremen, Germany; [Ezat, Mohamed M.; WestgArd, Adele] Arctic Univ Norway, CAGE Ctr Arctic Gas HYDRATE Environm &amp; Climate, Dept Geosci, UIT, Dramsveien 201, N-9010 Tromso, Norway; [Ezat, Mohamed M.] Beni Suef Univ, Fac Sci, Dept Geol, Beni Suef Governorate 2722165, Egypt; [Manno, Clara] British Antarctic Survey, Madingley Rd, Cambridge CB3 0ET, England</t>
  </si>
  <si>
    <t>University of Bremen; UiT The Arctic University of Tromso; Egyptian Knowledge Bank (EKB); Beni Suef University; UK Research &amp; Innovation (UKRI); Natural Environment Research Council (NERC); NERC British Antarctic Survey</t>
  </si>
  <si>
    <t>Meilland, J (corresponding author), Univ Bremen, MARUM Ctr Marine Environm Sci, Leoberner Str 8, D-28359 Bremen, Germany.</t>
  </si>
  <si>
    <t>jmeilland@marum.de</t>
  </si>
  <si>
    <t>Kucera, Michal/B-9277-2009</t>
  </si>
  <si>
    <t>Westgard, Adele/0000-0002-8628-6008; Meilland, Julie/0000-0001-8966-3115</t>
  </si>
  <si>
    <t>Deutsche Forschungsgemeinschaft [ME 5192/1-1]; Cluster of Excellence The Ocean Floor - Earth's Uncharted Interface; Tromso Research Foundation [A31720]; Centers of the Excellence funding - CAGE [223259]</t>
  </si>
  <si>
    <t>Deutsche Forschungsgemeinschaft(German Research Foundation (DFG)); Cluster of Excellence The Ocean Floor - Earth's Uncharted Interface; Tromso Research Foundation; Centers of the Excellence funding - CAGE</t>
  </si>
  <si>
    <t>Deutsche Forschungsgemeinschaft (grant no. ME 5192/1-1 to J.M.); Cluster of Excellence The Ocean Floor - Earth's Uncharted Interface to J.M.; Tromso Research Foundation (project number A31720) and Centers of the Excellence funding -CAGE -grant number 223259 (M.M.E. and A.W.).</t>
  </si>
  <si>
    <t>10.1093/plankt/fbac069</t>
  </si>
  <si>
    <t>WOS:000896441000001</t>
  </si>
  <si>
    <t>van de Lagemaat, SHA; Kamp, PJJ; Boschman, LM; van Hinsbergen, DJJ</t>
  </si>
  <si>
    <t>van de Lagemaat, Suzanna H. A.; Kamp, Peter J. J.; Boschman, Lydian M.; van Hinsbergen, Douwe J. J.</t>
  </si>
  <si>
    <t>Reconciling the Cretaceous breakup and demise of the Phoenix Plate with East Gondwana orogenesis in New Zealand</t>
  </si>
  <si>
    <t>East Gondwana subduction zone; Plate tectonics; GPlates; Kinematic plate reconstruction; New Zealand; New Caledonia; Zealandia</t>
  </si>
  <si>
    <t>LARGE IGNEOUS PROVINCE; ONTONG JAVA NUI; TECTONIC EVOLUTION; HIKURANGI PLATEAU; TRIPLE JUNCTION; ANTARCTIC PLATE; SOUTH-AMERICA; NEW-CALEDONIA; SW PACIFIC; KINEMATIC RECONSTRUCTION</t>
  </si>
  <si>
    <t>Following hundreds of millions of years of subduction in all circum-Pacific margins, the Pacific Plate started to share a mid-ocean ridge connection with continental Antarctica during a Late Cretaceous south Pacific plate reorganization. This reorganization was associated with the cessation of subduction of the remnants of the Phoenix Plate along the Zealandia margin of East Gondwana, but estimates for the age of this cessation from global plate reconstructions (similar to 86 Ma) are significantly younger than those based on overriding plate geological records (105-100 Ma). To find where this discrepancy comes from, we first evaluate whether incorporating the latest available marine magnetic anomaly interpretations change the plate kinematic estimate for the end of convergence. We then identify ways to reconcile the outcome of the reconstruction with geological records of subduction along the Gondwana margin of New Zealand and New Caledonia. We focus on the plate kinematic evolution of the Phoenix Plate from 150 Ma onward, from its original spreading relative to the Pacific Plate, through its break-up during emplacement of the Ontong Java Nui Large Igneous Province into four plates (Manihiki, Hikurangi, Chasca, and Aluk), through to the end of their subduction below East Gondwana, to today. Our updated reconstruction is in line with previous compilations in demonstrating that as much as 800-1100 km of convergence occurred between the Pacific Plate and Zealandia after 100 Ma, which was accommodated until 90-85 Ma. Even more convergence occurred at the New Zealand sector owing to spreading of the Hikurangi Plate relative to the Pacific Plate at the Osbourn Trough, with the most recent age constraints suggesting that spreading may have continued until 79 Ma. The end of subduction below most of East Gondwana coincides with a change in relative plate motion between the Pacific Plate and East Gondwana from westerly to northerly, of which the cause remains unknown. In addition, the arrival of the Hikurangi Plateau in the subduction zone occurred independent from, and did not likely cause, the change in Pacific Plate motion. Finally, our plate reconstruction suggests that the previously identified geochemical change in the New Zealand arc around 105-100 Ma that was considered evidence of subduction cessation, may have been caused by Aluk-Hikurangi ridge subduction instead. The final stages of convergence before subduction cessation must have been accommodated by subduction without or with less accretion. This is common in oceanic subduction zones but makes dating the cessation of subduction from geological records alone challenging.</t>
  </si>
  <si>
    <t>[van de Lagemaat, Suzanna H. A.; Boschman, Lydian M.; van Hinsbergen, Douwe J. J.] Univ Utrecht, Dept Earth Sci, Utrecht, Netherlands; [Kamp, Peter J. J.] Univ Waikato, Sch Sci, Hamilton, New Zealand</t>
  </si>
  <si>
    <t>Utrecht University; University of Waikato</t>
  </si>
  <si>
    <t>van de Lagemaat, SHA (corresponding author), Univ Utrecht, Dept Earth Sci, Utrecht, Netherlands.</t>
  </si>
  <si>
    <t>s.h.a.vandelagemaat@uu.nl</t>
  </si>
  <si>
    <t>van de Lagemaat, Suzanna/0000-0002-2447-3318</t>
  </si>
  <si>
    <t>NWO Vici grant [865.17.001]; New Zealand Government (MBIE) [CONT-42907-EMTR-UOW]</t>
  </si>
  <si>
    <t>NWO Vici grant(Netherlands Organization for Scientific Research (NWO)); New Zealand Government (MBIE)(New Zealand Ministry of Business, Innovation and Employment (MBIE))</t>
  </si>
  <si>
    <t>DJJvH and SHAvdL acknowledge NWO Vici grant 865.17.001. PJJK acknowledges funding from the New Zealand Government (MBIE Contract: CONT-42907-EMTR-UOW). We thank two reviewers for their comments that helped improve this manuscript.</t>
  </si>
  <si>
    <t>10.1016/j.earscirev.2022.104276</t>
  </si>
  <si>
    <t>6W4QW</t>
  </si>
  <si>
    <t>Green Submitted, hybrid, Green Published</t>
  </si>
  <si>
    <t>WOS:000895715500001</t>
  </si>
  <si>
    <t>Brown, KE; Wasley, J; King, CK</t>
  </si>
  <si>
    <t>Brown, Kathryn E.; Wasley, Jane; King, Catherine K.</t>
  </si>
  <si>
    <t>Assessing risks from fuel contamination in Antarctica: Dynamics of diesel ageing in soil and toxicity to an endemic nematode</t>
  </si>
  <si>
    <t>ECOTOXICOLOGY AND ENVIRONMENTAL SAFETY</t>
  </si>
  <si>
    <t>Diesel fuel spill; Weathering; Terrestrial invertebrates; Hydrocarbon toxicity; Polar metabolites; Plectus murrayi</t>
  </si>
  <si>
    <t>POLYCYCLIC AROMATIC-HYDROCARBONS; SITE REMEDIATION; CRUDE-OIL; BIOAVAILABILITY; BIODEGRADATION; BIOREMEDIATION; ECOTOXICITY; TEMPERATURE; EVAPORATION; SEDIMENTS</t>
  </si>
  <si>
    <t>Fuel spills are a major source of contamination in terrestrial environments in Antarctica. Little is known of the effects of hydrocarbon contaminants in fuels on Antarctic terrestrial biota, and how these change as fuel ages within soil. In this study we investigate the sensitivity of juveniles of the endemic Antarctic nematode Plectus murrayi to diesel-spiked soil. Toxicity tests were conducted on soil elutriates, and changes in concentrations of hydrocarbons, polar compounds and PAHs were assessed as the spiked soil was artificially aged at 3 degrees C over a 45-week period, representing multiple summer seasons of fuel degradation. Nematodes were most sensitive to elutriates made from freshly spiked soils (LC50 419 mu g/L TPH and 156 mu g/L TPH-SG), with a subsequent decline in toxicity observed in the first 6 weeks of laboratory ageing (LC50 2945 mu g/L TPH and 694 mu g/L TPH-SG). Effects were still evident up to 45 weeks (lowest observed effect concentration 2123 mu g/L TPH) despite hydro-carbons being depleted from soils with ageing (84 % loss) and elutriates becoming dominated by polar me-tabolites (95 % polar). Nematode sensitivity throughout the ageing period showed evidence of a relationship between LC50 and the proportions of the lighter carbon range fraction of TPH in elutriates, the F2 fraction (C10_14). This study is the first to estimate the sensitivity of Antarctic terrestrial fauna to diesel and provides novel data on the dynamics of fuel chemistry under Antarctic conditions and how this influences toxicity. Findings contribute to predicting ecological risk at existing diesel fuel spill sites in Antarctica, to the derivation of site-specific remediation targets, and to environmental guidelines to assess ecosystem health.</t>
  </si>
  <si>
    <t>[Brown, Kathryn E.; Wasley, Jane; King, Catherine K.] Australian Antarctic Div, Kingston, Tas, Australia; [Brown, Kathryn E.] Australian Antarctic Div, 203 Channel Highway, Kingston, Tas, Australia</t>
  </si>
  <si>
    <t>Australian Antarctic Division; Australian Antarctic Division</t>
  </si>
  <si>
    <t>Brown, KE (corresponding author), Australian Antarctic Div, 203 Channel Highway, Kingston, Tas, Australia.</t>
  </si>
  <si>
    <t>Kathryn.Brown@aad.gov.au; Jane.Wasley@aad.gov.au; Cath.King@aad.gov.au</t>
  </si>
  <si>
    <t>Brown, Kathryn/AAE-9933-2021; Wasley, Jane/KHX-4880-2024</t>
  </si>
  <si>
    <t>Brown, Kathryn/0000-0002-9093-8742</t>
  </si>
  <si>
    <t>Australian Antarctic Science Pro-gram [4100]</t>
  </si>
  <si>
    <t>Australian Antarctic Science Pro-gram</t>
  </si>
  <si>
    <t>Funding This work was supported by the Australian Antarctic Science Pro-gram (Project 4100) .</t>
  </si>
  <si>
    <t>ACADEMIC PRESS INC ELSEVIER SCIENCE</t>
  </si>
  <si>
    <t>525 B ST, STE 1900, SAN DIEGO, CA 92101-4495 USA</t>
  </si>
  <si>
    <t>0147-6513</t>
  </si>
  <si>
    <t>1090-2414</t>
  </si>
  <si>
    <t>ECOTOX ENVIRON SAFE</t>
  </si>
  <si>
    <t>Ecotox. Environ. Safe.</t>
  </si>
  <si>
    <t>10.1016/j.ecoenv.2022.114345</t>
  </si>
  <si>
    <t>Environmental Sciences; Toxicology</t>
  </si>
  <si>
    <t>Environmental Sciences &amp; Ecology; Toxicology</t>
  </si>
  <si>
    <t>E3JK3</t>
  </si>
  <si>
    <t>WOS:000974537400001</t>
  </si>
  <si>
    <t>Steinke, KB; Bernard, KS; Fontana, JM; Copeman, LA; Garcia, LM</t>
  </si>
  <si>
    <t>Steinke, Kirsten B.; Bernard, Kim S.; Fontana, Julia M.; Copeman, Louise A.; Garcia, Lani M.</t>
  </si>
  <si>
    <t>The energetic cost of early reproductive development in juvenile Antarctic krill at the Western Antarctic Peninsula</t>
  </si>
  <si>
    <t>Antarctic krill; reproduction; energy; juvenile; trade-off; body condition</t>
  </si>
  <si>
    <t>EUPHAUSIA-SUPERBA DANA; FATTY-ACIDS; SEA-ICE; LIPID-COMPOSITION; TROPHIC MARKERS; GROWTH-RATES; AUSTRAL FALL; SCOTIA SEA; MATURITY; WINTER</t>
  </si>
  <si>
    <t>The overwinter survival mechanisms of Antarctic krill, Euphausia superba, are poorly characterized, especially for juveniles. It has been suggested that juveniles adopt a mix of strategies characteristic of both larvae and adults. Like larvae, they may feed opportunistically throughout winter when food is available, and like adults they may be able to suppress their metabolism when food is scarce. In this study we look at the overwinter strategies of juvenile krill and how their reproductive development changes when energy input exceeds what is necessary for survival. We take a closer look at how the sexual maturation of juvenile krill progresses in response to different environmental conditions throughout the fall and winter. We exposed juvenile Antarctic krill to four different food environment scenarios, supplementing them with various diets from May to September 2019 that were representative of environmental conditions that they may encounter in different regions of the Western Antarctic Peninsula during autumn and winter. Each month, we measured the physiology and condition of the krill, and assessed the reproductive development of females. We found that when female juvenile krill have greater energy reserves than what is needed to survive the winter, they will begin to sexually mature. Further, when there are sufficient levels of the fatty acids eicosapentaenoic acid (EPA), docosahexaenoic acid (DHA) and 16:4 (n-1), krill are likely to be in a more reproductive advanced stage. However, when lipids, EPA, DHA and 16:4 (n-1) are depleted throughout the winter, juvenile female krill lose their ability to develop reproductively. We also found that sexual development is an energy intensive process that requires high respiration rates in juvenile krill. Furthermore, when juvenile females expend energy maturing, their physiological condition declines. This trade-off between early reproductive development and condition in juvenile female krill has important implications for individual health and population fecundity. Gaining a better understanding of the mechanisms behind juvenile krill winter survival strategies and their consequences will allow us to predict how future change at the western Antarctic Peninsula may affect krill population dynamics, especially in light of a warming climate.</t>
  </si>
  <si>
    <t>[Steinke, Kirsten B.; Bernard, Kim S.] Oregon State Univ, Coll Earth Ocean &amp; Atmospher Sci, Corvallis, OR 97331 USA; [Fontana, Julia M.] Univ Delaware, Coll Earth Ocean &amp; Environm, Newark, DE USA; [Copeman, Louise A.] Hatfield Marine Sci Ctr, NOAA, Natl Marine Fisheries Serv, Alaska Fisheries Sci Ctr, Newport, OR USA; [Garcia, Lani M.] Oregon State Univ, Coll Sci, Corvallis, OR USA</t>
  </si>
  <si>
    <t>Oregon State University; University of Delaware; National Aeronautics &amp; Space Administration (NASA); National Oceanic Atmospheric Admin (NOAA) - USA; Oregon State University</t>
  </si>
  <si>
    <t>Steinke, KB (corresponding author), Oregon State Univ, Coll Earth Ocean &amp; Atmospher Sci, Corvallis, OR 97331 USA.</t>
  </si>
  <si>
    <t>steinkki@oregonstate.edu</t>
  </si>
  <si>
    <t>United States National Science Foundation (NSF) Office for Polar Programs (OPP); [1753101]</t>
  </si>
  <si>
    <t>United States National Science Foundation (NSF) Office for Polar Programs (OPP)(National Science Foundation (NSF));</t>
  </si>
  <si>
    <t>Funding for this study was provided by the United States National Science Foundation (NSF) Office for Polar Programs (OPP) Grant number 1753101.</t>
  </si>
  <si>
    <t>DEC 9</t>
  </si>
  <si>
    <t>10.3389/fmars.2022.1009385</t>
  </si>
  <si>
    <t>7H0LU</t>
  </si>
  <si>
    <t>WOS:000902904400001</t>
  </si>
  <si>
    <t>Freitas, C; Gundersen, K; Lindblom, L; Biuw, M; Haug, T</t>
  </si>
  <si>
    <t>Freitas, Carla; Gundersen, Kjell; Lindblom, Lotta; Biuw, Martin; Haug, Tore</t>
  </si>
  <si>
    <t>Nutrient concentrations in minke whale faeces and the potential impact on dissolved nutrient pools off Svalbard, Norway</t>
  </si>
  <si>
    <t>Arctic marine mammals; Balaenoptera acutorostrata; Nutrient recycling; Top predators; Whale pump</t>
  </si>
  <si>
    <t>CAPELIN MALLOTUS-VILLOSUS; SPRING BLOOM DEVELOPMENT; BALAENOPTERA-ACUTOROSTRATA; ASSIMILATION EFFICIENCY; BARENTS SEA; ENERGY-REQUIREMENTS; DIGESTIVE EFFICIENCY; IRON FERTILIZATION; ANTARCTIC KRILL; URINARY LOSSES</t>
  </si>
  <si>
    <t>There is increasing interest in assessing the impact of whales on nutrient and carbon cycling in the ocean. By fertilising surface waters with nutrient-rich faeces, whales may stimulate primary production and thus carbon uptake, but robust assessments of such effects are lacking. Based on the analysis of faeces collected from minke whales (n = 31) off Svalbard, Norway, this study quantified the concentration of macro and micronutrients in whale faeces prior to their release in seawater. Concentrations of the macronutrients nitrogen (N) and phosphorous (P) in minke whale faeces were 50.1 +/- 10.3 and 70.9 +/- 12.1 g kg(-1) dry weight, respectively, while the most important micronutrients were zinc (Zn), iron (Fe), manganese (Mn) and copper (Cu). By combining measured faecal nutrient concentrations with estimated prey-consumption and prey-assimilation rates, we calculate that the current population of approximately 15, 000 individuals in the small management area (SMA) of Svalbard defecates daily 7 +/- 1.4 tonnes (t) N and 10 +/- 1.7 t P during summer. The molar ratio of N:P in minke whale faeces was 1.6:1, meaning that N was proportionally limiting, when compared to average elemental ratios of 16:1 in phytoplankton. In case of no N limitation in surface waters at that time, the release of elemental P through defecation in surface waters has the potential to stimulate 407 +/- 70 t of carbon per day during summer as new or regenerated primary production in the SMA of Svalbard. This amounts to 0.2 to 4 % of daily net primary production in this region. This study provides the first assessment of nutrient concentration in whale faeces prior to their dissolution in sea water. Further research, namely on the amount of N released via urine and seasonal changes in excreted nutrients, is needed to better assess the full potential of whale nutrient additions to dissolved nutrient pools in surface waters at regional and global scales.</t>
  </si>
  <si>
    <t>[Freitas, Carla; Gundersen, Kjell] Inst Marine Res, POB 1870, N-5817 Bergen, Norway; [Freitas, Carla] Marine &amp; Environm Sci Ctr, MARE, Madeira Tecnopolo, P-9020105 Funchal, Portugal; [Lindblom, Lotta; Biuw, Martin; Haug, Tore] Inst Marine Res, BO Box 6606, N-9296 Tromso, Norway</t>
  </si>
  <si>
    <t>Institute of Marine Research - Norway; Institute of Marine Research - Norway</t>
  </si>
  <si>
    <t>Freitas, C (corresponding author), Inst Marine Res, POB 1870, N-5817 Bergen, Norway.</t>
  </si>
  <si>
    <t>carla@hi.no</t>
  </si>
  <si>
    <t>Gundersen, Kjell/0000-0003-4817-9778; Freitas, Carla/0000-0002-5676-0514</t>
  </si>
  <si>
    <t>Institute of Marine Research, Norway; Research Council of Norway [276730]</t>
  </si>
  <si>
    <t>Institute of Marine Research, Norway; Research Council of Norway(Research Council of Norway)</t>
  </si>
  <si>
    <t>This work was supported by the Institute of Marine Research, Nor-way. Whale samples were collected in the context of the project The Nansen Legacy, funded by the Research Council of Norway (grant number 276730). We thank the crew of the whaling vessel Kato for cooperation in the field. We also thank all colleagues involved in the analyses of the whale faeces samples, in particular M. E. Kristoffersen and E. Erdal at the Inorganic Chemistry Laboratory and L. F. Lunde and her crew at the Plankton Chemistry Laboratory at the Institute of Marine Research</t>
  </si>
  <si>
    <t>10.1016/j.pocean.2022.102927</t>
  </si>
  <si>
    <t>6W6QD</t>
  </si>
  <si>
    <t>WOS:000895851700004</t>
  </si>
  <si>
    <t>Zhang, SW; Wang, R; Wang, F; Cai, MH</t>
  </si>
  <si>
    <t>Zhang, Sheng Wei; Wang, Rui; Wang, Feng; Cai, MingHong</t>
  </si>
  <si>
    <t>Assessment of currently used and restricted organophosphorus pesticides and their degradation products in urban drinking water: An investigation of eight cities in Yangtze River Delta urban agglomeration, East China</t>
  </si>
  <si>
    <t>JOURNAL OF HAZARDOUS MATERIALS ADVANCES</t>
  </si>
  <si>
    <t>Drinking water; Organophosphorus pesticides; spatial assessment; Urban influence; Risk assessment</t>
  </si>
  <si>
    <t>[Zhang, Sheng Wei; Wang, Rui; Cai, MingHong] Polar Res Inst China, Minist Nat Resources Key Lab Polar Sci, Shanghai 200136, Peoples R China; [Zhang, Sheng Wei] Beijing Normal Univ, Sch Environm, State Key Lab Water Environm Simulat, Beijing 100875, Peoples R China; [Wang, Feng] Tongji Univ, Coll Environm Sci &amp; Engn, State Key Lab Pollut Control &amp; Resources Reuse, Shanghai 200092, Peoples R China; [Cai, MingHong] Polar Res Inst China, Antarctic Great Wall Ecol Natl Observat &amp; Res Stn, 1000 Xuelong Rd, Shanghai 201209, Peoples R China; [Cai, MingHong] Shanghai Jiao Tong Univ, Sch Oceanog, 1954 Huashan Rd, Shanghai 200030, Peoples R China</t>
  </si>
  <si>
    <t>Polar Research Institute of China; Beijing Normal University; Tongji University; Polar Research Institute of China; Shanghai Jiao Tong University</t>
  </si>
  <si>
    <t>Cai, MH (corresponding author), Polar Res Inst China, Minist Nat Resources Key Lab Polar Sci, Shanghai 200136, Peoples R China.;Wang, F (corresponding author), Tongji Univ, Coll Environm Sci &amp; Engn, State Key Lab Pollut Control &amp; Resources Reuse, Shanghai 200092, Peoples R China.;Cai, MH (corresponding author), Polar Res Inst China, Antarctic Great Wall Ecol Natl Observat &amp; Res Stn, 1000 Xuelong Rd, Shanghai 201209, Peoples R China.;Cai, MH (corresponding author), Shanghai Jiao Tong Univ, Sch Oceanog, 1954 Huashan Rd, Shanghai 200030, Peoples R China.</t>
  </si>
  <si>
    <t>hjwangfeng@tongji.edu.cn; caiminghong@pric.org.cn</t>
  </si>
  <si>
    <t>Zhang, Shengwei/HZI-0177-2023; lin, yuan/JXL-9592-2024; Wang, Rui/JWA-4726-2024</t>
  </si>
  <si>
    <t>Wang, Rui/0009-0000-9914-7835; Cai, Minghong/0000-0003-2107-4386</t>
  </si>
  <si>
    <t>National Natural Science Founda-tion of China [41776202]; National Key Research and Development Program of China [2021YFC2801103]</t>
  </si>
  <si>
    <t>National Natural Science Founda-tion of China(National Natural Science Foundation of China (NSFC)); National Key Research and Development Program of China</t>
  </si>
  <si>
    <t>This research is supported by the National Natural Science Founda-tion of China through Grants 41776202 , the National Key Research and Development Program of China through Grant 2021YFC2801103 .</t>
  </si>
  <si>
    <t>2772-4166</t>
  </si>
  <si>
    <t>J HAZARD MATER ADV</t>
  </si>
  <si>
    <t>J. Hazard. Mater. Adv.</t>
  </si>
  <si>
    <t>10.1016/j.hazadv.2022.100211</t>
  </si>
  <si>
    <t>N8BW8</t>
  </si>
  <si>
    <t>WOS:001039212000001</t>
  </si>
  <si>
    <t>Meredith, KT; Saunders, KM; McDonough, LK; McGeoch, M</t>
  </si>
  <si>
    <t>Meredith, Karina T.; Saunders, Krystyna M.; McDonough, Liza K.; McGeoch, Melodie</t>
  </si>
  <si>
    <t>Hydrochemical and isotopic baselines for understanding hydrological processes across Macquarie Island</t>
  </si>
  <si>
    <t>SUB-ANTARCTIC MACQUARIE; HEMISPHERE WESTERLY WINDS; SIGNY ISLAND; CHEMISTRY; WATER; LAKES; AQUIFER; SYSTEM</t>
  </si>
  <si>
    <t>Isotopic and hydrochemical data from lakes provide direct information on catchment response to changing rainfall, evaporation, nutrient cycling, and the health of ecosystems. These techniques have not been widely applied to lakes in the Southern Hemisphere high latitudes, including Southern Ocean Islands (SOIs) experiencing rapid, significant shifts in climate. Historical work has highlighted the localised nature of geochemical drivers in controlling the hydrochemical evolution of lakes, such as geology, sea spray contribution, vegetation, geographical location, and ice cover extent. The role of groundwater in lake hydrology and hydrochemistry has not been identified until now, and its omission will have major implications for interpreting soil-water-air processes affecting lakes. Here we present the first comprehensive, island-wide hydrochemical and isotopic survey of lakes on a SOI. Forty lakes were examined across Macquarie Island, using comparable methods to identify key environmental processes and their geochemical drivers. Methods include stable carbon (delta C-13(DOC): dissolved organic carbon and delta C-13(DIC): dissolved inorganic carbon), oxygen (delta O-18), hydrogen (delta H-2) and strontium isotopic ratios (Sr-87/Sr-86) in water. These provide essential baseline data for hydrological, biological, and geochemical lake processes. Lakes on the western side of the island are influenced by sea spray aerosols. In general, it was found that lakes at higher elevations are dilute and those located in lower elevation catchments have experienced more water-rock interactions. The hydrochemical and isotopic tracers suggest that lakes in lower elevations contain more terrestrial sourced ions that may be contributed from groundwater. Increasing temperatures and changing rainfall patterns predicted for the region will lead to shifts in nutrient cycles, and impact the island's unique ecosystems. Future research will focus on long-term monitoring to understand seasonal, annual, and long-term variability to test fundamental hypotheses concerning ecosystem function and the consequences of environmental change on SOIs.</t>
  </si>
  <si>
    <t>[Meredith, Karina T.; Saunders, Krystyna M.; McDonough, Liza K.] Australian Nucl Sci &amp; Technol Org, Securing Antarct Environm Future, New Illawarra Rd, Lucas, NSW 2234, Australia; [Saunders, Krystyna M.] Univ Tasmania, Inst Marine &amp; Antarctic Studies, Castray Esplanade, Battery Point, Tas 7004, Australia; [McGeoch, Melodie] La Trobe Univ, Dept Environm &amp; Genet, Securing Antarct Environm Future, Melbourne, Vic 3086, Australia</t>
  </si>
  <si>
    <t>Australian Nuclear Science &amp; Technology Organisation; Commonwealth Scientific &amp; Industrial Research Organisation (CSIRO); University of Tasmania; La Trobe University; Melbourne Genomics Health Alliance</t>
  </si>
  <si>
    <t>Meredith, KT (corresponding author), Australian Nucl Sci &amp; Technol Org, Securing Antarct Environm Future, New Illawarra Rd, Lucas, NSW 2234, Australia.</t>
  </si>
  <si>
    <t>kmj@ansto.gov.au</t>
  </si>
  <si>
    <t>McGeoch, Melodie A/F-8353-2011; Saunders, Krystyna/G-1368-2019</t>
  </si>
  <si>
    <t>McDonough, Liza/0000-0001-7323-5108; Meredith, Karina. T./0000-0003-3635-1614; Saunders, Krystyna/0000-0002-6800-2630</t>
  </si>
  <si>
    <t>Australian Antarctic Science Grant [4156]; ARC SRIEAS Grant Securing Antarctica's Environmental Future [SR200100005]</t>
  </si>
  <si>
    <t>Australian Antarctic Science Grant; ARC SRIEAS Grant Securing Antarctica's Environmental Future</t>
  </si>
  <si>
    <t>The authors would like to thank Aimee Bliss and Kristen Gardner for undertaking the lake sampling and Chris Dimovski for preparing field equipment. We would also like to thank the ANSTO laboratories for sample analysis in particular Jennifer Van Holst and Henri Wong. Thank you to Pip Bricher for providing the original Geographical Information System layers. This work was funded by Australian Antarctic Science Grant 4156 (Saunders). The Australian Antarctic Division and Tasmanian Parks and Wildlife Service, Department of Natural Resources and Environment, Tasmania, provided access to Macquarie Island and logistical support. MM acknowledges support from the ARC SRIEAS Grant SR200100005 Securing Antarctica's Environmental Future.</t>
  </si>
  <si>
    <t>DEC 8</t>
  </si>
  <si>
    <t>10.1038/s41598-022-25115-3</t>
  </si>
  <si>
    <t>G9LC6</t>
  </si>
  <si>
    <t>WOS:000992275200043</t>
  </si>
  <si>
    <t>Wang, LC; Lin, YF; Wu, CR</t>
  </si>
  <si>
    <t>Wang, Li-Chiao; Lin, Yong-Fu; Wu, Chau-Ron</t>
  </si>
  <si>
    <t>Intensified modulation of the Pacific north equatorial current bifurcation by the southern annular mode since the early 1990s</t>
  </si>
  <si>
    <t>INTERANNUAL VARIABILITY; CLIMATE</t>
  </si>
  <si>
    <t>Long-term reanalysis data were used to assess inter-decadal to decadal modulations of the North Equatorial Current (NEC) bifurcation in the Pacific after the early 1990s. The wind stress curl anomaly (WSCA) in the region of 10 degrees N-15 degrees N and 160 degrees E-170 degrees E (C-BOX) had been found to excite Rossby waves and control NEC bifurcation along the Philippine coast. Our analysis revealed that the WSCA in the C-BOX has been remotely modulated by the Southern Annular Mode (SAM) since the early 1990s. It is shown that the SAM shifted to its positive phase at this transition and began strongly impacting the WSCA in the C-BOX and the NEC bifurcation. During the positive SAM phase after the early 1990s, strong climate variability occurred in the tropical to subtropical area of the North Pacific, with a clear footprint connected to the Antarctic region. Consistent with that finding, we determined that during the positive SAM phase, a dipole sea surface temperature pattern was generated in the South Pacific; this induced an atmospheric Rossby wave train in upper-level wind shear that propagated northward to the North Pacific. Such effects further enhanced downward motion and divergence at the surface, intensifying the easterlies in the equatorial area and the anticyclonic WSCA in the C-BOX. The anticyclonic WSCA in the C-BOX substantially excited downwelling oceanic Rossby waves at the surface, inducing an equatorward trend of NEC bifurcation after the early 1990s.</t>
  </si>
  <si>
    <t>[Wang, Li-Chiao] Natl Cent Univ, Dept Atmospher Sci, Taoyuan, Taiwan; [Lin, Yong-Fu] Univ Calif Irvine, Dept Earth Syst Sci, Irvine, CA USA; [Wu, Chau-Ron] Natl Taiwan Normal Univ, Dept Earth Sci, Taipei, Taiwan; [Wu, Chau-Ron] Acad Sinica, Res Ctr Environm Changes, Taipei, Taiwan</t>
  </si>
  <si>
    <t>National Central University; University of California System; University of California Irvine; National Taiwan Normal University; Academia Sinica - Taiwan</t>
  </si>
  <si>
    <t>Wu, CR (corresponding author), Natl Taiwan Normal Univ, Dept Earth Sci, Taipei, Taiwan.;Wu, CR (corresponding author), Acad Sinica, Res Ctr Environm Changes, Taipei, Taiwan.</t>
  </si>
  <si>
    <t>cwu@ntnu.edu.tw</t>
  </si>
  <si>
    <t>Ministry of Science and Technology, ROC [MOST 111-2611-M-003-004]; US's Climate and Large-Scale Dynamics Program of National Science Foundation [AGS-1833075, 2109539]</t>
  </si>
  <si>
    <t>Ministry of Science and Technology, ROC; US's Climate and Large-Scale Dynamics Program of National Science Foundation</t>
  </si>
  <si>
    <t>AcknowledgementsL.-C. Wang was supported by the Ministry of Science and Technology, ROC, under grants MOST 108-2111-M-008-001-MY3, 110-2611-M-008-003 and 111-2111-M-008-015. Y.-F. Lin was supported by the US's Climate and Large-Scale Dynamics Program of National Science Foundation under Grants AGS-1833075 and 2109539. C.-R. Wu was supported by the Ministry of Science and Technology, ROC, under grant MOST 111-2611-M-003-004.</t>
  </si>
  <si>
    <t>10.1038/s41598-022-25661-w</t>
  </si>
  <si>
    <t>WOS:000992275200007</t>
  </si>
  <si>
    <t>Yan, YZ; Kurbatov, AV; Mayewski, PA; Shackleton, S; Higgins, JA</t>
  </si>
  <si>
    <t>Yan, Yuzhen; Kurbatov, Andrei V. V.; Mayewski, Paul A. A.; Shackleton, Sarah; Higgins, John A. A.</t>
  </si>
  <si>
    <t>Early Pleistocene East Antarctic temperature in phase with local insolation</t>
  </si>
  <si>
    <t>BLUE-ICE AREA; ALLAN HILLS; OCEAN TEMPERATURE; OCCLUDED AIR; TIME-SERIES; CLIMATE; SHEET; CORE; GASES; FRACTIONATION</t>
  </si>
  <si>
    <t>Pleistocene glacial-interglacial cycles are hypothesized to be modulated by Earth's orbital parameters through their influence on the Northern Hemisphere summer insolation. Changes in obliquity-Earth's axial tilt-can explain the 41,000-year glacial cycles in the Early Pleistocene. However, the absence of 19,000- and 23,000-year frequencies corresponding to Earth's precession of the rotation axis from those cycles remains enigmatic. Here we investigate how these orbital forcings may have changed by developing an insolation proxy based on the oxygen-to-nitrogen ratio of gases trapped in ice core samples collected from the Allan Hills Blue Ice Area in East Antarctica. We find that East Antarctic temperature was positively correlated with local, Southern Hemisphere summer insolation in the Early Pleistocene, while this correlation became negative in the late Pleistocene, with only the latter being consistent with the previous findings that Northern Hemisphere insolation paced Antarctic climate. If Early Pleistocene ice volume and local Antarctic temperature co-varied, our result supports the hypothesis that attributes the absence of precession in the 41,000-year glacial cycles to cancellation of precession frequencies in hemispheric ice volume changes that are responding to local insolation, suggesting a more dynamic East Antarctic Ice Sheet in the Early Pleistocene than in the past 800,000 years.</t>
  </si>
  <si>
    <t>[Yan, Yuzhen; Shackleton, Sarah; Higgins, John A. A.] Princeton Univ, Dept Geosci, Princeton, NJ 08544 USA; [Kurbatov, Andrei V. V.; Mayewski, Paul A. A.] Univ Maine, Climate Change Inst, Orono, ME USA; [Kurbatov, Andrei V. V.] Univ Maine, Sch Earth &amp; Climate Sci, Orono, ME USA</t>
  </si>
  <si>
    <t>Princeton University; University of Maine System; University of Maine Orono; University of Maine System; University of Maine Orono</t>
  </si>
  <si>
    <t>Yan, YZ (corresponding author), Princeton Univ, Dept Geosci, Princeton, NJ 08544 USA.</t>
  </si>
  <si>
    <t>yanyuzhen.pku@gmail.com</t>
  </si>
  <si>
    <t>Kurbatov, Andrei/0000-0002-9819-9251; Shackleton, Sarah/0000-0001-5927-1954</t>
  </si>
  <si>
    <t>US National Science Foundation [ANT-1443263, ANT-1443306]</t>
  </si>
  <si>
    <t>US National Science Foundation(National Science Foundation (NSF))</t>
  </si>
  <si>
    <t>Funding for this work was provided by US National Science Foundation with the following grant numbers: ANT-1443263 (J.A.H.) and ANT-1443306 (A.V.K and P.A.M.). We thank the US Ice Drilling Design and Operations (IDDO), M. Waszkiewicz, P. Kemeny, S. Mackay and K. Borek Air for assistance with the field work. We also thank R. Nunn and G. Hargreaves at the National Science Foundation Ice Core Facility for help with ice core sample processing and archiving. We thank M. Bender for the constructive comments and discussions.</t>
  </si>
  <si>
    <t>10.1038/s41561-022-01095-x</t>
  </si>
  <si>
    <t>WOS:000895640200001</t>
  </si>
  <si>
    <t>Hudson, K; Oliver, MJ; Kohut, J; Dinniman, MS; Klinck, JM; Cimino, MA; Bernard, KS; Statscewich, H; Fraser, W</t>
  </si>
  <si>
    <t>Hudson, K.; Oliver, M. J.; Kohut, J.; Dinniman, M. S.; Klinck, J. M.; Cimino, M. A.; Bernard, K. S.; Statscewich, H.; Fraser, W.</t>
  </si>
  <si>
    <t>A subsurface eddy associated with a submarine canyon increases availability and delivery of simulated Antarctic krill to penguin foraging regions</t>
  </si>
  <si>
    <t>MARINE ECOLOGY PROGRESS SERIES</t>
  </si>
  <si>
    <t>Krill; Resource availability; Diel vertical migration; Retention; Biological hotspot; Palmer Deep Canyon; Regional Ocean Modeling System; Penguins; Antarctica</t>
  </si>
  <si>
    <t>RANDOM-WALK MODELS; EUPHAUSIA-SUPERBA; VERTICAL MIGRATION; SCOTIA SEA; WEST; ICE; ZOOPLANKTON; VARIABILITY; PENINSULA; TRANSPORT</t>
  </si>
  <si>
    <t>The distribution of marine zooplankton depends on both ocean currents and swimming behavior. Many zooplankton perform diel vertical migration (DVM) between the surface and subsurface, which can have different current regimes. If concentration mechanisms, such as fronts or eddies, are present in the subsurface, they may impact zooplankton near-surface distributions when they migrate to near-surface waters. A subsurface, retentive eddy within Palmer Deep Canyon (PDC), a submarine canyon along the West Antarctic Peninsula (WAP), retains diurnal vertically migrating zooplankton in previous model simulations. Here, we tested the hypothesis that the presence of the PDC and its associated subsurface eddy increases the availability and delivery of simulated Antarctic krill to nearby penguin foraging regions with model simulations over a single austral summer. We found that the availability and delivery rates of simulated krill to penguin foraging areas adjacent to PDC were greater when the PDC was present compared to when PDC was absent, and when DVM was deepest. These results suggest that the eddy has potential to enhance krill availability to upper trophic level predators and suggests that retention may play a significant role in resource availability for predators in other similar systems along the WAP and in other systems with sustained subsurface eddies.</t>
  </si>
  <si>
    <t>[Hudson, K.; Oliver, M. J.] Univ Delaware, Coll Earth Ocean &amp; Environm, Lewes, DE 19958 USA; [Kohut, J.] Rutgers State Univ, Dept Marine &amp; Coastal Sci, New Brunswick, NJ 08901 USA; [Dinniman, M. S.; Klinck, J. M.] Old Dominion Univ, Dept Ocean &amp; Earth Sci, Norfolk, VA 23529 USA; [Cimino, M. A.] Univ Calif Santa Cruz, Inst Marine Sci, Santa Cruz, CA 95064 USA; [Bernard, K. S.] Oregon State Univ, Coll Earth Ocean &amp; Atmospher Sci, Corvallis, OR 97331 USA; [Statscewich, H.] Univ Alaska, Coll Fisheries &amp; Ocean Sci, Fairbanks, AK 99775 USA; [Fraser, W.] Polar Oceans Res Grp, Sheridan, MT 59749 USA; [Hudson, K.] SUNY Stony Brook, Inst Adv Computat Sci, Stony Brook, NY 11794 USA</t>
  </si>
  <si>
    <t>University of Delaware; Rutgers University System; Rutgers University New Brunswick; Old Dominion University; University of California System; University of California Santa Cruz; Oregon State University; University of Alaska System; University of Alaska Fairbanks; State University of New York (SUNY) System; State University of New York (SUNY) Stony Brook</t>
  </si>
  <si>
    <t>Hudson, K (corresponding author), Univ Delaware, Coll Earth Ocean &amp; Environm, Lewes, DE 19958 USA.;Hudson, K (corresponding author), SUNY Stony Brook, Inst Adv Computat Sci, Stony Brook, NY 11794 USA.</t>
  </si>
  <si>
    <t>katherine.l.hudson@stonybrook.edu</t>
  </si>
  <si>
    <t>Gallagher, Katherine/0000-0002-3076-8016; Cimino, Megan/0000-0002-1715-2903</t>
  </si>
  <si>
    <t>National Science Foundation [1744884, 1745011]</t>
  </si>
  <si>
    <t>This project was funded through the National Science Foundation, Award Number 1744884 to M.J.O. (University of Delaware) and 1745011 to M.S.D. and J.M.K. (Old Dominion University [ODU]). Computer simulations were run on the Wahab High Performance computing cluster at ODU. We are grateful to the Antarctic Support Contractor and their teams in Denver, CO, aboard the RVIB 'Laurence M. Gould,' and at Palmer Station, without whom a project such as this would not be possible. We thank the students and field assistants from this project and the Palmer Antarctica Long-Term Ecological Research team for their valuable work and collaboration on this project. ROMS particle simulations will be archived at the Biological and Chemical Oceanography Data Management Office (www.bco-dmo.org/project/850844).</t>
  </si>
  <si>
    <t>INTER-RESEARCH</t>
  </si>
  <si>
    <t>OLDENDORF LUHE</t>
  </si>
  <si>
    <t>NORDBUNTE 23, D-21385 OLDENDORF LUHE, GERMANY</t>
  </si>
  <si>
    <t>0171-8630</t>
  </si>
  <si>
    <t>1616-1599</t>
  </si>
  <si>
    <t>MAR ECOL PROG SER</t>
  </si>
  <si>
    <t>Mar. Ecol.-Prog. Ser.</t>
  </si>
  <si>
    <t>10.3354/meps14211</t>
  </si>
  <si>
    <t>Ecology; Marine &amp; Freshwater Biology; Oceanography</t>
  </si>
  <si>
    <t>Environmental Sciences &amp; Ecology; Marine &amp; Freshwater Biology; Oceanography</t>
  </si>
  <si>
    <t>6S9IL</t>
  </si>
  <si>
    <t>WOS:000893296600007</t>
  </si>
  <si>
    <t>Righter, K; Jakubek, RS; Fries, MD; Schutt, J; Pando, K; Harrington, R</t>
  </si>
  <si>
    <t>Righter, Kevin; Jakubek, Ryan S. S.; Fries, Marc D. D.; Schutt, John; Pando, Kellye; Harrington, Roger</t>
  </si>
  <si>
    <t>Assessment of petrologic subtypes, subgroups, and pairing within CV chondrites in the US Antarctic meteorite collection</t>
  </si>
  <si>
    <t>CARBONACEOUS CHONDRITES; MAGNETIC CLASSIFICATION; RAMAN-SPECTROSCOPY; STONY METEORITES; BALI-LIKE; CHRONOLOGY; CHONDRULES; MINERALOGY; HISTORY</t>
  </si>
  <si>
    <t>Carbonaceous chondrites of the Vigarano group (CV) are primitive (nearly un-metamorphosed) meteorites that provide a wealth of information about the early solar system, including constraints on chondrule formation, origin of calcium-aluminum inclusions, stability of organic compounds, and redox conditions. The US Antarctic meteorite collection contains 119 CV samples from 15 dense collection areas (DCAs) from the TransAntarctic Mountains; these samples have been assigned a preliminary classification as CVs, but not to the subgroups oxidized A, oxidized B, and reduced. Furthermore, variation in petrologic grade can be determined non-destructively using Raman spectroscopy. To update the classification of both subgroups and petrologic types in the collection, we have acquired magnetic susceptibility, metal and sulfide compositions, and Raman spectra. Overall, there are 55 oxidized A samples, 18 oxidized B samples, and 46 reduced samples. Several of the CVs are quite primitive (Lewis Cliffs Ice Tongue and MacAlpine Hills) but are also very small. Multiple pairing groups have been identified in the Miller Range (MIL), Queen Alexandra Range, and Larkman Nunatak DCAs, including all of the subgroups. In MIL 090981, there is evidence for multiple lithologies. We make suggested updates for all the samples, knowing that this information will help to better guide researchers interested in studying the CV chondrites in the US Antarctic meteorite collection.</t>
  </si>
  <si>
    <t>[Righter, Kevin; Fries, Marc D. D.] NASA, Johnson Space Ctr, Mailcode XI2, 2101 NASA Pkwy, Houston, TX 77058 USA; [Jakubek, Ryan S. S.; Pando, Kellye; Harrington, Roger] NASA, Jacobs, Johnson Space Ctr, Houston, TX 77058 USA; [Schutt, John] Case Western Reserve Univ, Dept Earth Environm &amp; Planetary Sci, 10900 Euclid Ave, Cleveland, OH 44106 USA</t>
  </si>
  <si>
    <t>National Aeronautics &amp; Space Administration (NASA); NASA Johnson Space Center; National Aeronautics &amp; Space Administration (NASA); University System of Ohio; Case Western Reserve University</t>
  </si>
  <si>
    <t>Righter, K (corresponding author), NASA, Johnson Space Ctr, Mailcode XI2, 2101 NASA Pkwy, Houston, TX 77058 USA.</t>
  </si>
  <si>
    <t>kevin.righter-1@nasa.gov</t>
  </si>
  <si>
    <t>Righter, Kevin/0000-0002-6075-7908</t>
  </si>
  <si>
    <t>Polar Geospatial Center under NSF-OPP award [1043681, 1559691]; NASA Astromaterials Acquisition and Curation Office, Johnson Space Center; Office of Polar Programs (OPP); Directorate For Geosciences [1559691, 1043681] Funding Source: National Science Foundation</t>
  </si>
  <si>
    <t>Polar Geospatial Center under NSF-OPP award; NASA Astromaterials Acquisition and Curation Office, Johnson Space Center; Office of Polar Programs (OPP); Directorate For Geosciences(National Science Foundation (NSF)NSF - Directorate for Geosciences (GEO))</t>
  </si>
  <si>
    <t>We thank Anne Peslier for assistance with electron microprobe analysis, and Mike Zolensky for providing thin sections of Leoville and Vigarano. Funding for this work was provided in part as an Advanced Curation project run by the NASA Astromaterials Acquisition and Curation Office, Johnson Space Center. All Maxar Worldview and Ikonos satellite imagery was acquired through Polar Geospatial Center. We thank Cole Kelleher for his assistance in obtaining the imagery and facilitating permission to use the imagery in this paper. Support for this work provided by the Polar Geospatial Center under NSF-OPP awards 1043681 and 1559691.</t>
  </si>
  <si>
    <t>10.1111/maps.13932</t>
  </si>
  <si>
    <t>WOS:000894178700001</t>
  </si>
  <si>
    <t>Prabhat, P; Rahaman, W; Lathika, N; Tarique, M; Mishra, R; Thamban, M</t>
  </si>
  <si>
    <t>Prabhat, Priyesh; Rahaman, Waliur; Lathika, Nambiyathodi; Tarique, Mohd; Mishra, Ravi; Thamban, Meloth</t>
  </si>
  <si>
    <t>Modern-like deep water circulation in Indian Ocean caused by Central American Seaway closure</t>
  </si>
  <si>
    <t>FERROMANGANESE CRUSTS; ND; NEODYMIUM; MIOCENE; ATLANTIC; CLIMATE; EVOLUTION; PACIFIC; EPSILON(ND); MASSES</t>
  </si>
  <si>
    <t>Global overturning circulation underwent significant changes in the late Miocene, driven by tectonic forcing, and impacted the global climate. Prevailing hypotheses related to the late Miocene deep water circulation (DWC) changes driven by the closure of the Central American Seaways (CAS) and its widespread impact remains untested due to the paucity of suitable records away from the CAS region. Here, we test the hypothesis of the large-scale circulation changes by providing a high-resolution record of DWC since the late Miocene (11.3 to similar to 2Ma) from the north-western Indian Ocean. Our investigation reveals a progressive shift from Pacific-dominated DWC before similar to 9.0 Ma to the onset of a modern-like DWC system in the Indian Ocean comprising of Antarctic bottom water and northern component water during theMiocene-Pliocene transition (similar to 6Ma) caused by progressive shoaling of the CAS and suggests its widespread impact.</t>
  </si>
  <si>
    <t>[Prabhat, Priyesh; Rahaman, Waliur; Lathika, Nambiyathodi; Tarique, Mohd; Mishra, Ravi; Thamban, Meloth] Minist Earth Sci, Natl Ctr Polar &amp; Ocean Res, Pilerne Ind Estates, Goa, India; [Prabhat, Priyesh] Goa Univ, Sch Earth Ocean &amp; Atmospher Sci, Taleigao, Goa, India</t>
  </si>
  <si>
    <t>Ministry of Earth Sciences (MoES) - India; National Centre for Polar and Ocean Research (NCPOR); Goa University</t>
  </si>
  <si>
    <t>Prabhat, P; Rahaman, W (corresponding author), Minist Earth Sci, Natl Ctr Polar &amp; Ocean Res, Pilerne Ind Estates, Goa, India.;Prabhat, P (corresponding author), Goa Univ, Sch Earth Ocean &amp; Atmospher Sci, Taleigao, Goa, India.</t>
  </si>
  <si>
    <t>priyeshprabhat@gmail.com; waliur@ncpor.res.in</t>
  </si>
  <si>
    <t>; Tarique, Mohd/M-4359-2016</t>
  </si>
  <si>
    <t>N, Lathika/0000-0001-7617-6377; PRABHAT, PRIYESH/0000-0003-1491-3794; Tarique, Mohd/0000-0002-3203-2694</t>
  </si>
  <si>
    <t>National Centre for Polar and Ocean Research, Ministry of Earth Science, Govt. of India through the PACER-Cryosphere and Climate project; University Grant Commission</t>
  </si>
  <si>
    <t>National Centre for Polar and Ocean Research, Ministry of Earth Science, Govt. of India through the PACER-Cryosphere and Climate project; University Grant Commission(University Grants Commission, India)</t>
  </si>
  <si>
    <t>Authors acknowledge the former Director Dr. M. Ravichandran, National Centre for Polar and Ocean Research, Ministry of Earth Science, Govt. of India for financial support through the PACER-Cryosphere and Climate project. We sincerely acknowledge shipboard scientific and technical teams of IODP expedition 355 and IODP-India. The authors thank Ankita Kanetkar for the laboratory support. P.P. and M.T. acknowledges the University Grant Commission for providing the research fellowship grant. This is NCPOR contribution number: J-49/2022-23.</t>
  </si>
  <si>
    <t>DEC 7</t>
  </si>
  <si>
    <t>10.1038/s41467-022-35145-0</t>
  </si>
  <si>
    <t>C9SO4</t>
  </si>
  <si>
    <t>WOS:000965234900037</t>
  </si>
  <si>
    <t>Mestre, LM; Argañaraz, C; Preiss-Daimler, I; Fernandez, L; Turi, L; Soler, R</t>
  </si>
  <si>
    <t>Mestre, Luciana M.; Arganaraz, Carina, I; Preiss-Daimler, Inga; Fernandez, Loreto; Turi, Luis; Soler, Rosina</t>
  </si>
  <si>
    <t>Influence of environmental conditions and initial sapling size in Nothofagus survival and growth: Implications for restoration of burnt sub-Antarctic forests</t>
  </si>
  <si>
    <t>AUSTRAL ECOLOGY</t>
  </si>
  <si>
    <t>bare root method; habitat; Patagonia; reforestation; wildfire</t>
  </si>
  <si>
    <t>SOLANDRI VAR. CLIFFORTIOIDES; TREE SEEDLING ESTABLISHMENT; TIERRA-DEL-FUEGO; NORTHWESTERN PATAGONIA; PUMILIO; SUCCESS; SOIL; COMPETITION; INVASION; TOOL</t>
  </si>
  <si>
    <t>The sub-Antarctic forests in Tierra del Fuego mountains are considered one of the few remaining wilderness areas on the planet; however, human disturbances like wildfires, exotic species, and so forth exacerbate their degradation. In 2012, a human-caused wildfire started in a remote forest-mountain area, and 2 years after that, a reforestation project began to restore the natural canopy layer. Saplings of the native Nothofagus trees were obtained through the bare root method from undisturbed areas. In this study, we evaluated the influence of (1) macro- (considering natural topography and vegetation physiognomy) and micro-environments (topography, canopy cover, substrate, and understory cover) affected by fire; and (2) the extraction size of the saplings (initial size), on survival and growth of planted saplings, over 5 years. Total sapling survival was 41.4% with a mean growth rate of 8.46 cm year(-1). Survival and growth were influenced by the studied variables. At a macro-environment level, tree saplings showed higher success in well-drained zones, meanwhile at the micro-environment level saplings performed better in those that contribute to retain soil moisture and avoiding evapotranspiration. We conclude that environmental features influence differentially depending on the scale of analysis. To restore burnt temperate forests applying the bare root method, we recommended using Nothofagus saplings &lt;40 cm tall for better results. In this sense, we demonstrated the effectiveness of the method since comparable results were obtained in other restoration experiences. This method can also be applied in areas without nursery material, when the biology of tagged plants was appropriated, for example shallow growth of root systems, formation of natural tree seedling banks. This work represents one of the few medium-term restoration experiences reported for the southernmost forests of the planet: our findings could be applied in other reforestation experiences, making noticeable improvements in the recovery process.</t>
  </si>
  <si>
    <t>[Mestre, Luciana M.; Fernandez, Loreto; Turi, Luis] Proyecto Restaurac Soy Parte Bosque Fueguino, Ushuaia, Argentina; [Arganaraz, Carina, I] Univ Nacl Cordoba, Inst Multidisciplinario Biol Vegetal, CONICET, Cordoba, Argentina; [Preiss-Daimler, Inga] GutachterInnenburo Dr Preiss Daimler, Bremen, Germany; [Fernandez, Loreto; Turi, Luis] Assoc Argentina Guias Montana Delegac Ushuaia, Ushuaia, Argentina; [Soler, Rosina] Ctr Austral Invest Cient CADIC CONICET, Ushuaia, Argentina</t>
  </si>
  <si>
    <t>Consejo Nacional de Investigaciones Cientificas y Tecnicas (CONICET); National University of Cordoba; Consejo Nacional de Investigaciones Cientificas y Tecnicas (CONICET)</t>
  </si>
  <si>
    <t>Mestre, LM (corresponding author), Marcos Zar 449, RA-9410 Ushuaia, Tierra Del Fueg, Argentina.</t>
  </si>
  <si>
    <t>lucianamestre@hotmail.com</t>
  </si>
  <si>
    <t>NEWSAN Company; Province Forests Law, Tierra del Fuego Government; PROJECT BIRF 7520 -AR</t>
  </si>
  <si>
    <t>NEWSAN Company; PROJECT BIRF 7520 -AR; Province Forests Law, Tierra del Fuego Government (Argentina)</t>
  </si>
  <si>
    <t>1442-9985</t>
  </si>
  <si>
    <t>1442-9993</t>
  </si>
  <si>
    <t>AUSTRAL ECOL</t>
  </si>
  <si>
    <t>Austral Ecol.</t>
  </si>
  <si>
    <t>10.1111/aec.13269</t>
  </si>
  <si>
    <t>KA5P6</t>
  </si>
  <si>
    <t>WOS:000894088400001</t>
  </si>
  <si>
    <t>Kimura, N; Onomura, T; Kikuchi, T</t>
  </si>
  <si>
    <t>Kimura, Noriaki; Onomura, Tomoyuki; Kikuchi, Takashi</t>
  </si>
  <si>
    <t>Processes governing seasonal and interannual change of the Antarctic sea-ice area</t>
  </si>
  <si>
    <t>JOURNAL OF OCEANOGRAPHY</t>
  </si>
  <si>
    <t>Antarctic sea ice; Seasonal change; Interannual change; Sea-ice processes</t>
  </si>
  <si>
    <t>NATURAL VARIABILITY; TRENDS; EXTENT; VALIDATION; MECHANISMS; RESOLUTION; MOTION; IMPACT; WIND</t>
  </si>
  <si>
    <t>Seasonal and interannual variabilities of sea-ice area in the Southern Ocean were examined using daily sea-ice concentration and ice velocity products for 2003-2019, derived from Advanced Microwave Scanning Radiometer for EOS (AMSR-E) and AMSR2 data. This study quantified the contributions to changes in the sea-ice area due to sea-ice transport and local processes, including ice formation/melting and ice deformation. Regional differences in the processes of seasonal advance and retreat of sea ice were elucidated. In most regions, sea-ice area increases mainly due to new ice formation in the marginal ice zone during autumn and winter. However, in the Amundsen-Bellingshausen seas, ice melting occurs in the marginal ice zone, even during winter, and expansion of the ice cover is attributable mainly to off-ice transport. With regard to interannual variability, the maximum ice area for each year is highly correlated with increase of ice area attributable to the ice formation in the marginal ice zone. Revealed processes that controls sea-ice changes could help improve our understanding of the sea-ice response to climate change.</t>
  </si>
  <si>
    <t>[Kimura, Noriaki] Univ Tokyo, Atmosphere &amp; Ocean Res Inst, 5-1-5 Kashiwanoha, Kashiwa 2778568, Japan; [Onomura, Tomoyuki; Kikuchi, Takashi] Univ Tokyo, Grad Sch Frontier Sci, Kashiwa, Japan; [Kikuchi, Takashi] Japan Agcy Marine Earth Sci &amp; Technol, Yokosuka, Japan</t>
  </si>
  <si>
    <t>University of Tokyo; University of Tokyo; Japan Agency for Marine-Earth Science &amp; Technology (JAMSTEC)</t>
  </si>
  <si>
    <t>Kimura, N (corresponding author), Univ Tokyo, Atmosphere &amp; Ocean Res Inst, 5-1-5 Kashiwanoha, Kashiwa 2778568, Japan.</t>
  </si>
  <si>
    <t>kimura_n@aori.u-tokyo.ac.jp</t>
  </si>
  <si>
    <t>Arctic Challenge for Sustainability II (ArCS II, program) [JPMXD1420318865]; JSPS KAKENHI [JP20H05707]; Grants-in-Aid for Scientific Research [20H05707, 22K12341] Funding Source: KAKEN</t>
  </si>
  <si>
    <t>Arctic Challenge for Sustainability II (ArCS II, program);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</si>
  <si>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the Arctic Data archive System for the gridded AMSR-E and AMSR2 data. Some parts of the regression calculation were conducted using R software, and the figures were produced using the GFD Dennou Library. This work forms part of the Arctic Challenge for Sustainability II (ArCS II, program grant no. JPMXD1420318865) projects and JSPS KAKENHI Grant Number JP20H05707. We thank James Buxton, MSc for editing a draft of this manuscript.</t>
  </si>
  <si>
    <t>0916-8370</t>
  </si>
  <si>
    <t>1573-868X</t>
  </si>
  <si>
    <t>J OCEANOGR</t>
  </si>
  <si>
    <t>J. Oceanogr.</t>
  </si>
  <si>
    <t>10.1007/s10872-022-00669-y</t>
  </si>
  <si>
    <t>CN1A9</t>
  </si>
  <si>
    <t>WOS:000895024900001</t>
  </si>
  <si>
    <t>Komplikevych, S; Maslovska, O; Peretyatko, T; Moroz, O; Diakiv, S; Zaritska, Y; Parnikoza, I; Hnatush, S</t>
  </si>
  <si>
    <t>Komplikevych, Solomiia; Maslovska, Olha; Peretyatko, Taras; Moroz, Oksana; Diakiv, Svitlana; Zaritska, Yeva; Parnikoza, Ivan; Hnatush, Svitlana</t>
  </si>
  <si>
    <t>Culturable microorganisms of substrates of terrestrial plant communities of the maritime Antarctic (Galindez Island, Booth Island)</t>
  </si>
  <si>
    <t>Antarctic microbial communities; Antarctic actinobacteria; Sphingomonas; Flavobacterium; Pseudomonas; Trace elements</t>
  </si>
  <si>
    <t>SP NOV.; SP. NOV.; SOIL; BACTERIA; NITROGEN; BAY</t>
  </si>
  <si>
    <t>Conventional microbiological methods reveal the diversity of culturable microorganisms and are used for the isolation of strains with various properties. On the Argentine Islands-Kyiv Peninsula region, a study of microorganisms of plant communities has been reported; however, they to the full extent did not elucidate the microbial diversity. Animal populations are shifting because of climate change, which, together with anthropogenic influence, causes the shaping of microbial communities. The study aimed to establish the diversity, enumeration of microorganisms of different groups, and relationships with the physical and chemical properties of the samples from the ecosystem of the Argentine Islands-Kyiv Peninsula region that were collected from the vegetation and soils of the nesting and feeding site of Larus dominicanus (a Kelp Gull). The microbial communities and relationships between the Antarctic Peninsula maritime ecosystems (Galindez Island and Booth Island) factors were studied with the application of conventional microbiological techniques, statistical analyses, and 16S rRNA-based taxonomy. The study of the content of trace elements and the enumeration of cultivated microorganisms of different groups in soil samples demonstrated the difference in the enumeration of microorganisms between soil layers and the relationship between microbial enumeration and the properties of the samples. The samples from Booth Island differed in microbial enumeration from samples from Galindez Island. The greatest diversity and abundance of microorganisms were found in the samples from the most polluted due to the activity of the diesel station area. Among over 200 isolates, several of them were found to be tolerant to high levels of trace elements.</t>
  </si>
  <si>
    <t>[Komplikevych, Solomiia; Maslovska, Olha; Peretyatko, Taras; Moroz, Oksana; Hnatush, Svitlana] Ivan Franko Natl Univ Lviv, 4 Hrushevskyi Str, UA-79005 Lvov, Ukraine; [Diakiv, Svitlana] Lesya Ukrainka Volyn Natl Univ, 28 Vinnichenko Str,Educ Bldg G, UA-43025 Lutsk, Ukraine; [Zaritska, Yeva] State Sci Res Control Inst Vet Med Prod &amp; Feed Add, Donetska Str 11, UA-79000 Lvov, Ukraine; [Parnikoza, Ivan] Natl Antarctic Sci Ctr, Minist Educ &amp; Sci Ukraine, State Inst, Ave Taras Shevchenko 16, UA-01601 Kiev, Ukraine; [Parnikoza, Ivan] NAS Ukraine, Inst Mol Biol &amp; Genet, Zabolotnogo Str 150, UA-03143 Kiev, Ukraine</t>
  </si>
  <si>
    <t>Ministry of Education &amp; Science of Ukraine; Ivan Franko National University Lviv; Ministry of Education &amp; Science of Ukraine; Lesya Ukrainka Volyn National University; Ministry of Education &amp; Science of Ukraine; State Institution National Antarctic Scientific Center; National Academy of Sciences Ukraine; Institute of Molecular Biology &amp; Genetics of NASU</t>
  </si>
  <si>
    <t>Hnatush, S (corresponding author), Ivan Franko Natl Univ Lviv, 4 Hrushevskyi Str, UA-79005 Lvov, Ukraine.</t>
  </si>
  <si>
    <t>svitlana.hnatush@lnu.edu.ua</t>
  </si>
  <si>
    <t>Komplikevych, S Y/AAH-4829-2020; Parnikoza, Ivan/I-2398-2016; Hnatush, Svitlana/L-4006-2017; Maslovska, Olga/F-6879-2019; Moroz, Oksana/L-1424-2017</t>
  </si>
  <si>
    <t>Komplikevych, S Y/0000-0002-9774-7113; Hnatush, Svitlana/0000-0002-5353-102X; Maslovska, Olga/0000-0002-0177-1419; Ivan, Parnikoza/0000-0002-0490-8134; Moroz, Oksana/0000-0002-2351-5301; Zaricka, Ewa/0000-0002-6963-5560</t>
  </si>
  <si>
    <t>State Special-Purpose Research Program in Antarctica; [0121U112291]</t>
  </si>
  <si>
    <t>State Special-Purpose Research Program in Antarctica;</t>
  </si>
  <si>
    <t>This study was performed and partially funded under the State Special-Purpose Research Program in Antarctica for 2011-2023 within project 0121U112291 Microbiota of terrestrial plant grouping of the maritime Antarctic</t>
  </si>
  <si>
    <t>10.1007/s00300-022-03103-7</t>
  </si>
  <si>
    <t>WOS:000894986200001</t>
  </si>
  <si>
    <t>Ochyra, R; Ovstedal, DO; Broady, PA</t>
  </si>
  <si>
    <t>Ochyra, Ryszard; Ovstedal, Dag O. O.; Broady, Paul A.</t>
  </si>
  <si>
    <t>The distribution of lichens and mosses at Edward VII Peninsula, Marie Byrd Land, Antarctica</t>
  </si>
  <si>
    <t>Alexandra Mountains; bryophytes; Continental Antarctic zone; floristics; new records; Rockefeller Mountains</t>
  </si>
  <si>
    <t>This is the first detailed study of the distribution of mosses and lichens at Alexandra Mountains and Rockefeller Mountains, Edward VII Peninsula, Antarctica. A total of 418 samples was collected on 21 nunataks in the summer of 1987-1988. Lichens included 44 taxa, bringing the total known from Edward VII Peninsula to 50. Ten lichen species were new records for the Continental Antarctic zone, whilst only six were endemic to that zone. There were six species and one variety of moss, bringing the total known from Edward VII Peninsula to seven species and one variety. These included the first record of a species of Orthotrichum in Continental Antarctica. Two other species and a variety were new records for Edward VII Peninsula. Overall, the flora was species rich for a Continental Antarctic region and was comparable with the species-rich sites of Botany Bay and Kar Plateau, which are at approximately the same latitude (77 degrees S) in southern Victoria Land. This rich flora was probably supported by a reliable summer water supply from melting snowfall and snowdrift and by the range of microenvironments at nunataks with different degrees of nutrient enrichment from nesting birds.</t>
  </si>
  <si>
    <t>[Ochyra, Ryszard] Polish Acad Sci, Wladyslaw Szafer Inst Bot, Lab Bryol, Lubicz 46, PL-31512 Krakow, Poland; [Ovstedal, Dag O. O.] Univ Museum, Dept Nat Hist, POB 7800, N-5020 Bergen, Norway; [Broady, Paul A.] Univ Canterbury, Sch Biol Sci, Private Bag 4800, Christchurch, New Zealand</t>
  </si>
  <si>
    <t>Polish Academy of Sciences; W. Szafer Institute of Botany of the Polish Academy of Sciences; University of Canterbury</t>
  </si>
  <si>
    <t>Broady, PA (corresponding author), Univ Canterbury, Sch Biol Sci, Private Bag 4800, Christchurch, New Zealand.</t>
  </si>
  <si>
    <t>paul.broady@canterbury.ac.nz</t>
  </si>
  <si>
    <t>Ochyra, Ryszard/0000-0002-2541-0722; Broady, Paul/0000-0002-1204-7231</t>
  </si>
  <si>
    <t>DEC</t>
  </si>
  <si>
    <t>PII S0954102022000396</t>
  </si>
  <si>
    <t>10.1017/S0954102022000396</t>
  </si>
  <si>
    <t>8B9BF</t>
  </si>
  <si>
    <t>WOS:000894553800001</t>
  </si>
  <si>
    <t>da Silva, MK; de Souza, LMD; Vieira, R; Neto, AA; Lopes, FAC; de Oliveira, FS; Convey, P; Carvalho-Silva, M; Duarte, AWF; Câmara, PEAS; Rosa, LH</t>
  </si>
  <si>
    <t>da Silva, Mayanne Karla; Drumond de Souza, Lauren Machado; Vieira, Rosemary; Ayres Neto, Arthur; Lopes, Fabyano A. C.; de Oliveira, Fabio S.; Convey, Peter; Carvalho-Silva, Micheline; Fernandes Duarte, Alysson Wagner; Camara, Paulo E. A. S.; Rosa, Luiz Henrique</t>
  </si>
  <si>
    <t>Fungal and fungal-like diversity in marine sediments from the maritime Antarctic assessed using DNA metabarcoding</t>
  </si>
  <si>
    <t>COMMUNITIES PRESENT; LAKE-SEDIMENTS; ECOLOGY</t>
  </si>
  <si>
    <t>We assessed the fungal and fungal-like sequence diversity present in marine sediments obtained in the vicinity of the South Shetland Islands (Southern Ocean) using DNA metabarcoding through high-throughput sequencing (HTS). A total of 193,436 DNA reads were detected in sediment obtained from three locations: Walker Bay (Livingston Island) at 52 m depth (48,112 reads), Whalers Bay (Deception Island) at 151 m (104,704) and English Strait at 404 m (40,620). The DNA sequence reads were assigned to 133 distinct fungal amplicon sequence variants (ASVs) representing the phyla Ascomycota, Basidiomycota, Mortierellomycota, Chytridiomycota, Glomeromycota, Monoblepharomycota, Mucoromycota and Rozellomycota and the fungal-like Straminopila. Thelebolus balaustiformis, Pseudogymnoascus sp., Fungi sp. 1, Ciliophora sp., Agaricomycetes sp. and Chaetoceros sp. were the dominant assigned taxa. Thirty-eight fungal ASVs could only be assigned to higher taxonomic levels, and may represent taxa not currently included in the available databases or represent new taxa and/or new records for Antarctica. The total fungal community displayed high indices of diversity, richness and moderate to low dominance. However, diversity and taxa distribution varied across the three sampling sites. In Walker Bay, unidentified fungi were dominant in the sequence assemblage. Whalers Bay sediment was dominated by Antarctic endemic and cold-adapted taxa. Sediment from English Strait was dominated by Ciliophora sp. and Chaetoceros sp. These fungal assemblages were dominated by saprotrophic, plant and animal pathogenic and symbiotic taxa. The detection of an apparently rich and diverse fungal community in these marine sediments reinforces the need for further studies to characterize their richness, functional ecology and potential biotechnological applications.</t>
  </si>
  <si>
    <t>[da Silva, Mayanne Karla; Drumond de Souza, Lauren Machado; Rosa, Luiz Henrique] Univ Fed Minas Gerais, Inst Ciencias Biol, Dept Microbiol, Lab Microbiol Polar &amp; Conexoes Trop, P 0 Box 486, BR-31270901 Belo Horizonte, MG, Brazil; [Vieira, Rosemary; Ayres Neto, Arthur] Univ Fed Fluminense, Inst Geociencias, Rio De Janeiro, Brazil; [Lopes, Fabyano A. C.] Univ Fed Tocantins, Lab Microbiol, Porto Nacl, Brazil; [de Oliveira, Fabio S.] Univ Fed Minas, Dept Geog, Gerais, MG, Brazil; [Convey, Peter] British Antarctic Survey, NERC, Madingley Rd, Cambridge CB3 0ET, England; [Convey, Peter] Univ Johannesburg, Dept Zool, POB 524, ZA-2006 Auckland Pk, South Africa; [Convey, Peter] Millennium Inst Biodivers Antarctic &amp; Subantarct, Las Palmeras 3425, Santiago, Chile; [Carvalho-Silva, Micheline; Camara, Paulo E. A. S.] Univ Brasilia, Dept Bot, Brasilia, DF, Brazil; [Fernandes Duarte, Alysson Wagner] Univ Fed Alagoas, Lab Microbiol Imunol &amp; Parasitol, Arapiraca, Alagoas, Brazil</t>
  </si>
  <si>
    <t>Universidade Federal de Minas Gerais; Universidade Federal Fluminense; Universidade Federal do Tocantins (UFT); Universidade Federal de Minas Gerais; UK Research &amp; Innovation (UKRI); Natural Environment Research Council (NERC); NERC British Antarctic Survey; University of Johannesburg; Universidade de Brasilia; Universidade Federal de Alagoas</t>
  </si>
  <si>
    <t>Rosa, LH (corresponding author), Univ Fed Minas Gerais, Inst Ciencias Biol, Dept Microbiol, Lab Microbiol Polar &amp; Conexoes Trop, P 0 Box 486, BR-31270901 Belo Horizonte, MG, Brazil.</t>
  </si>
  <si>
    <t>lhrosa@icb.ufmg.br</t>
  </si>
  <si>
    <t>Convey, Peter/AAV-5728-2020; Camara, Paulo/GPP-2054-2022; Lopes, Fabyano/F-7558-2018; Duarte, Alysson Wagner Fernandes/S-8062-2019</t>
  </si>
  <si>
    <t>Convey, Peter/0000-0001-8497-9903; Camara, Paulo/0000-0002-3944-996X; Lopes, Fabyano/0000-0002-4565-9103; Duarte, Alysson Wagner Fernandes/0000-0001-9626-7524; Karla da Silva, Mayanne/0000-0002-0292-3648; Vieira, Rosemary/0000-0003-0312-2890</t>
  </si>
  <si>
    <t>CNPq; PROANTAR; FAPEMIG; CAPES; Pro-Reitoria de Pesquisa (PRPq) of Universidade Federal University of Minas Gerais; NERC; FAPT</t>
  </si>
  <si>
    <t>CNPq(Conselho Nacional de Desenvolvimento Cientifico e Tecnologico (CNPQ)); PROANTAR; FAPEMIG(Fundacao de Amparo a Pesquisa do Estado de Minas Gerais (FAPEMIG)); CAPES(Coordenacao de Aperfeicoamento de Pessoal de Nivel Superior (CAPES)); Pro-Reitoria de Pesquisa (PRPq) of Universidade Federal University of Minas Gerais; NERC(UK Research &amp; Innovation (UKRI)Natural Environment Research Council (NERC)); FAPT</t>
  </si>
  <si>
    <t>This study received financial support from CNPq, PROANTAR, FAPEMIG, CAPES, Pro-Reitoria de Pesquisa (PRPq) of Universidade Federal University of Minas Gerais. P. Convey is supported by NERC core funding to the British Antarctic Survey's 'Biodiversity, Evolution and Adaptation' Team. F.A.C. Lopes was supported by FAPT.</t>
  </si>
  <si>
    <t>DEC 6</t>
  </si>
  <si>
    <t>10.1038/s41598-022-25310-2</t>
  </si>
  <si>
    <t>9B1IK</t>
  </si>
  <si>
    <t>WOS:000934498000003</t>
  </si>
  <si>
    <t>Sreevidya, E; Sijinkumar, AV; Nath, BN; Ammoose, KJ; Kurian, PJ; Pankaj, K; Sreelakshmi, MM; Shravan, S</t>
  </si>
  <si>
    <t>Sreevidya, E.; Sijinkumar, A. V.; Nath, B. Nagender; Ammoose, K. J.; Kurian, P. J.; Pankaj, K.; Sreelakshmi, M. M.; Shravan, S.</t>
  </si>
  <si>
    <t>A ∼ 50 kyr record of carbonate (pteropods) preservation from the Laccadive Sea, Northern Indian Ocean</t>
  </si>
  <si>
    <t>MARINE GEOLOGY</t>
  </si>
  <si>
    <t>Aragonitic pteropods; Oxygen minimum zone; Monsoon; Limacina dissolution index; Last Glacial Maximum</t>
  </si>
  <si>
    <t>OXYGEN MINIMUM ZONE; EASTERN ARABIAN SEA; ANTARCTIC INTERMEDIATE WATER; MILLENNIAL-SCALE CHANGES; CENTRAL RED-SEA; DEEP-SEA; ARAGONITE PRESERVATION; CALCIUM-CARBONATE; SURFACE SEDIMENTS; WINTER MONSOON</t>
  </si>
  <si>
    <t>To evaluate the preservation pattern of pteropods and their relationship with climatic and oceanographic history in the Laccadive Sea, temporal variation analysis of pteropod abundance was carried out. We employed preservation indices from calcite (Globigerina bulloides%, Globorotalia menardii abundance), as well as aragonite (e.g., total pteropod abundance, Limacina Dissolution Index (LDX), fragmentation ratio) as a proxy. To determine if pteropod shells have been preserved over time, we used estimated pteropod abundance. The ptempod preservation record displays excellent preservation during cold stadials, evidenced by the lower values of aragonite dissolution proxies than during the interglacials/interstadials, similar to the preservation records from other northern Indian Ocean cores. The shallow aragonite compensation depth (ACD), weaker oxygen minimum zone (OMZ), and the lower southwest monsoon (SWM)-induced productivity is thought to be the cause of the basin-wide pteropod preservation events during the cold stadials (ACD). Additionally, during an intense northeast monsoon (NEM), the advection of cold, low-saline waters from the Bay of Bengal to the Laccadive Sea, as well as the intrusion of southern-sourced intermediate water ventilation, may have caused a deep vertical mixing of oxygen-rich surface waters, raised the pH of thermocline waters and deepened the ACD. However, the local fluctuations in the water mass properties, such as the increased productivity maxima, the intense OMZ, and shallow ACD, as well as changes in the aragonite, are responsible for the poor ptempod abundance, poor preservation and strong dissolution during the Holocene, Bulling-Allerud (B/A) and interstadial periods. The calcification proxy indicates that the aragonite undersaturation and reduced calcification occurred during 19-16.5 kyr, preferably due to the depletion in the oceanic alkalinity caused by enhanced upwelling-induced carbonate ion exchange between the intermediate and deep water. In contrast, the preferential dissolution of smaller shells in the sediments (marked by increased average shell size and higher values of Limacina dissolution index (LDX)) corresponds to strengthened OMZ and shallower ACD, pointing towards the post-depositional dissolution of aragonite shells. Therefore, the overall decrease of pteropod content of the deposits in the stadial/interstadials suggests a combination of monsoon-associated changes in water column properties, variability in aragonite saturation, intermediate water ventilation and sediment rate.</t>
  </si>
  <si>
    <t>[Sreevidya, E.; Sijinkumar, A. V.; Ammoose, K. J.; Sreelakshmi, M. M.; Shravan, S.] Cent Univ Kerala, Dept Geol, Kasaragod, India; [Nath, B. Nagender] CSIR Natl Inst Oceanog, Geol Oceanog Div, Panaji, Goa, India; [Kurian, P. J.] Minist Earth Sci MoES, Natl Ctr Polar &amp; Ocean Res, Vasco Da Gama, Goa, India; [Pankaj, K.] Inter Univ Accelerator Ctr, Aruna Asaf Ali Marg, New Delhi, India</t>
  </si>
  <si>
    <t>Central University of Kerala; Council of Scientific &amp; Industrial Research (CSIR) - India; CSIR - National Institute of Oceanography (NIO); Ministry of Earth Sciences (MoES) - India; National Centre for Polar and Ocean Research (NCPOR); Inter-University Accelerator Centre</t>
  </si>
  <si>
    <t>Sijinkumar, AV (corresponding author), Cent Univ Kerala, Dept Geol, Kasaragod, India.</t>
  </si>
  <si>
    <t>sijingeo@gmail.com</t>
  </si>
  <si>
    <t>Department of Science and Technology, Government of India [IF170505, IF190168]; SERB, New Delhi [ECR/2017/000818]; Ministry of Earth Science (MoES), Govt. of India [MoES/16/07/11(i)-RDEAS, MoES/P.O.(Seismic)8(09)-Geochron/2012]</t>
  </si>
  <si>
    <t>Department of Science and Technology, Government of India(Department of Science &amp; Technology (India)); SERB, New Delhi(Department of Science &amp; Technology (India)Science Engineering Research Board (SERB), India); Ministry of Earth Science (MoES), Govt. of India</t>
  </si>
  <si>
    <t>The authors acknowledge the dedicated effort of the ship's crew and scientific staff of the Sagar Kanya 343 expedition. SE acknowledges the DST-INSPIRE Senior Research Fellowship (IF170505) funded by the Department of Science and Technology, Government of India. AVS acknowledges SERB, New Delhi, for the ECR Grant (ECR/2017/000818). AKJ acknowledges the DST-INSPIRE Senior Research Fellowship (IF190168) funded by the Department of Science and Technology, Government of India. The authors are thankful to IUAC for extending the AMS facility for 14C funded by the Ministry of Earth Science (MoES), Govt. of India with reference numbers MoES/16/07/11(i)-RDEAS and MoES/P.O.(Seismic)8(09)-Geochron/2012.</t>
  </si>
  <si>
    <t>0025-3227</t>
  </si>
  <si>
    <t>1872-6151</t>
  </si>
  <si>
    <t>MAR GEOL</t>
  </si>
  <si>
    <t>Mar. Geol.</t>
  </si>
  <si>
    <t>10.1016/j.margeo.2022.106958</t>
  </si>
  <si>
    <t>Geosciences, Multidisciplinary; Oceanography</t>
  </si>
  <si>
    <t>Geology; Oceanography</t>
  </si>
  <si>
    <t>7B8NU</t>
  </si>
  <si>
    <t>WOS:000899384900004</t>
  </si>
  <si>
    <t>Adams, JR; Johnson, JS; Roberts, SJ; Mason, PJ; Nichols, KA; Venturelli, RA; Wilcken, K; Balco, G; Goehring, B; Hall, B; Woodward, J; Rood, DH</t>
  </si>
  <si>
    <t>Adams, Jonathan R.; Johnson, Joanne S.; Roberts, Stephen J.; Mason, Philippa J.; Nichols, Keir A.; Venturelli, Ryan A.; Wilcken, Klaus; Balco, Greg; Goehring, Brent; Hall, Brenda; Woodward, John; Rood, Dylan H.</t>
  </si>
  <si>
    <t>New 10Be exposure ages improve Holocene ice sheet thinning history near the grounding line of Pope Glacier, Antarctica</t>
  </si>
  <si>
    <t>PINE ISLAND; WEST ANTARCTICA; RETREAT; RATES; CALIBRATION; DRIVEN; MODEL; SMITH</t>
  </si>
  <si>
    <t>Evidence for the timing and pace of past grounding line retreat of the Thwaites Glacier system in the Amundsen Sea embayment (ASE) of Antarctica provides constraints for models that are used to predict the future trajectory of the West Antarctic Ice Sheet (WAIS). Existing cosmogenic nuclide surface exposure ages suggest that Pope Glacier, a former tributary of Thwaites Glacier, experienced rapid thinning in the early to mid-Holocene. There are relatively few exposure ages from the lower ice-free sections of Mt. Murphy (&lt;300 m a.s.1.; metres above sea level) that are uncomplicated by either nuclide inheritance or scatter due to localised topographic complexities; this makes the trajectory for the latter stages of deglaciation uncertain. This paper presents 12 new Be-10 exposure ages from erratic cobbles collected from the western flank of Mt. Murphy, within 160 m of the modern ice surface and 1 km from the present grounding line. The ages comprise two tightly clustered populations with mean deglaciation ages of 7.1 +/- 0.1 and 6.4 +/- 0.1 ka (1 SE). Linear regression analysis applied to the age-elevation array of all available exposure ages from Mt. Murphy indicates that the median rate of thinning of Pope Glacier was 0.27 m yr(-1) between 8.1-6.3 ka, occurring 1.5 times faster than previously thought. Furthermore, this analysis better constrains the uncertainty (95 % confidence interval) in the timing of deglaciation at the base of the Mt. Murphy vertical profile (similar to 80 m above the modern ice surface), shifting it to earlier in the Holocene (from 5.2 +/- 0.7 to 6.3 +/- 0.4 ka). Taken together, the results presented here suggest that early- to mid-Holocene thinning of Pope Glacier occurred over a shorter interval than previously assumed and permit a longer duration over which subsequent late Holocene re-thickening could have occurred.</t>
  </si>
  <si>
    <t>[Adams, Jonathan R.; Johnson, Joanne S.; Roberts, Stephen J.] British Antarctic Survey, Madingley Rd, Cambridge CB3 0ET, England; [Adams, Jonathan R.; Mason, Philippa J.; Nichols, Keir A.; Rood, Dylan H.] Imperial Coll London, Dept Earth Sci &amp; Engn, London SW7 2AZ, England; [Venturelli, Ryan A.] Colorado Sch Mines, Dept Geol &amp; Geol Engn, Golden, CO 80401 USA; [Wilcken, Klaus] Australian Nucl Sci &amp; Technol Org ANSTO, New Illawarra Rd, Lucas Heights, NSW 2234, Australia; [Balco, Greg] Berkeley Geochronol Ctr, 2455 Ridge Rd, Berkeley, CA 94709 USA; [Goehring, Brent] Tulane Univ, Dept Earth &amp; Environm Sci, New Orleans, LA 70118 USA; [Hall, Brenda] Univ Maine, Climate Change Inst, Sch Earth &amp; Climate Sci, Orono, ME 04469 USA; [Woodward, John] Northumbria Univ, Dept Geog &amp; Environm Sci, Newcastle Upon Tyne NE1 8ST, England</t>
  </si>
  <si>
    <t>UK Research &amp; Innovation (UKRI); Natural Environment Research Council (NERC); NERC British Antarctic Survey; Imperial College London; Colorado School of Mines; Australian Nuclear Science &amp; Technology Organisation; Berkeley Geochronolgy Center; Tulane University; University of Maine System; University of Maine Orono; Northumbria University</t>
  </si>
  <si>
    <t>Adams, JR (corresponding author), British Antarctic Survey, Madingley Rd, Cambridge CB3 0ET, England.;Adams, JR (corresponding author), Imperial Coll London, Dept Earth Sci &amp; Engn, London SW7 2AZ, England.</t>
  </si>
  <si>
    <t>j.adams19@imperial.ac.uk</t>
  </si>
  <si>
    <t>Mason, Philippa Jane/M-1951-2017; Woodward, John/I-1046-2013</t>
  </si>
  <si>
    <t>Mason, Philippa Jane/0000-0001-7391-5875; Wilcken, Klaus/0000-0002-6870-2047; Woodward, John/0000-0002-4980-4080</t>
  </si>
  <si>
    <t>Natural Environment Research Council [NE/S006710/1, NE/S006753/1, NE/K012088/1]; National Science Foundation [OPP-1738989]; NERC [NE/K011278/1, NE/S006753/1, NE/S006710/1, NE/K012088/1] Funding Source: UKRI</t>
  </si>
  <si>
    <t>Natural Environment Research Council(UK Research &amp; Innovation (UKRI)Natural Environment Research Council (NERC)); National Science Foundation(National Science Foundation (NSF)); NERC(UK Research &amp; Innovation (UKRI)Natural Environment Research Council (NERC))</t>
  </si>
  <si>
    <t>This research has been supported by the Natural Environment Research Council (grant nos. NE/S006710/1, NE/S006753/1, and NE/K012088/1) and the National Science Foundation (grant no. OPP-1738989).</t>
  </si>
  <si>
    <t>10.5194/tc-16-4887-2022</t>
  </si>
  <si>
    <t>6U5WI</t>
  </si>
  <si>
    <t>WOS:000894436400001</t>
  </si>
  <si>
    <t>Marchand, LJ; Hennion, F; Tarayre, M; Martin, MC; Martins, BR; Monard, C</t>
  </si>
  <si>
    <t>Marchand, Lorene Julia; Hennion, Francoise; Tarayre, Michele; Martin, Marie-Claire; Martins, Benoit Renaud; Monard, Cecile</t>
  </si>
  <si>
    <t>Fellfields of the Kerguelen Islands harbour specific soil microbiomes and rhizomicrobiomes of an endemic plant facing necrosis (vol 2, v, 2022)</t>
  </si>
  <si>
    <t>FRONTIERS IN SOIL SCIENCE</t>
  </si>
  <si>
    <t>sub-Antarctic; bacteria; fungi; Lyallia kerguelensis; cushion plant; dieback</t>
  </si>
  <si>
    <t>[Marchand, Lorene Julia; Hennion, Francoise; Tarayre, Michele; Martin, Marie-Claire; Martins, Benoit Renaud; Monard, Cecile] Univ Rennes 1, CNRS, ECOBIO Ecosyst Biodivers Evolut, OSUR UMR 6553, Rennes, France; [Marchand, Lorene Julia] Univ Antwerp, Dept Biol, Res Grp PLECO Plants &amp; Ecosyst, Antwerp, Belgium; [Martins, Benoit Renaud] Helmholtz Zentrum Munchen, Res Unit Comparat Microbiome Anal, Neuherberg, Germany</t>
  </si>
  <si>
    <t>Centre National de la Recherche Scientifique (CNRS); Universite de Rennes; University of Antwerp; Helmholtz Association; Helmholtz-Center Munich - German Research Center for Environmental Health</t>
  </si>
  <si>
    <t>Marchand, LJ (corresponding author), Univ Rennes 1, CNRS, ECOBIO Ecosyst Biodivers Evolut, OSUR UMR 6553, Rennes, France.;Marchand, LJ (corresponding author), Univ Antwerp, Dept Biol, Res Grp PLECO Plants &amp; Ecosyst, Antwerp, Belgium.</t>
  </si>
  <si>
    <t>lorene.marchand@uantwerpen.be</t>
  </si>
  <si>
    <t>Monard, Cécile/JXL-7678-2024</t>
  </si>
  <si>
    <t>Marchand, Lorene/0000-0002-9633-0228</t>
  </si>
  <si>
    <t>2673-8619</t>
  </si>
  <si>
    <t>FRONT SOIL SCI</t>
  </si>
  <si>
    <t>Front. Soil Sci.</t>
  </si>
  <si>
    <t>DEC 5</t>
  </si>
  <si>
    <t>10.3389/fsoil.2022.1101893</t>
  </si>
  <si>
    <t>Soil Science</t>
  </si>
  <si>
    <t>Agriculture</t>
  </si>
  <si>
    <t>X3UR0</t>
  </si>
  <si>
    <t>WOS:001097743000001</t>
  </si>
  <si>
    <t>O'Brien, KM; Crockett, EL; Adams, BJ; Amsler, CD; Appiah-Madson, HJ; Collins, A; Desvignes, T; Detrich, HW; Distel, DL; Eppley, SM; Frable, BW; Franz, NM; Grim, JM; Kocot, KM; Mahon, AR; Mayfield-Meyer, TJ; Mikucki, JA; Moser, WE; Schmull, M; Seid, CA; Smith, CR; Todgham, AE; Watkins-Colwell, GJ</t>
  </si>
  <si>
    <t>O'Brien, Kristin M.; Crockett, Elizabeth L.; Adams, Byron J.; Amsler, Charles D.; Appiah-Madson, Hannah J.; Collins, Allen; Desvignes, Thomas; Detrich, H. William; Distel, Daniel L.; Eppley, Sarah M.; Frable, Benjamin W.; Franz, Nico M.; Grim, Jeffrey M.; Kocot, Kevin M.; Mahon, Andrew R.; Mayfield-Meyer, Teresa J.; Mikucki, Jill A.; Moser, William E.; Schmull, Michaela; Seid, Charlotte A.; Smith, Craig R.; Todgham, Anne E.; Watkins-Colwell, Gregory J.</t>
  </si>
  <si>
    <t>The time is right for an Antarctic biorepository network</t>
  </si>
  <si>
    <t>[O'Brien, Kristin M.] Univ Alaska Fairbanks, Inst Arctic Biol, Fairbanks, AK 99709 USA; [Crockett, Elizabeth L.] Ohio Univ, Dept Biol Sci, Athens, OH 45701 USA; [Adams, Byron J.] Brigham Young Univ, Dept Biol, Provo, UT 84653 USA; [Adams, Byron J.] Brigham Young Univ, Life Sci Museum, Provo, UT 84653 USA; [Amsler, Charles D.] Univ Alabama Birmingham, Dept Biol, Birmingham, AL 35294 USA; [Appiah-Madson, Hannah J.; Distel, Daniel L.] Northeastern Univ, Ocean Genome Legacy Ctr, Nahant, MA 01908 USA; [Collins, Allen] NOAA Fisheries &amp; Smithsonian, Natl Systemat Lab, Natl Museum Nat Hist, Washington, DC 20560 USA; [Desvignes, Thomas] Univ Oregon, Inst Neurosci, Eugene, OR 97403 USA; [Detrich, H. William] Northeastern Univ, Dept Marine &amp; Environm Sci, Marine Sci Ctr, Nahant, MA 01908 USA; [Eppley, Sarah M.] Portland State Univ, Ctr Life Extreme Environm, Portland, OR 97201 USA; [Frable, Benjamin W.; Seid, Charlotte A.] Univ Calif San Diego, Scripps Inst Oceanog, La Jolla, CA 92037 USA; [Franz, Nico M.] Arizona State Univ, Sch Life Sci, Tempe, AZ 85287 USA; [Grim, Jeffrey M.] Univ Tampa, Dept Biol, Tampa, FL 33606 USA; [Kocot, Kevin M.] Univ Alabama, Alabama Museum Nat Hist, Tuscaloosa, AL 35487 USA; [Mahon, Andrew R.] Cent Michigan Univ, Dept Biol, Mt Pleasant, MI 48859 USA; [Mayfield-Meyer, Teresa J.] Univ New Mexico, Museum Southwestern Biol, Albuquerque, NM 87131 USA; [Mikucki, Jill A.] Univ Tennessee, Dept Microbiol, Knoxville, TN 37996 USA; [Moser, William E.] Smithsonian Inst, Dept Invertebrate Zool, Natl Museum Nat Hist, Suitland, MD 20746 USA; [Schmull, Michaela] Harvard Univ, Harvard Univ Herbaria, Cambridge, MA 02138 USA; [Smith, Craig R.] Univ Hawaii Manoa, Sch Ocean &amp; Earth Sci &amp; Technol, Honolulu, HI 96822 USA; [Todgham, Anne E.] Univ Calif Davis, Dept Anim Sci, Davis, CA 95616 USA; [Watkins-Colwell, Gregory J.] Yale Peabody Museum Nat Hist, New Haven, CT 06511 USA</t>
  </si>
  <si>
    <t>University of Alaska System; University of Alaska Fairbanks; University System of Ohio; Ohio University; Brigham Young University; Brigham Young University; University of Alabama System; University of Alabama Birmingham; Northeastern University; Smithsonian Institution; Smithsonian National Museum of Natural History; University of Oregon; Northeastern University; Portland State University; University of California System; University of California San Diego; Scripps Institution of Oceanography; Arizona State University; Arizona State University-Tempe; University of Tampa; University of Alabama System; University of Alabama Tuscaloosa; Central Michigan University; University of New Mexico; University of Tennessee System; University of Tennessee Knoxville; Smithsonian Institution; Smithsonian National Museum of Natural History; Harvard University; University of Hawaii System; University of Hawaii Manoa; University of California System; University of California Davis; Yale University</t>
  </si>
  <si>
    <t>O'Brien, KM (corresponding author), Univ Alaska Fairbanks, Inst Arctic Biol, Fairbanks, AK 99709 USA.;Crockett, EL (corresponding author), Ohio Univ, Dept Biol Sci, Athens, OH 45701 USA.</t>
  </si>
  <si>
    <t>kmobrien@alaska.edu; crockett@ohio.edu</t>
  </si>
  <si>
    <t>Distel, Daniel L./A-8047-2017; Kocot, Kevin/K-9087-2016; Adams, Byron/C-3808-2009; Collins, Allen/A-7944-2008</t>
  </si>
  <si>
    <t>Distel, Daniel L./0000-0002-3860-194X; Watkins-Colwell, Greg/0000-0002-7789-9806; Appiah-Madson, Hannah/0000-0001-8408-7729; Adams, Byron/0000-0002-7815-3352; Collins, Allen/0000-0002-3664-9691; Moser, William/0000-0002-5265-9347; O'Brien, Kristin/0000-0002-3311-0690</t>
  </si>
  <si>
    <t>e2212800119</t>
  </si>
  <si>
    <t>10.1073/pnas.2212800119</t>
  </si>
  <si>
    <t>C8WU9</t>
  </si>
  <si>
    <t>WOS:000964666900004</t>
  </si>
  <si>
    <t>Simpfendorfer, CA</t>
  </si>
  <si>
    <t>Simpfendorfer, Colin A.</t>
  </si>
  <si>
    <t>Sharks and how to save them</t>
  </si>
  <si>
    <t>CURRENT BIOLOGY</t>
  </si>
  <si>
    <t>[Simpfendorfer, Colin A.] Univ Tasmania, Inst Marine &amp; Antarctic Studies, Hobart, Tas, Australia</t>
  </si>
  <si>
    <t>Simpfendorfer, CA (corresponding author), Univ Tasmania, Inst Marine &amp; Antarctic Studies, Hobart, Tas, Australia.</t>
  </si>
  <si>
    <t>colin.simpfendorfer@utas.edu.au</t>
  </si>
  <si>
    <t>Simpfendorfer, Colin A/G-9681-2011</t>
  </si>
  <si>
    <t>0960-9822</t>
  </si>
  <si>
    <t>1879-0445</t>
  </si>
  <si>
    <t>CURR BIOL</t>
  </si>
  <si>
    <t>Curr. Biol.</t>
  </si>
  <si>
    <t>R1290</t>
  </si>
  <si>
    <t>R1291</t>
  </si>
  <si>
    <t>Biochemistry &amp; Molecular Biology; Biology; Cell Biology</t>
  </si>
  <si>
    <t>Biochemistry &amp; Molecular Biology; Life Sciences &amp; Biomedicine - Other Topics; Cell Biology</t>
  </si>
  <si>
    <t>8D8QJ</t>
  </si>
  <si>
    <t>WOS:000918551300002</t>
  </si>
  <si>
    <t>Picó, FX; Abbott, RJ; Llambi, LD; Rajakaruna, N; Papadopulos, AST; Nagy, L</t>
  </si>
  <si>
    <t>Pico, F. Xavier; Abbott, Richard J.; Llambi, Luis D.; Rajakaruna, Nishanta; Papadopulos, Alexander S. T.; Nagy, Laszlo</t>
  </si>
  <si>
    <t>Introduction to special issue: the ecology and evolution of plants in extreme environments</t>
  </si>
  <si>
    <t>PLANT ECOLOGY &amp; DIVERSITY</t>
  </si>
  <si>
    <t>Andes; Antarctica; Australian Alps; Canadian High Arctic; Chihuahua and Namib Deserts; Colombian Paramo; gypsum and ultramafic soils</t>
  </si>
  <si>
    <t>In plant ecology, extreme environments are those that pose physiological or other limitations to plant growth, especially for non-adapted taxa. In these environments, the severity of climate conditions and/or the limitations imposed by particular soil substrates represent major selective pressures for plants, leading to the evolution of a wide array of functional traits, specific strategies and adapted taxa. In this special issue, we present a collection of papers that focuses on plants in various extreme environments, including the Arctic and Antarctic, regions with serpentine and gypsum soils, high mountain areas and deserts. The papers include a broad array of methods to study the ecology and evolution of plants in extreme environments, such as field surveys, greenhouse and field experiments, molecular phylogenetic analyses and/or physiological measurements. Overall, this special issue showcases research on how plants thrive in extreme environments which, in turn, may provide pointers to how plant communities might respond to living in increasingly challenging environments resulting from unprecedented land-use changes and climate warming at the present time and in the future.</t>
  </si>
  <si>
    <t>[Pico, F. Xavier] CSIC, Dept Biol Evolut, Estn Biol Donana EBD, Seville, Spain; [Abbott, Richard J.] Univ St Andrews, Sch Biol, Mitchell Bldg, St Andrews, Fife, Scotland; [Llambi, Luis D.] Univ Andes, Inst Ciencias Ambientales &amp; Ecol, Merida, Venezuela; [Rajakaruna, Nishanta] Calif Polytech State Univ San Luis Obispo, Dept Biol Sci, San Luis Obispo, CA 93407 USA; [Rajakaruna, Nishanta] North West Univ, Unit Environm Sci &amp; Management, Potchefstroom, South Africa; [Papadopulos, Alexander S. T.] Bangor Univ, Sch Nat Sci, Bangor, Gwynedd, Wales; [Nagy, Laszlo] Univ Estadual Campinas, Inst Biol, Dept Anim Biol, Campinas, Brazil</t>
  </si>
  <si>
    <t>Consejo Superior de Investigaciones Cientificas (CSIC); CSIC - Estacion Biologica de Donana (EBD); University of St Andrews; University of Los Andes Venezuela; California State University System; California Polytechnic State University San Luis Obispo; North West University - South Africa; Bangor University; Universidade Estadual de Campinas; Universidade de Sao Paulo</t>
  </si>
  <si>
    <t>Picó, FX (corresponding author), CSIC, Dept Biol Evolut, Estn Biol Donana EBD, Seville, Spain.</t>
  </si>
  <si>
    <t>xpico@ebd.csic.es</t>
  </si>
  <si>
    <t>Papadopulos, Alex/AFT-8327-2022; Pico, Xavier/E-5697-2016</t>
  </si>
  <si>
    <t>Pico, Xavier/0000-0003-2849-4922; Rajakaruna, Nishanta/0000-0002-9021-6918; Llambi, Luis Daniel/0000-0002-2031-810X</t>
  </si>
  <si>
    <t>1755-0874</t>
  </si>
  <si>
    <t>1755-1668</t>
  </si>
  <si>
    <t>PLANT ECOL DIVERS</t>
  </si>
  <si>
    <t>Plant Ecol. Divers.</t>
  </si>
  <si>
    <t>5-6</t>
  </si>
  <si>
    <t>10.1080/17550874.2022.2164703</t>
  </si>
  <si>
    <t>7T4OW</t>
  </si>
  <si>
    <t>WOS:000911425100001</t>
  </si>
  <si>
    <t>Molina, V; Lavergne, C; Eissler, Y; Junier, P</t>
  </si>
  <si>
    <t>Molina, Veronica; Lavergne, Celine; Eissler, Yoanna; Junier, Pilar</t>
  </si>
  <si>
    <t>Editorial: Microbial ecology and ecosystems from a Southern perspective</t>
  </si>
  <si>
    <t>FRONTIERS IN MICROBIOLOGY</t>
  </si>
  <si>
    <t>Antarctic; high altitude; polyextreme environments; microbial diversity; fungi; bacteria; archaea; virus</t>
  </si>
  <si>
    <t>[Molina, Veronica] Univ Playa Ancha, Dept Ciencias &amp; Geog, Observ Ecol Microbiana, Valparaiso, Chile; [Molina, Veronica; Lavergne, Celine] Univ Playa Ancha, HUB Ambiental UPLA, Valparaiso, Chile; [Molina, Veronica] Univ Concepcion, Ctr Invest Oceanog COPAS COASTAL, Concepcion, Chile; [Lavergne, Celine] Univ Playa Ancha, Ctr Estudios Avanzados, Lab Aquat Environm Res, Valparaiso, Chile; [Eissler, Yoanna] Univ Valparaiso, Fac Ciencias, Inst Quim &amp; Bioquim, Valparaiso, Chile; [Junier, Pilar] Univ Neuchatel, Inst Biol, Lab Microbiol, Neuchatel, Switzerland</t>
  </si>
  <si>
    <t>Universidad de Playa Ancha; Universidad de Playa Ancha; Universidad de Concepcion; Universidad de Playa Ancha; Universidad de Valparaiso; University of Neuchatel</t>
  </si>
  <si>
    <t>Molina, V (corresponding author), Univ Playa Ancha, Dept Ciencias &amp; Geog, Observ Ecol Microbiana, Valparaiso, Chile.;Molina, V; Lavergne, C (corresponding author), Univ Playa Ancha, HUB Ambiental UPLA, Valparaiso, Chile.;Molina, V (corresponding author), Univ Concepcion, Ctr Invest Oceanog COPAS COASTAL, Concepcion, Chile.;Lavergne, C (corresponding author), Univ Playa Ancha, Ctr Estudios Avanzados, Lab Aquat Environm Res, Valparaiso, Chile.;Eissler, Y (corresponding author), Univ Valparaiso, Fac Ciencias, Inst Quim &amp; Bioquim, Valparaiso, Chile.;Junier, P (corresponding author), Univ Neuchatel, Inst Biol, Lab Microbiol, Neuchatel, Switzerland.</t>
  </si>
  <si>
    <t>veronica.molina@upla.cl; celine.lavergne@upla.cl; yoanna.eissler@uv.cl; pilar.junier@unine.ch</t>
  </si>
  <si>
    <t>Junier, Pilar/0000-0002-8618-3340</t>
  </si>
  <si>
    <t>1664-302X</t>
  </si>
  <si>
    <t>FRONT MICROBIOL</t>
  </si>
  <si>
    <t>Front. Microbiol.</t>
  </si>
  <si>
    <t>10.3389/fmicb.2022.1098400</t>
  </si>
  <si>
    <t>7D0AD</t>
  </si>
  <si>
    <t>WOS:000900163800001</t>
  </si>
  <si>
    <t>Bilton, DT; Jäch, MA; Ribera, I; Toussaint, EFA</t>
  </si>
  <si>
    <t>Bilton, David T.; Jaech, Manfred A.; Ribera, Ignacio; Toussaint, Emmanuel F. A.</t>
  </si>
  <si>
    <t>Minute moss beetles in the Southern Hemisphere: Molecular phylogeny, historical biogeography and habitat shifts (Coleoptera: Hydraenidae)</t>
  </si>
  <si>
    <t>SYSTEMATIC ENTOMOLOGY</t>
  </si>
  <si>
    <t>beetle evolution; Coleoptera phylogenetics; dispersal; Gondwanan biogeography; vicariance</t>
  </si>
  <si>
    <t>MULTIPLE SEQUENCE ALIGNMENT; CAPE BIODIVERSITY HOTSPOT; AFRICA COLEOPTERA; WATER BEETLES; PROTOZANTAENA PERKINS; MODEL SELECTION; NORTHERN CAPE; EVOLUTION; INSECTA; FAMILY</t>
  </si>
  <si>
    <t>Minute moss beetles (Hydraenidae) are one of the most speciose and widespread families of aquatic Coleoptera, with an estimated 4000 extant species, found in the majority of aquatic habitats from coastal rock pools to mountain streams and from the Arctic Circle to the Antarctic islands. Molecular phylogenetic works have improved our understanding of the evolutionary history of the megadiverse Hydraena, Limnebius and Ochthebius in recent years, but most genera in the family have not yet been included in any phylogenetic analyses, particularly most of those which are restricted to the Southern Hemisphere. Using a multimarker molecular matrix, sampling over 40% of described species richness and 75% of currently recognized genera, we infer a comprehensive molecular phylogeny of these predominantly Gondwanan Hydraenidae. Whilst the genera we focus on are morphologically diverse, and currently classified across all four hydraenid subfamilies, our phylogenetic analyses suggest that these Gondwanan genera may instead constitute a single clade. As a result of our findings, the African genus Oomtelecopon Perkins syn.n. is shown to nest within Coelometopon Janssens, the New Zealand Homalaena Ordish syn.n. and Podaena Ordish syn.n. are synonymised with Orchymontia Broun, and the South African Pterosthetops Perkins syn.n. is synonymised with Prosthetops Waterhouse, resulting in Pterosthetopini Perkins syn.n. being synonymised with Prosthetopini Perkins. Mesoceratops Bilton &amp; Jach gen.n. is erected to accommodate six former members of Mesoceration Janssens, which is shown to be polyphyletic. We propose the replacement name Orchymontia ordishi Jach &amp; Bilton nom.n. for Homalaena dilatata Ordish, 1984 (now a junior homonym); altogether 39 new combinations are proposed. Our Bayesian divergence times infer an origin for this 'Gondwana group' of genera in Africa plus Madagascar in the mid-Cretaceous and suggest that both vicariant and dispersal processes, together with extinctions, have shaped the biogeographic history of these beetles in the Southern Hemisphere during the Cretaceous, resulting in geographically conserved extant lineages. Finally, we reconstruct ancestral habitat shifts across our phylogeny, revealing numerous changes in habitat occupancy in these genera, including multiple origins of fully terrestrial, humicolous taxa in different regions.</t>
  </si>
  <si>
    <t>[Bilton, David T.] Univ Plymouth, Sch Biol &amp; Marine Sci, Marine Biol &amp; Ecol Res Ctr, Plymouth PL4 8AA, Devon, England; [Bilton, David T.] Univ Johannesburg, Dept Zool, Johannesburg, South Africa; [Jaech, Manfred A.] Nat Hist Museum Wien, Vienna, Austria; [Ribera, Ignacio] Univ Pompeu Fabra, CSIC, Inst Evolutionary Biol, Barcelona, Spain; [Toussaint, Emmanuel F. A.] Nat Hist Museum Geneva, Geneva, Switzerland</t>
  </si>
  <si>
    <t>University of Plymouth; University of Johannesburg; Pompeu Fabra University; Consejo Superior de Investigaciones Cientificas (CSIC)</t>
  </si>
  <si>
    <t>Bilton, DT (corresponding author), Univ Plymouth, Sch Biol &amp; Marine Sci, Marine Biol &amp; Ecol Res Ctr, Plymouth PL4 8AA, Devon, England.</t>
  </si>
  <si>
    <t>d.bilton@plymouth.ac.uk</t>
  </si>
  <si>
    <t>; Ribera, Ignacio/K-2909-2017</t>
  </si>
  <si>
    <t>Bilton, David/0000-0003-1136-0848; Toussaint, Emmanuel/0000-0002-8439-1285; Ribera, Ignacio/0000-0002-2791-7615</t>
  </si>
  <si>
    <t>0307-6970</t>
  </si>
  <si>
    <t>1365-3113</t>
  </si>
  <si>
    <t>SYST ENTOMOL</t>
  </si>
  <si>
    <t>Syst. Entomol.</t>
  </si>
  <si>
    <t>10.1111/syen.12567</t>
  </si>
  <si>
    <t>Evolutionary Biology; Entomology</t>
  </si>
  <si>
    <t>8P6AV</t>
  </si>
  <si>
    <t>Green Submitted, hybrid</t>
  </si>
  <si>
    <t>WOS:000898112700001</t>
  </si>
  <si>
    <t>Kim, BK; Hwang, JH; Kim, SK</t>
  </si>
  <si>
    <t>Kim, Bo-Kyung; Hwang, Jin Hwan; Kim, Seung-Kyu</t>
  </si>
  <si>
    <t>Modeling of microplastics discharged from a station in Marian Cove, West Antarctica</t>
  </si>
  <si>
    <t>Microplastics; Waves; Tides; Wastewater; Antarctica</t>
  </si>
  <si>
    <t>KING GEORGE ISLAND; DYNAMICAL PROPERTIES; NUMERICAL-MODEL; ROSS SEA; SEDIMENTS; POLLUTION; MESOPLASTICS; PARTICLES; TRANSPORT</t>
  </si>
  <si>
    <t>Conspicuous amounts of microplastics have been discovered in bays near Antarctic research stations, including several types of microplastics in the water columns of Marian Cove. This study proposes an efficient operating strategy for a wastewater treatment plant to mitigate microplastic accumulations in the bay by assessing the transport and accumulation of microplastics using numerical simulations. Hence, microplastic particles were classified into falling and rising particles to find a mechanism for their vertical migration. The results showed that the characteristics of the vertical migration of the particles and flow conditions critically determined their traveling distance and accumulation location. Further, the amount of microplastics accumulated in the cove depended on the release time of the wastewater during the tidal cycle. Wastewater treatment plants need to be improved to reduce microplastics. However, it is necessary to adjust the location and schedule for releasing them into Marian Cove.</t>
  </si>
  <si>
    <t>[Kim, Bo-Kyung; Hwang, Jin Hwan] Seoul Natl Univ, Dept Civil &amp; Environm Engn, 1 Gwanak Ro, Seoul 08826, South Korea; [Hwang, Jin Hwan] Seoul Natl Univ, Inst Construct &amp; Environm Engn, 1 Gwanak Ro, Seoul 08826, South Korea; [Kim, Seung-Kyu] Incheon Natl Univ, Coll Nat Sci, Dept Marine Sci, 119 Acad Ro, Incheon 22012, South Korea; [Kim, Seung-Kyu] Incheon Natl Univ, Yellow Sea Inst, 119 Acad Ro, Incheon 22021, South Korea</t>
  </si>
  <si>
    <t>Seoul National University (SNU); Seoul National University (SNU); Incheon National University; Incheon National University</t>
  </si>
  <si>
    <t>Hwang, JH (corresponding author), Seoul Natl Univ, Dept Civil &amp; Environm Engn, 1 Gwanak Ro, Seoul 08826, South Korea.;Hwang, JH (corresponding author), Seoul Natl Univ, Inst Construct &amp; Environm Engn, 1 Gwanak Ro, Seoul 08826, South Korea.</t>
  </si>
  <si>
    <t>bobokyung@snu.ac.kr; jinhwang@snu.ac.kr</t>
  </si>
  <si>
    <t>Korea Polar Research Institute (KOPRI) [PE20900]; Korea Institute of Marine Science &amp; Technology Promotion (KIMST) - Ministry of Oceans and Fisheries, Korea [20180447]; Institute of Engineering Research at Seoul National University; Basic Science Research Program through the National Research Foundation of Korea (NRF) - Ministry of Science and ICT (MSIT) [2017R1E1A1A01073137]</t>
  </si>
  <si>
    <t>Korea Polar Research Institute (KOPRI)(Korea Polar Research Institute of Marine Research Placement (KOPRI)); Korea Institute of Marine Science &amp; Technology Promotion (KIMST) - Ministry of Oceans and Fisheries, Korea(Korea Institute of Marine Science &amp; Technology Promotion (KIMST)); Institute of Engineering Research at Seoul National University; Basic Science Research Program through the National Research Foundation of Korea (NRF) - Ministry of Science and ICT (MSIT)(National Research Foundation of KoreaMinistry of Science &amp; ICT (MSIT), Republic of Korea)</t>
  </si>
  <si>
    <t>This work was supported by the Korea Polar Research Institute (KOPRI, PE20900) and Korea Institute of Marine Science &amp; Technology Promotion (KIMST) funded by the Ministry of Oceans and Fisheries, Korea (20180447, Improvements of ocean prediction accuracy using numerical modeling and artificial intelligence technology) . The Institute of Engineering Research at Seoul National University administratively supported this research. This work was also supported by the Basic Science Research Program through the National Research Foundation of Korea (NRF) funded by the Ministry of Science and ICT (MSIT) (No. 2017R1E1A1A01073137) .</t>
  </si>
  <si>
    <t>10.1016/j.marpolbul.2022.114441</t>
  </si>
  <si>
    <t>7B2YV</t>
  </si>
  <si>
    <t>WOS:000899006300003</t>
  </si>
  <si>
    <t>Corso, AD; McDowell, JR; Biesack, EE; Muffelman, SC; Hilton, EJ</t>
  </si>
  <si>
    <t>Corso, Andrew D.; McDowell, Jan R.; Biesack, Ellen E.; Muffelman, Sarah C.; Hilton, Eric J.</t>
  </si>
  <si>
    <t>Larval stages of the Antarctic dragonfish Akarotaxis nudiceps (Waite, 1916), with comments on the larvae of the morphologically similar species Prionodraco evansii Regan 1914 (Notothenioidei: Bathydraconidae)</t>
  </si>
  <si>
    <t>JOURNAL OF FISH BIOLOGY</t>
  </si>
  <si>
    <t>Akarotaxis; Bathydraconidae; early life history; Notothenioidei; Prionodraco; Southern Ocean</t>
  </si>
  <si>
    <t>WEDDELL SEA; GERLACHEA-AUSTRALIS; MITOCHONDRIAL; FISHES; BIOLOGY; PHYLOGENY; ABUNDANCE; TELEOSTEI; EVOLUTION; BEHAVIOR</t>
  </si>
  <si>
    <t>The notothenioid family Bathydraconidae is a poorly understood family of fishes endemic to the Southern Ocean. There is especially little information on Akarotaxis nudiceps, one of the deepest-dwelling and least fecund bathydraconid species. Using genetic and morphological data, we document and describe the larval stages of this unique species, offer a novel characteristic to distinguish it from the morphologically similar bathydraconid Prionodraco evansii and use the sampling locations to infer a possible spawning area of A. nudiceps along the western Antarctic Peninsula. These results provide important baseline information for locating, identifying and studying the biology of A. nudiceps, an important component of the Southern Ocean ecosystem.</t>
  </si>
  <si>
    <t>[Corso, Andrew D.; McDowell, Jan R.; Biesack, Ellen E.; Muffelman, Sarah C.; Hilton, Eric J.] William &amp; Mary, Virginia Inst Marine Sci, Gloucester Point, VA USA; [Corso, Andrew D.] William &amp; Mary, Virginia Inst MarineScience, 1208 Greate Rd, Gloucester Point, VA 23062 USA</t>
  </si>
  <si>
    <t>William &amp; Mary; Virginia Institute of Marine Science</t>
  </si>
  <si>
    <t>Corso, AD (corresponding author), William &amp; Mary, Virginia Inst MarineScience, 1208 Greate Rd, Gloucester Point, VA 23062 USA.</t>
  </si>
  <si>
    <t>adcorso@vims.edu</t>
  </si>
  <si>
    <t>Corso, Andrew/0000-0002-8180-3360; Hilton, Eric/0000-0003-1742-3467; Biesack, Ellen/0000-0001-7932-9471; Muffelman, Sarah/0000-0001-8473-0817</t>
  </si>
  <si>
    <t>National Science Foundation Antarctic Organisms and Ecosystems Program; Explorers Club; NationalScience Foundation Division of BiologicalInfrastructure; Virginia Institute of Marine Science; [PLR-1440435]; [DBI-1349327]</t>
  </si>
  <si>
    <t>National Science Foundation Antarctic Organisms and Ecosystems Program(National Science Foundation (NSF)NSF - Directorate for Geosciences (GEO)); Explorers Club; NationalScience Foundation Division of BiologicalInfrastructure(National Science Foundation (NSF)); Virginia Institute of Marine Science; ;</t>
  </si>
  <si>
    <t>Explorers Club, Grant/Award Number: OceanXFellowship; National Science FoundationAntarctic Organisms and Ecosystems Program,Grant/Award Number: PLR-1440435; NationalScience Foundation Division of BiologicalInfrastructure, Grant/Award Number: DBI-1349327; Virginia Institute of Marine Science,Grant/Award Number: John Olney Fellowship</t>
  </si>
  <si>
    <t>0022-1112</t>
  </si>
  <si>
    <t>1095-8649</t>
  </si>
  <si>
    <t>J FISH BIOL</t>
  </si>
  <si>
    <t>J. Fish Biol.</t>
  </si>
  <si>
    <t>10.1111/jfb.15267</t>
  </si>
  <si>
    <t>9E5LI</t>
  </si>
  <si>
    <t>WOS:000897506900001</t>
  </si>
  <si>
    <t>Ohneiser, C; Hulbe, CL; Beltran, C; Riesselman, CR; Moy, CM; Condon, DB; Worthington, RA</t>
  </si>
  <si>
    <t>Ohneiser, Christian; Hulbe, Christina L. L.; Beltran, Catherine; Riesselman, Christina R. R.; Moy, Christopher M. M.; Condon, Donna B. B.; Worthington, Rachel A. A.</t>
  </si>
  <si>
    <t>West Antarctic ice volume variability paced by obliquity until 400,000 years ago</t>
  </si>
  <si>
    <t>ROSS SEA; SHEET; TEMPERATURE; PLIOCENE; TRANSITION; CHRONOLOGY; PENINSULA; SEDIMENT; RECORDS; SHELF</t>
  </si>
  <si>
    <t>Benthic foraminiferal oxygen isotopic and ice core records have been interpreted to indicate that Antarctic ice volume variations began to be paced by 100,000-year-long eccentricity cycles about 800,000 years ago. However, this interpretation has never been confirmed from sedimentological reconstructions of ice margin advance and retreat cycles around Antarctica. Here we present sedimentological and palaeomagnetic records from a 6.21-metre-long sediment core spanning the last 1.1 million years that track the proximity of the ice margin in the Ross Embayment. The advance and retreat of the Ross Ice Shelf-and by extension the West Antarctic Ice Sheet-are found to have been primarily paced by 41,000-year-long obliquity cycles until at least 400,000 years ago. We suggest that high-latitude insolationcontrolled Southern Ocean heat uptake and continued to be the main pacemaker of Antarctic glaciations well into the late Pleistocene. Insolation was predicted to control Antarctic ice volume; however, the frequency of glacial cycles inferred from distal records suggested that the 100,000-year-long cycle dominated, implying that other forcing mechanisms were at play. Our study reconciles the historical mismatch between the inferred glacial cycles and the insolation record.</t>
  </si>
  <si>
    <t>[Ohneiser, Christian; Beltran, Catherine; Riesselman, Christina R. R.; Worthington, Rachel A. A.] Univ Otago, Dept Geol, Dunedin, New Zealand; [Hulbe, Christina L. L.] Univ Otago, Sch Surveying, Dunedin, New Zealand; [Riesselman, Christina R. R.] Univ Otago, Dept Marine Sci, Dunedin, New Zealand</t>
  </si>
  <si>
    <t>Ohneiser, C (corresponding author), Univ Otago, Dept Geol, Dunedin, New Zealand.</t>
  </si>
  <si>
    <t>Christian.ohneiser@otago.ac.nz</t>
  </si>
  <si>
    <t>Riesselman, Christina R/H-5037-2012</t>
  </si>
  <si>
    <t>Worthington, Rachel/0000-0002-0164-126X; Riesselman, Christina/0000-0002-2436-4306; Moy, Christopher/0000-0002-2177-5265; Ohneiser, Christian/0000-0002-2781-2522; Hulbe, Christina/0000-0003-4765-7037</t>
  </si>
  <si>
    <t>New Zealand Antarctic Research Institute (NZARI) [2015-5]; University of Otago; New Zealand Ministry of Business, Innovation and Employment through the Antarctic Science Platform [ANTA1801]</t>
  </si>
  <si>
    <t>New Zealand Antarctic Research Institute (NZARI); University of Otago; New Zealand Ministry of Business, Innovation and Employment through the Antarctic Science Platform(New Zealand Ministry of Business, Innovation and Employment (MBIE))</t>
  </si>
  <si>
    <t>We thank curators, staff and students of the Antarctic Marine Geology Research Facility, Florida State University, for assistance with sample collection. R. McKay provided guidance as we developed the IBRD record, and G. Kerr assisted in preparation of reagents for biogenic silica dissolution. This project was funded by the New Zealand Antarctic Research Institute (NZARI, 2015-5) with additional support from a University of Otago Research Grant (2017) and the New Zealand Ministry of Business, Innovation and Employment through the Antarctic Science Platform (ANTA1801).</t>
  </si>
  <si>
    <t>10.1038/s41561-022-01088-w</t>
  </si>
  <si>
    <t>WOS:000894413900001</t>
  </si>
  <si>
    <t>Rowell, IF; Mulvaney, R; Rix, J; Tetzner, DR; Wolff, EW</t>
  </si>
  <si>
    <t>Rowell, Isobel F.; Mulvaney, Robert; Rix, Julius; Tetzner, Dieter R.; Wolff, Eric W.</t>
  </si>
  <si>
    <t>Viability of chemical and water isotope ratio measurements of RAID ice chippings from Antarctica</t>
  </si>
  <si>
    <t>Antarctic glaciology; ice core; ice coring; palaeoclimate; snow and ice chemistry</t>
  </si>
  <si>
    <t>CORE WD2014 CHRONOLOGY; EPICA DOME-C; BRIEF COMMUNICATION; OLD ICE; 1.5 MYR; SYNCHRONIZATION; DEUTERIUM; LAND; HUNT</t>
  </si>
  <si>
    <t>The British Antarctic Survey's (BAS) Rapid Access Isotope Drill (RAID), designed for rapid drilling to survey prospective ice core sites, has been deployed at multiple Antarctic locations over 6 years. This drilling method creates ice chippings that can be discretely sampled and analysed for their chemical and water isotopic composition. Ice sampling methods have evolved since the first uses of the BAS RAID, enabling a more quantifiable sample resolution. Here, we show that water isotope records obtained from RAID ice are comparable to those of equivalent depth resolution from proximal ice cores. Records of chemical impurities also show good agreement with nearby cores. Our findings suggest that the RAID is suitable for both chemical and isotopic reconnaissance of drilling sites. Residual contamination of certain ions is discussed, with proposed design changes to avoid this issue with future use.</t>
  </si>
  <si>
    <t>[Rowell, Isobel F.; Tetzner, Dieter R.; Wolff, Eric W.] Univ Cambridge, Cambridge, England; [Mulvaney, Robert; Rix, Julius; Tetzner, Dieter R.] British Antarctic Survey, Cambridge, England</t>
  </si>
  <si>
    <t>University of Cambridge; UK Research &amp; Innovation (UKRI); Natural Environment Research Council (NERC); NERC British Antarctic Survey</t>
  </si>
  <si>
    <t>Rowell, IF (corresponding author), Univ Cambridge, Cambridge, England.</t>
  </si>
  <si>
    <t>ifr21@cam.ac.uk</t>
  </si>
  <si>
    <t>Wolff, Eric W/D-7925-2014; Mulvaney, Robert/K-3929-2012</t>
  </si>
  <si>
    <t>Wolff, Eric W/0000-0002-5914-8531; Rix, Julius/0000-0002-8048-9445; Mulvaney, Robert/0000-0002-5372-8148; Rowell, Isobel/0000-0003-0238-2340</t>
  </si>
  <si>
    <t>European Research Council under the Horizon 2020 research and innovation programme [742224]; European Research Council (ERC) [742224] Funding Source: European Research Council (ERC)</t>
  </si>
  <si>
    <t>European Research Council under the Horizon 2020 research and innovation programme(European Research Council (ERC)); European Research Council (ERC)(European Research Council (ERC)Spanish Government)</t>
  </si>
  <si>
    <t>The authors thank Shaun Miller and Jack Humby for assistance with lab analyses. The authors also thank BAS field guides Sarah Crowsley and Tom King for their help and positivity in the field. This project has received funding from the European Research Council under the Horizon 2020 research and innovation programme (grant agreement No. 742224, WACSWAIN). This material reflects only the author's views and the Commission is not liable for any use that may be made of the information contained therein.</t>
  </si>
  <si>
    <t>JUN</t>
  </si>
  <si>
    <t>PII S0022143022000946</t>
  </si>
  <si>
    <t>10.1017/jog.2022.94</t>
  </si>
  <si>
    <t>H0HM1</t>
  </si>
  <si>
    <t>Green Accepted, gold, Green Published</t>
  </si>
  <si>
    <t>WOS:000893905500001</t>
  </si>
  <si>
    <t>Barlow, DR; Klinck, H; Ponirakis, D; Colberg, MH; Torres, LG</t>
  </si>
  <si>
    <t>Barlow, Dawn R.; Klinck, Holger; Ponirakis, Dimitri; Colberg, Mattea Holt; Torres, Leigh G.</t>
  </si>
  <si>
    <t>Temporal occurrence of three blue whale populations in New Zealand waters from passive acoustic monitoring</t>
  </si>
  <si>
    <t>JOURNAL OF MAMMALOGY</t>
  </si>
  <si>
    <t>blue whale; bioacoustics; distribution; ecology; marine mammals; New Zealand; passive acoustic monitoring; populations; vocalizations</t>
  </si>
  <si>
    <t>BALAENOPTERA-MUSCULUS; SOUTHERN-HEMISPHERE; SOUTHWEST PACIFIC; BALEEN WHALES; INDIAN-OCEAN; CALLS</t>
  </si>
  <si>
    <t>Describing spatial and temporal occurrence patterns of wild animal populations is important for understanding their evolutionary trajectories, population connectivity, and ecological niche specialization, with relevance for effective management. Throughout the world, blue whales produce stereotyped songs that enable identification of separate acoustic populations. We harnessed continuous acoustic recordings from five hydrophones deployed in the South Taranaki Bight (STB) region of Aotearoa New Zealand from January 2016 to February 2018. We examined hourly presence of songs from three different blue whale populations to investigate their contrasting ecological use of New Zealand waters. The New Zealand song was detected year-round with a seasonal cycle in intensity (peak February-July), demonstrating the importance of the region to the New Zealand population as both a foraging ground and potential breeding area. The Antarctic song was present in two distinct peaks each year (June-July; September-October) and predominantly at the offshore recording locations, suggesting northbound and southbound migration between feeding and wintering grounds. The Australian song was only detected during a 10-day period in January 2017, implying a rare vagrant occurrence. We therefore infer that the STB region is the primary niche of the New Zealand population, a migratory corridor for the Antarctic population, and outside the typical range of the Australian population.</t>
  </si>
  <si>
    <t>[Barlow, Dawn R.; Colberg, Mattea Holt; Torres, Leigh G.] Oregon State Univ, Marine Mammal Inst, Dept Fisheries Wildlife &amp; Conservat Sci, Geospatial Ecol Marine Megafauna Lab, Newport, OR 97365 USA; [Klinck, Holger; Ponirakis, Dimitri] Cornell Univ, K Lisa Yang Ctr Conservat Bioacoust, Ithaca, NY 14850 USA; [Klinck, Holger] Oregon State Univ, Marine Mammal Inst, Dept Fisheries Wildlife &amp; Conservat Sci, Newport, OR 97365 USA; [Colberg, Mattea Holt] Oregon State Univ, Dept Integrat Biol, Corvallis, OR 97331 USA</t>
  </si>
  <si>
    <t>Oregon State University; Cornell University; Oregon State University; Oregon State University</t>
  </si>
  <si>
    <t>Barlow, DR (corresponding author), Oregon State Univ, Marine Mammal Inst, Dept Fisheries Wildlife &amp; Conservat Sci, Geospatial Ecol Marine Megafauna Lab, Newport, OR 97365 USA.</t>
  </si>
  <si>
    <t>dawn.barlow@oregonstate.edu</t>
  </si>
  <si>
    <t>Ponirakis, Dimitri/AID-3794-2022; Klinck, Holger/X-5214-2019</t>
  </si>
  <si>
    <t>Klinck, Holger/0000-0003-1078-7268; Barlow, Dawn/0000-0001-6102-5058</t>
  </si>
  <si>
    <t>New Zealand Department of Conservation; Aotearoa Foundation; Marine Mammal Institute at Oregon State University; ARCS Foundation Oregon; Hatfield Marine Science Center McNeil Scholarship</t>
  </si>
  <si>
    <t>Funding for this study was provided by the New Zealand Department of Conservation, the Aotearoa Foundation, and the Marine Mammal Institute at Oregon State University. Additionally, DRB is supported by ARCS Foundation Oregon and the Hatfield Marine Science Center McNeil Scholarship.</t>
  </si>
  <si>
    <t>OXFORD UNIV PRESS INC</t>
  </si>
  <si>
    <t>CARY</t>
  </si>
  <si>
    <t>JOURNALS DEPT, 2001 EVANS RD, CARY, NC 27513 USA</t>
  </si>
  <si>
    <t>0022-2372</t>
  </si>
  <si>
    <t>1545-1542</t>
  </si>
  <si>
    <t>J MAMMAL</t>
  </si>
  <si>
    <t>J. Mammal.</t>
  </si>
  <si>
    <t>FEB 17</t>
  </si>
  <si>
    <t>10.1093/jmammal/gyac106</t>
  </si>
  <si>
    <t>9D4CT</t>
  </si>
  <si>
    <t>WOS:000893986900001</t>
  </si>
  <si>
    <t>Vandorpe, T; Delivet, S; Blamart, D; Wienberg, C; Bassinot, F; Mienis, F; Stuut, JBW; Van Rooij, D</t>
  </si>
  <si>
    <t>Vandorpe, Thomas; Delivet, Stanislas; Blamart, Dominique; Wienberg, Claudia; Bassinot, Frank; Mienis, Furu; Stuut, Jan-Berend W.; Van Rooij, David</t>
  </si>
  <si>
    <t>Palaeoceanographic and hydrodynamic variability for the last 47 kyr in the southern Gulf of Cadiz (Atlantic Moroccan margin): Sedimentary and climatic implications</t>
  </si>
  <si>
    <t>DEPOSITIONAL RECORD</t>
  </si>
  <si>
    <t>aeolian dust; Antarctic Intermediate Water; Azores Front; bottom currents; cold-water corals; Pen Duick drift</t>
  </si>
  <si>
    <t>CONTOURITE DEPOSITIONAL SYSTEM; ANTARCTIC INTERMEDIATE WATER; MERIDIONAL OVERTURNING CIRCULATION; MEDITERRANEAN OUTFLOW WATER; MUD VOLCANO PROVINCE; NORTH-ATLANTIC; CORAL MOUNDS; LATE PLEISTOCENE; BOTTOM CURRENTS; SORTABLE SILT</t>
  </si>
  <si>
    <t>X-ray fluorescence, grain-size and oxygen and carbon stable isotope measurements of a 33 m long piston core, recovered from the Pen Duick drift located at the foot of the prominent Pen Duick Escarpment (Atlantic Moroccan margin), are combined to decipher past oceanographic conditions. The data indicate that, similar to the northern Gulf of Cadiz, the Azores Front exerts a major control on the palaeoclimatology of the region. Contrasting the northern Gulf of Cadiz, where Mediterranean Outflow Water is the main water mass at similar water depths, the palaeoceanography of the studied area is mostly influenced by the amount of Antarctic Intermediate Water advected from the south. The density contrast between the Antarctic Intermediate Water and the overlying North Atlantic Central Water determined the strength of the prevailing internal tides and corresponding high current speeds, which drastically impacted the sedimentary record. The most notable impact is the presence of a 7.8 kyr condensed section (30.5-22.7 ka bp). The formation of the Pen Duick sediment drift was not just controlled by the strength of the bottom currents and the intensity of the internal tides, but also by the amount of (aeolian) sediment supplied to the region. Although variable, drift-growth phases seem to mainly occur during colder periods of the last glacial, that is Heinrich and Dansgaard-Oeschger events during Marine Isotope Stage 3 and late Marine Isotope Stage 2. These periods, characterised by increased aeolian dust supply and higher bottom currents, coincide with a phase of prolific cold-water coral growth and enhanced coral mound formation as recorded in numerous cores obtained from the southern Gulf of Cadiz. This implies that both records (on and off mound cores) are pivotal to provide the complete picture of the palaeoclimatic and palaeoceanographic conditions in the region.</t>
  </si>
  <si>
    <t>[Vandorpe, Thomas] Flanders Marine Inst, Oostende, Belgium; [Vandorpe, Thomas; Delivet, Stanislas; Van Rooij, David] Univ Ghent, Renard Ctr Marine Geol, Dept Geol, Ghent, Belgium; [Blamart, Dominique; Bassinot, Frank] UVSQ, Unite Mixte CEA, Lab Sci Climat &amp; Environm, CNRS, Ave Terrasse, Gif sur yvette, France; [Wienberg, Claudia] Univ Bremen, Ctr Marine Environm Sci, MARUM, Bremen, Germany; [Mienis, Furu; Stuut, Jan-Berend W.] NIOZ Royal Netherlands Inst Sea Res, Den Burg, Netherlands; [Vandorpe, Thomas] Flanders Marine Inst VLIZ, Wanderlaarkaai 7, B-8400 Oostende, Belgium</t>
  </si>
  <si>
    <t>Ghent University; CEA; Centre National de la Recherche Scientifique (CNRS); Universite Paris Saclay; Universite Paris Cite; University of Bremen; Utrecht University; Royal Netherlands Institute for Sea Research (NIOZ)</t>
  </si>
  <si>
    <t>Vandorpe, T (corresponding author), Flanders Marine Inst VLIZ, Wanderlaarkaai 7, B-8400 Oostende, Belgium.</t>
  </si>
  <si>
    <t>thomas.vandorpe@vliz.be</t>
  </si>
  <si>
    <t>Van Rooij, David/A-7938-2014; Wienberg, Claudia/F-3160-2012; Mienis, Furu/L-1934-2015</t>
  </si>
  <si>
    <t>Van Rooij, David/0000-0003-3633-3344; Wienberg, Claudia/0000-0001-9870-5495; Mienis, Furu/0000-0002-7370-0652</t>
  </si>
  <si>
    <t>Fonds Wetenschappelijk Onderzoek; Deutsche Forschungsgemeinschaft; Bijzonder Onderzoeksfonds; [He3412- 18]; [1524713N]</t>
  </si>
  <si>
    <t>Fonds Wetenschappelijk Onderzoek(FWO); Deutsche Forschungsgemeinschaft(German Research Foundation (DFG)); Bijzonder Onderzoeksfonds; ;</t>
  </si>
  <si>
    <t>Bijzonder Onderzoeksfonds; Deutsche Forschungsgemeinschaft, Grant/Award Number: He3412- 18; Fonds Wetenschappelijk Onderzoek, Grant/Award Number: 1524713N</t>
  </si>
  <si>
    <t>2055-4877</t>
  </si>
  <si>
    <t>DEPOS REC</t>
  </si>
  <si>
    <t>Depos. Rec.</t>
  </si>
  <si>
    <t>10.1002/dep2.212</t>
  </si>
  <si>
    <t>9Y6GN</t>
  </si>
  <si>
    <t>Green Published, Green Submitted</t>
  </si>
  <si>
    <t>WOS:000897699800001</t>
  </si>
  <si>
    <t>Marini, S; Bonofiglio, F; Corgnati, LP; Bordone, A; Schiaparelli, S; Peirano, A</t>
  </si>
  <si>
    <t>Marini, Simone; Bonofiglio, Federico; Corgnati, Lorenzo Paolo; Bordone, Andrea; Schiaparelli, Stefano; Peirano, Andrea</t>
  </si>
  <si>
    <t>Long-term High Resolution Image Dataset of Antarctic Coastal Benthic Fauna</t>
  </si>
  <si>
    <t>ICEBERG TRACKING; BIODIVERSITY; SEA</t>
  </si>
  <si>
    <t>Antarctica is a remote place, the continent is covered by ice and its surrounding coastal areas are frozen for the majority of the year. Due to its peculiarity the observation of the underwater organisms is particularly difficult, complicated by logistic factors. We present a long-term dataset consisting of 755 images acquired by using a non-invasive, autonomous imaging device and encompassing both the Antarctic daylight and dark periods, including the corresponding transition phases. All images have the same field of view showing the benthic fauna and part of the water column above, including fishes present in the monitored period. All the images are manually annotated after a visual inspection performed by expert biologists. The extended monitoring period and the annotated images make the dataset a valuable benchmark suitable for studying the dynamics of the long-term Antarctic underwater fauna as well as for developing and testing algorithms for automated image analysis focused on the recognition and classification of the Antarctic organisms and the automated analysis of their long-term dynamics.</t>
  </si>
  <si>
    <t>[Marini, Simone; Bonofiglio, Federico; Corgnati, Lorenzo Paolo] Natl Res Council Italy CNR, Inst Marine Sci, I-19132 La Spezia, Italy; [Marini, Simone] Stn Zool Anton Dohrn, I-80121 Naples, Italy; [Bordone, Andrea; Peirano, Andrea] ENEA, Marine Environm Res Ctr, I-19132 La Spezia, Italy; [Schiaparelli, Stefano] Univ Genoa, DISTAV, I-16132 Genoa, Italy</t>
  </si>
  <si>
    <t>Consiglio Nazionale delle Ricerche (CNR); Istituto di Scienze Marine (ISMAR-CNR); Stazione Zoologica Anton Dohrn di Napoli; Italian National Agency New Technical Energy &amp; Sustainable Economics Development; University of Genoa</t>
  </si>
  <si>
    <t>Marini, S (corresponding author), Natl Res Council Italy CNR, Inst Marine Sci, I-19132 La Spezia, Italy.;Marini, S (corresponding author), Stn Zool Anton Dohrn, I-80121 Naples, Italy.</t>
  </si>
  <si>
    <t>simone.marini@sp.ismar.cnr.it</t>
  </si>
  <si>
    <t>Corgnati, Lorenzo Paolo/HKN-8197-2023; Marini, Simone/C-3872-2012</t>
  </si>
  <si>
    <t>Corgnati, Lorenzo Paolo/0000-0001-5819-7713; Marini, Simone/0000-0003-0665-7815</t>
  </si>
  <si>
    <t>Italian National Antarctic Program [871153]; ENDURUNS project; JERICO-S3 project; [PNRA 2013/AZ1.16]; [824348]</t>
  </si>
  <si>
    <t>Italian National Antarctic Program; ENDURUNS project; JERICO-S3 project; ;</t>
  </si>
  <si>
    <t>The Research leading to these results has received funding from the project ICE-LAPSE: Analysis of Antarctic benthos dynamics by using non-destructive monitoring devices and permanent stations, PNRA 2013/AZ1.16, funded by the Italian National Antarctic Program. We are indebted to the Comando Subacquei ed Incursori (COMSUBIN) of the Italian Navy for help and assistance during the dives and to S. Cocito and C. Lombardi for their support during the test of the imaging device. We are also grateful to M. La Mesa for the determination of fish species in the captured images. This paper is also an Italian contribution to the CCAMLR CONSERVATION MEASURE 91-05 (2016) for the Ross Sea region Marine Protected Area, specifically, addressing the priorities of Annex 91-05/C, and a contribution to the SCAR-ANTOS Expert Group (https://www.scar.org/science/antos/home/). This research activity was also partially funded by the ENDURUNS project [Horizon 2020; Grant Agreement H2020-MG-2018-2019-2020 n.824348] and the JERICO-S3 project [Horizon 2020; Grant Agreement no. 871153].</t>
  </si>
  <si>
    <t>DEC 3</t>
  </si>
  <si>
    <t>10.1038/s41597-022-01865-7</t>
  </si>
  <si>
    <t>6T8OQ</t>
  </si>
  <si>
    <t>WOS:000893934400003</t>
  </si>
  <si>
    <t>Molinos, JG; Hunt, HL; Green, ME; Champion, C; Hartog, JR; Pecl, GT</t>
  </si>
  <si>
    <t>Molinos, Jorge Garcia; Hunt, Heather L. L.; Green, Madeline E. E.; Champion, Curtis; Hartog, Jason R. R.; Pecl, Gretta T. T.</t>
  </si>
  <si>
    <t>Climate, currents and species traits contribute to early stages of marine species redistribution</t>
  </si>
  <si>
    <t>COMMUNICATIONS BIOLOGY</t>
  </si>
  <si>
    <t>RANGE SHIFTS</t>
  </si>
  <si>
    <t>Anthropogenic climate change is causing a rapid redistribution of life on Earth, particularly in the ocean, with profound implications for humans. Yet warming-driven range shifts are known to be influenced by a variety of factors whose combined effects are still little understood. Here, we use scientist-verified out-of-range observations from a national citizen-science initiative to assess the combined effect of long-term warming, climate extremes (i.e., heatwaves and cold spells), ocean currents, and species traits on early stages of marine range extensions in two warming 'hotspot' regions of southern Australia. We find effects of warming to be contingent upon complex interactions with the strength of ocean currents and their mutual directional agreement, as well as species traits. Our study represents the most comprehensive account to date of factors driving early stages of marine species redistributions, providing important evidence for the assessment of the vulnerability of marine species distributions to climate change.</t>
  </si>
  <si>
    <t>[Molinos, Jorge Garcia] Hokkaido Univ, Arctic Res Ctr, Sapporo, Japan; [Hunt, Heather L. L.] Univ New Brunswick, Dept Biol Sci, POB 5050, St John, NB E2L 4L5, Canada; [Green, Madeline E. E.; Hartog, Jason R. R.] CSIRO Oceans &amp; Atmosphere, Hobart, Tas, Australia; [Green, Madeline E. E.; Pecl, Gretta T. T.] Univ Tasmania, Inst Marine &amp; Antarctic Studies, Hobart, Tas, Australia; [Champion, Curtis] NSW Dept Primary Ind, Fisheries Res, Coffs Harbour, NSW, Australia; [Champion, Curtis] Southern Cross Univ, Natl Marine Sci Ctr, Coffs Harbour, NSW, Australia</t>
  </si>
  <si>
    <t>Hokkaido University; University of New Brunswick; Commonwealth Scientific &amp; Industrial Research Organisation (CSIRO); University of Tasmania; NSW Department of Primary Industries; Southern Cross University</t>
  </si>
  <si>
    <t>Hunt, HL (corresponding author), Univ New Brunswick, Dept Biol Sci, POB 5050, St John, NB E2L 4L5, Canada.</t>
  </si>
  <si>
    <t>heather.hunt@unb.ca</t>
  </si>
  <si>
    <t>Pecl, Gretta/D-7267-2011; Hartog, Jason/F-6389-2014; Garcia Molinos, Jorge/C-9252-2015</t>
  </si>
  <si>
    <t>Pecl, Gretta/0000-0003-0192-4339; Hartog, Jason/0000-0003-3308-7846; Green, Madeline Elizabeth/0000-0002-5037-2043; Hunt, Heather/0000-0002-5500-5015; Garcia Molinos, Jorge/0000-0001-7516-1835</t>
  </si>
  <si>
    <t>University of New Brunswick; Centre for Marine Socioecology at the University of Tasmania; Australian Research Council Future Fellowship; Japanese Society for the Promotion of Science [19H04322]</t>
  </si>
  <si>
    <t>University of New Brunswick; Centre for Marine Socioecology at the University of Tasmania; Australian Research Council Future Fellowship(Australian Research Council); Japanese Society for the Promotion of Science(Ministry of Education, Culture, Sports, Science and Technology, Japan (MEXT)Japan Society for the Promotion of Science)</t>
  </si>
  <si>
    <t>H.H.'s sabbatical at the University of Tasmania was funded by a McCain Foundation Visitorship Award from the University of New Brunswick and travel funding from the Centre for Marine Socioecology at the University of Tasmania. G.P. was funded by an Australian Research Council Future Fellowship. J.G.M. was supported by the Japanese Society for the Promotion of Science Grant-in-Aid for Scientific Research (B) 19H04322. We thank the fishers and divers of Australia for submitting photographic observations of out-of-range species to the Redmap Australia program, and the many scientists that collectively verified the submissions, and other contributors and supporters of Redmap. We thank Jon Pognoski from CSIRO National Fish Collection for providing expert advice on the ranges of non-target species. We also thank Barrett Wolfe for additional data sourced from the OBIS database that was used in our range estimates.</t>
  </si>
  <si>
    <t>2399-3642</t>
  </si>
  <si>
    <t>COMMUN BIOL</t>
  </si>
  <si>
    <t>Commun. Biol.</t>
  </si>
  <si>
    <t>10.1038/s42003-022-04273-0</t>
  </si>
  <si>
    <t>Biology; Multidisciplinary Sciences</t>
  </si>
  <si>
    <t>Life Sciences &amp; Biomedicine - Other Topics; Science &amp; Technology - Other Topics</t>
  </si>
  <si>
    <t>6U6NA</t>
  </si>
  <si>
    <t>WOS:000894480000003</t>
  </si>
  <si>
    <t>Fassio, G; Stefani, M; Russini, V; Buge, B; Bouchet, P; Treneman, N; Malaquias, MAE; Schiaparelli, S; Modica, MV; Oliverio, M</t>
  </si>
  <si>
    <t>Fassio, Giulia; Stefani, Matteo; Russini, Valeria; Buge, Barbara; Bouchet, Philippe; Treneman, Nancy; Malaquias, Manuel Antonio E.; Schiaparelli, Stefano; Modica, Maria Vittoria; Oliverio, Marco</t>
  </si>
  <si>
    <t>Neither slugs nor snails: a molecular reappraisal of the gastropod family Velutinidae</t>
  </si>
  <si>
    <t>ZOOLOGICAL JOURNAL OF THE LINNEAN SOCIETY</t>
  </si>
  <si>
    <t>biodiversity; cryptic species; Gastropoda; host-parasite systems; mimicry; molecular systematics; new genera; taxonomic revision</t>
  </si>
  <si>
    <t>MULTIPLE SEQUENCE ALIGNMENT; OXIDASE SUBUNIT-I; NORTHERN-HEMISPHERE; TEMPERATE WATERS; CONE SNAILS; COLD; PHYLOGENY; CALCIFICATION; SEA; DNA</t>
  </si>
  <si>
    <t>The systematics of the marine mollusc family Velutinidae has long been neglected by taxonomists, mainly because their often internal and fragile shells offer no morphological characters. Velutinids are usually undersampled owing to their cryptic mantle coloration on the solitary, social or colonial ascidians on which they feed and lay eggs. In this study, we address the worldwide diversity and phylogeny of Velutinidae based on the largest molecular dataset (313 specimens) to date, accounting for &gt; 50% of the currently accepted genera, coupled with morphological and ecological data. Velutinids emerge as a diverse group, encompassing four independent subfamily-level lineages, two of which are newly described herein: Marseniopsinae subfam. nov. and Hainotinae subfam. nov. High diversity was found at genus and species levels, with two newly described genera (Variolipallium gen. nov. and Pacifica gen. nov.) and &gt;= 86 species in the assayed dataset, 58 of which are new to science (67%). Velutinidae show a remarkable morphological plasticity in shell morphology, mantle extension and chromatic patterns. This variability is likely to be the result of different selective forces, including habitat, depth and trophic interactions.</t>
  </si>
  <si>
    <t>[Fassio, Giulia; Stefani, Matteo; Russini, Valeria; Oliverio, Marco] Sapienza Univ Rome, Dept Biol &amp; Biotechnol Charles Darwin, Viale Univ 32, I-00185 Rome, Italy; [Russini, Valeria] Ist Zooprofilatt Sperimentale Lazio &amp; Toscana M Al, Via Appia Nuova 1411, I-00178 Rome, Italy; [Buge, Barbara] Museum Natl Hist Nat, Direct Collect, 55,Rue Buffon, F-75005 Paris, France; [Bouchet, Philippe] Sorbonne Univ, Inst Syst &amp; Evolut Biodiversite ISYEB, Museum Natl Hist Nat, UMR 7205,CNRS,EPHE,MNHN,UPMC, 05, 43 Rue Cuvier, F-75231 Paris 5, France; [Treneman, Nancy] Oregon Inst Marine Biol, POB 5389, 63466 Boat Basin Rd, Charleston, OR 97420 USA; [Malaquias, Manuel Antonio E.] Univ Bergen, Univ Museum, Dept Nat Hist, PB7800, N-5020 Bergen, Norway; [Schiaparelli, Stefano] Univ Genoa, DiSTAV, Corso Europa 26, I-16132 Genoa, Italy; [Schiaparelli, Stefano] Italian Natl Antarctic Museum, Sect Genoa, MNA, Viale Benedetto XV n 5, I-16132 Genoa, Italy; [Modica, Maria Vittoria] Stn Zool Anton Dohrn, Dept Biol &amp; Evolut Marine Organisms, Villa Comunale, I-80121 Naples, Italy</t>
  </si>
  <si>
    <t>Sapienza University Rome; Museum National d'Histoire Naturelle (MNHN); Universite PSL; Ecole Pratique des Hautes Etudes (EPHE); Sorbonne Universite; Museum National d'Histoire Naturelle (MNHN); Centre National de la Recherche Scientifique (CNRS); CNRS - Institute of Ecology &amp; Environment (INEE); University of Bergen; University of Genoa; Stazione Zoologica Anton Dohrn di Napoli</t>
  </si>
  <si>
    <t>Fassio, G (corresponding author), Sapienza Univ Rome, Dept Biol &amp; Biotechnol Charles Darwin, Viale Univ 32, I-00185 Rome, Italy.</t>
  </si>
  <si>
    <t>giulia.fassio@uniroma1.it</t>
  </si>
  <si>
    <t>Treneman, Nancy/HZL-4065-2023; Fassio, Giulia/H-2132-2018; Russini, Valeria/AAE-4119-2019; OLIVERIO, MARCO/F-2229-2010; Bouchet, Philippe/ABA-9950-2020; Malaquias, Manuel/F-9771-2017</t>
  </si>
  <si>
    <t>Russini, Valeria/0000-0001-5127-5686; Bouchet, Philippe/0000-0001-5864-8676; Stefani, Matteo/0009-0009-8031-0634; Fassio, Giulia/0000-0003-1767-1452; Malaquias, Manuel/0000-0002-9668-945X</t>
  </si>
  <si>
    <t>MNHN; Sapienza University of Rome [RM11916B804DEA4F, AR116154C9AD37D3]</t>
  </si>
  <si>
    <t>MNHN; Sapienza University of Rome</t>
  </si>
  <si>
    <t>Many of the specimens sequenced herein were collected under the auspices of the Our Planet Reviewed programme at the MNHN (expeditions ATIMO VATAE, DOI:10.17600/10110040; BIOMAGLO, DOI:10.17600/17004000; BIOPAPUA, DOI:10.17600/10100040; CEAMARC, DOI:10.17600/8210010; CORSICABENTHOS 1; CORSICABENTHOS 2; CORSICABENTHOS 3; GUYANE 2014; ILES DU SALUT; KANACONO, DOI:10.17600/16003900; KANADEEP 2, DOI:10.17600/18000883; KARUBENTHOS 2, DOI:10.17600/15005400; KAVIENG 2014, DOI:10.17600/14004400; KOUMAC 2.1; KOUMAC 2.3; MADEEP, DOI:10.17600/14004000; MADIBENTHOS; PANGLAO 2004; PAPUA NIUGINI, DOI:10.17600/18000841; Quinzaine des Nudibranches 2022; SAKIZAYA 2019; SANTO 2006; Tuhaa Pae 2013, DOI:10.17600/13100030; ZhongSha 2015). We extend our acknowledgements to Angel A. Valdes (California State Polytechnic University), Serge Gofas (University of Malaga), Yan Buske, Ellen E. Strong (Smithsonian Institution), Christopher Meyer (Smithsonian Institution), Katie Ahlfeld (Smithsonian Institution) along with the Smithsonian Museum Support Centre team, Tom Schiotte (Natural History Museum of Denmark), Giulia Furfaro (University of Salento), Adriaan Gittenberger (National Museum of Natural History, Naturalis), Davide Maggioni (Universita degli Studi di Milano-Bicocca) and Roger Clark (Santa Barbara Museum of Natural History) for providing molecular-grade materials. We are grateful to Philippe Maestrati (MNHN), Laurent Charles (Museum de Bordeaux), Gill Devauchelle, Leopoldo E. Moro Abad (Gobierno de Canarias), Robin Gwen Agarwal (iNaturalist), James McLean (LACM), Anders Schouw (ZMBN) and John D. Slapcinsky (Florida Museum of Natural History-Invertebrate Zoology) for providing precious photographic material. We thank Virginie Heros (MNHN), Mandy Reid (Australian Museum), Alison Miller (Australian Museum) and Lindsey Groves (LACM) for their help with the type materials. We are thankful to Nicolas Puillandre (MNHN) and Dario Zuccon (MNHN) for their help with MNHN molecular sequences. Elisa Nocella (Sapienza University of Rome, Stazione Zoologica Anton Dohrn) and Giacomo Chiappa (Sapienza University of Rome) are acknowledged for their help with the laboratory work, and Jim T. Carlton (Williams College) for help with the bibliographic research. We thank Letizia Dibella (Sapienza University of Rome), Tania Ruspandini (Sapienza University of Rome), Marco Albano (Sapienza University of Rome) and Giampiero Lanzotti (Stazione Zoologica Anton Dohrn) for their help with preparation of the SEM material and Cristina Lemorini (Sapienza University of Rome) for help with SEM photographs. Pierfilippo Cerretti (Sapienza University of Rome) and Maurizio Mei (Sapienza University of Rome) are thanked for their help with the shell photographs. The research was partially funded by Sapienza University of Rome (grant no RM11916B804DEA4F INV-EVO to M.O. and no AR116154C9AD37D3 to G.F.). Two anonymous reviewers provided very useful comments that helped us in preparing a clearer revised version.</t>
  </si>
  <si>
    <t>0024-4082</t>
  </si>
  <si>
    <t>1096-3642</t>
  </si>
  <si>
    <t>ZOOL J LINN SOC-LOND</t>
  </si>
  <si>
    <t>Zool. J. Linn. Soc.</t>
  </si>
  <si>
    <t>MAR 27</t>
  </si>
  <si>
    <t>10.1093/zoolinnean/zlac091</t>
  </si>
  <si>
    <t>F6HO9</t>
  </si>
  <si>
    <t>WOS:000893403100001</t>
  </si>
  <si>
    <t>Connan, M; Schoombie, S; Schoombie, J; Dilley, B; Ryan, PG</t>
  </si>
  <si>
    <t>Connan, Maelle; Schoombie, Stefan; Schoombie, Janine; Dilley, Ben; Ryan, Peter G.</t>
  </si>
  <si>
    <t>Natural recolonisation of sub-Antarctic Marion Island by Common Diving Petrels Pelecanoides urinatrix</t>
  </si>
  <si>
    <t>OSTRICH</t>
  </si>
  <si>
    <t>burrow-nesting seabirds; breeding habitat; breeding phenology; hatching success; nest survival; Prince Edward Islands; Procellariiformes</t>
  </si>
  <si>
    <t>BURROW-NESTING PETRELS; MOUSE PREDATION; FERAL CATS; ALBATROSSES; ERADICATION; ABUNDANCE; BEHAVIOR; TRENDS; DIET</t>
  </si>
  <si>
    <t>Nocturnal burrow-nesting seabirds are notoriously difficult to study and can go unnoticed for years in remote areas. One of these species is the Common Diving Petrel Pelecanoides urinatrix, which has a circumpolar breeding distribution in the Southern Ocean, including at the sub-Antarctic Prince Edward Islands. At Marion Island, the larger of the two islands, the species was extirpated by cats that were introduced in 1948. The cats were eradicated by 1991, and Common Diving Petrels were discovered in burrows in coastal Poa cookii (Cook's tussock grass) on a steep south-facing slope in Goodhope Bay during April 2015. Subsequent surveys in October 2015 and February 2016 confirmed breeding over a 1-ha area. In 2019/2020, breeding phenology and success was studied in 36 nests at the same site. Birds called from their burrows from mid-September, laying started in early October, and the first chick was observed on 20 December. Hatching peaked in early January and chicks fledged from the end of February to mid-March. This breeding phenology is similar to that at the neighbouring Crozet Archipelago. Overall nest survival was 46.4 +/- 9.2% (mean +/- SE; 95% CI: 29.5-64.1%), with most failures happening around hatching time. Further monitoring is needed to assess whether introduced House Mice Mus musculus contributed to the low hatching success. Common Diving Petrels were discovered breeding in other coastal areas, mostly in the south and east of the island. It is unlikely that breeding by this species was overlooked for three decades, suggesting that the elimination of cats allowed Common Diving Petrels to recolonise the island.</t>
  </si>
  <si>
    <t>[Connan, Maelle; Schoombie, Stefan] Nelson Mandela Univ, Inst Coastal &amp; Marine Res, Dept Zool, Marine Apex Predator Res Unit MAPRU, Gqeberha, South Africa; [Connan, Maelle; Schoombie, Stefan; Schoombie, Janine; Dilley, Ben; Ryan, Peter G.] Univ Cape Town, FitzPatrick Inst African Ornithol, DSI NRF Ctr Excellence, Cape Town, South Africa</t>
  </si>
  <si>
    <t>Nelson Mandela University; University of Cape Town</t>
  </si>
  <si>
    <t>Connan, M (corresponding author), Nelson Mandela Univ, Inst Coastal &amp; Marine Res, Dept Zool, Marine Apex Predator Res Unit MAPRU, Gqeberha, South Africa.</t>
  </si>
  <si>
    <t>maelle.connan@gmail.com</t>
  </si>
  <si>
    <t>Connan, Maelle/A-8468-2008</t>
  </si>
  <si>
    <t>Connan, Maelle/0000-0002-1308-9118; Schoombie, Janine/0000-0001-5085-9516; Ryan, Peter/0000-0002-3356-2056</t>
  </si>
  <si>
    <t>National Research Foundation [110738, 129226]</t>
  </si>
  <si>
    <t>We thank David Green for his advice at the start of the study and Lucy Smyth and Michelle Thompson for their help in the field. This work was supported by the South African National Antarctic Programme through the National Research Foundation (Grant nos. 110738 and 129226)</t>
  </si>
  <si>
    <t>0030-6525</t>
  </si>
  <si>
    <t>1727-947X</t>
  </si>
  <si>
    <t>Ostrich</t>
  </si>
  <si>
    <t>10.2989/00306525.2022.2150706</t>
  </si>
  <si>
    <t>7P4KR</t>
  </si>
  <si>
    <t>WOS:000893497300001</t>
  </si>
  <si>
    <t>Berenshtein, I; Faillettaz, R; Irisson, JO; Kiflawi, M; Siebeck, UE; Leis, JM; Paris, CB</t>
  </si>
  <si>
    <t>Berenshtein, Igal; Faillettaz, Robin; Irisson, Jean-Oliver; Kiflawi, Moshe; Siebeck, Ulrike E. E.; Leis, Jeffery M. M.; Paris, Claire B. B.</t>
  </si>
  <si>
    <t>Evidence for a consistent use of external cues by marine fish larvae for orientation</t>
  </si>
  <si>
    <t>CORAL-REEF FISHES; RANDOM-WALK MODELS; IN-SITU; POPULATION CONNECTIVITY; PELAGIC LARVAE; SAMPLING RATE; LIFE-HISTORY; DISPERSAL; MOVEMENT; ONTOGENY</t>
  </si>
  <si>
    <t>The larval stage is the main dispersive process of most marine teleost species. The degree to which larval behavior controls dispersal has been a subject of debate. Here, we apply a cross-species meta-analysis, focusing on the fundamental question of whether larval fish use external cues for directional movement (i.e., directed movement). Under the assumption that directed movement results in straighter paths (i.e., higher mean vector lengths) compared to undirected, we compare observed patterns to those expected under undirected pattern of Correlated Random Walk (CRW). We find that the bulk of larvae exhibit higher mean vector lengths than those expected under CRW, suggesting the use of external cues for directional movement. We discuss special cases which diverge from our assumptions. Our results highlight the potential contribution of orientation to larval dispersal outcomes. This finding can improve the accuracy of larval dispersal models, and promote a sustainable management of marine resources.</t>
  </si>
  <si>
    <t>[Berenshtein, Igal; Faillettaz, Robin; Paris, Claire B. B.] Univ Miami, Rosenstiel Sch Marine &amp; Atmospher Sci, 4600 Rickenbacker Causeway, Miami, FL 33149 USA; [Berenshtein, Igal] Univ Miami, Cooperat Inst Marine &amp; Atmospher Studies, Rosenstiel Sch Marine &amp; Atmospher Sci, 4600 Rickenbacker Causeway, Miami, FL 33149 USA; [Berenshtein, Igal] Univ Haifa, Leon H Charney Sch Marine Sci, Dept Marine Biol, IL-3498838 Hefa, Israel; [Faillettaz, Robin] UPMC Univ Paris 06, Sorbonne Univ, Ctr Natl Rech Sci, Lab Oceanog Villefranche Mer LOV, Villefranche Sur Mer, France; [Faillettaz, Robin] Inst Agro, EDECOD Ecosyst Dynam &amp; Sustainabil, IFREMER, INRAE, Lorient, France; [Irisson, Jean-Oliver] Sorbonne Univ, CNRS, Lab Oceanog Villefranche, LOV, F-06230 Villefranche Sur Mer, France; [Kiflawi, Moshe] Ben Gurion Univ Negev, Dept Life Sci, POB 653, IL-84105 Beer Sheva, Israel; [Kiflawi, Moshe] Interuniv Inst Marine Sci Eilat, IL-88103 Elat, Israel; [Siebeck, Ulrike E. E.] Univ Queensland, Sch Biomed Sci, Lab Visual Neuroethol, St Lucia, Qld 4072, Australia; [Leis, Jeffery M. M.] Univ Tasmania, Inst Marine &amp; Antarctic Studies, Ecol &amp; Biodivers Ctr, Hobart, TS 7007, Australia; [Leis, Jeffery M. M.] Australian Museum Res Inst, Ichthyol, Sydney, NSW 2001, Australia</t>
  </si>
  <si>
    <t>University of Miami; University of Miami; University of Haifa; Sorbonne Universite; Centre National de la Recherche Scientifique (CNRS); INRAE; Ifremer; Institut Agro; Sorbonne Universite; Centre National de la Recherche Scientifique (CNRS); Ben Gurion University; University of Queensland; University of Tasmania; Australian Museum</t>
  </si>
  <si>
    <t>Paris, CB (corresponding author), Univ Miami, Rosenstiel Sch Marine &amp; Atmospher Sci, 4600 Rickenbacker Causeway, Miami, FL 33149 USA.</t>
  </si>
  <si>
    <t>cparis@earth.miami.edu</t>
  </si>
  <si>
    <t>Leis, Jeffrey M/E-7502-2012; Berenshtein, Igal/HNQ-8057-2023; Leis, Jeffrey M/JCE-0397-2023</t>
  </si>
  <si>
    <t>Leis, Jeffrey M/0000-0003-0603-3447; Leis, Jeffrey M/0000-0003-0603-3447; Faillettaz, Robin/0000-0002-4894-3783; Paris-Limouzy, Claire Beatrix/0000-0002-0637-1334</t>
  </si>
  <si>
    <t>National Academy of Science, Engineering and Medicine - Gulf research Program NASEM-GRP award [2000007703]; Paris Lab of the Rosenstiel School of Marine and Atmospheric Sciences; Partner University Fund (PUF); Binational Science Foundation BSF Grant [2008144]; Australia Research Council (ARC) [DP110100695]; National Science Foundation [NSF-OCE 1459156]; Direct For Computer &amp; Info Scie &amp; Enginr; Division of Computing and Communication Foundations [2008144] Funding Source: National Science Foundation</t>
  </si>
  <si>
    <t>National Academy of Science, Engineering and Medicine - Gulf research Program NASEM-GRP award; Paris Lab of the Rosenstiel School of Marine and Atmospheric Sciences; Partner University Fund (PUF); Binational Science Foundation BSF Grant(US-Israel Binational Science Foundation); Australia Research Council (ARC)(Australian Research Council); National Science Foundation(National Science Foundation (NSF)); Direct For Computer &amp; Info Scie &amp; Enginr; Division of Computing and Communication Foundations(National Science Foundation (NSF)NSF - Directorate for Computer &amp; Information Science &amp; Engineering (CISE))</t>
  </si>
  <si>
    <t>We would like to thank everyone who have contributed to these valuable datasets over the years. We thank the three anonymous reviewers whose comments and suggestions helped improve and clarify this manuscript. I.B. was funded by the National Academy of Science, Engineering and Medicine - Gulf research Program NASEM-GRP award number 2000007703 to Steven Murawski and C.B.P; R.F. and J.O.I were funded by the Paris Lab of the Rosenstiel School of Marine and Atmospheric Sciences and a grant from the Partner University Fund (PUF); M.K. was funded by the Binational Science Foundation BSF Grant number 2008144; J.M.L. and U.S. were funded by the Australia Research Council (ARC) Discovery Grant DP110100695. The Study was made possible through a National Science Foundation Award NSF-OCE 1459156 to C.B.P.</t>
  </si>
  <si>
    <t>DEC 2</t>
  </si>
  <si>
    <t>10.1038/s42003-022-04137-7</t>
  </si>
  <si>
    <t>7Y1JF</t>
  </si>
  <si>
    <t>WOS:000914643900002</t>
  </si>
  <si>
    <t>Hughes, KA; Santos, M; Caccavo, JA; Chignell, SM; Gardiner, NB; Gilbert, N; Howkins, A; Van Vuuren, BJ; Lee, JR; Liggett, D; Lowther, A; Lynch, H; Quesada, A; Shin, HC; Soutullo, A; Terauds, A</t>
  </si>
  <si>
    <t>Hughes, Kevin A. A.; Santos, Mercedes; Caccavo, Jilda A. A.; Chignell, Stephen M. M.; Gardiner, Natasha B. B.; Gilbert, Neil; Howkins, Adrian; Van Vuuren, Bettine Jansen; Lee, Jasmine R. R.; Liggett, Daniela; Lowther, Andrew; Lynch, Heather; Quesada, Antonio; Shin, Hyoung Chul; Soutullo, Alvaro; Terauds, Aleks</t>
  </si>
  <si>
    <t>Ant-ICON-'Integrated Science to Inform Antarctic and Southern Ocean Conservation': a new SCAR Scientific Research Programme</t>
  </si>
  <si>
    <t>Antarctic Treaty System; best available science; capacity building; environmental protection; human impact; science-policy communication</t>
  </si>
  <si>
    <t>BIOLOGICAL INVASIONS; PENINSULA; CLIMATE; CHALLENGES; RESILIENCE; IMPACTS</t>
  </si>
  <si>
    <t>Antarctic and Southern Ocean environments are facing increasing pressure from multiple threats. The Antarctic Treaty System regularly looks to the Scientific Committee on Antarctic Research (SCAR) for the provision of independent and objective advice based on the best available science to support decision-making, policy development and effective environmental management. The recently approved SCAR Scientific Research Programme Ant-ICON - 'Integrated Science to Inform Antarctic and Southern Ocean Conservation' - facilitates and coordinates high-quality transdisciplinary research to inform the conservation and management of Antarctica, the Southern Ocean and the sub-Antarctic in the context of current and future impacts. The work of Ant-ICON focuses on three research themes examining 1) the current state and future projections of Antarctic systems, species and functions, 2) human impacts and sustainability and 3) socio-ecological approaches to Antarctic and Southern Ocean conservation, and one synthesis theme that seeks to facilitate the provision of timely scientific advice to support effective Antarctic conservation. Research outputs will address the most pressing environmental challenges facing Antarctica and offer high-quality science to policy and advisory bodies including the Antarctic Treaty Consultative Meeting, the Committee for Environmental Protection and the Scientific Committee of the Commission for the Conservation of Antarctic Marine Living Resources.</t>
  </si>
  <si>
    <t>[Hughes, Kevin A. A.; Lee, Jasmine R. R.] British Antarctic Survey, Madingley Rd, Cambridge CB3 0ET, England; [Santos, Mercedes] Adm Parques Nacl, Direcc Nacl Areas Marinas Protegidas, Rivadavia 1475,C1009ABM, Caba, Argentina; [Caccavo, Jilda A. A.] Helmholtz Ctr Polar &amp; Marine Res, Alfred Wegener Inst, Dept Funct Ecol, Bldg A1170, Handelshafen 12, D-27570 Bremerhaven, Germany; [Caccavo, Jilda A. A.] Berlin Ctr Genom Biodivers Res, Dept Genom &amp; Bioinformat Bridging, Konigin Luise Str 6-8, D-14195 Berlin, Germany; [Caccavo, Jilda A. A.] Leibniz Inst Zoo &amp; Wildlife Res, Dept Evolutionary Genet, Alfred Kowalke Str 17, D-10315 Berlin, Germany; Univ British Columbia, Inst Resources Environm &amp; Sustainabil, Aquat Ecosyst Res Lab, 2202 Main Mall, Vancouver, BC V6T 1Z4, Canada; Antarctica New Zealand, Private Bag 4745, Christchurch 8140, New Zealand; [Gilbert, Neil; Liggett, Daniela] Univ Canterbury, Ctr Antarctic Studies &amp; Res, Sch Earth &amp; Environm, Gateway Antarctica, Private Bag 4800, Christchurch 8140, New Zealand; [Howkins, Adrian] Univ Bristol, Sch Humanities, Dept Hist, 11 Woodland Rd, Bristol BS8 1TB, England; [Van Vuuren, Bettine Jansen] Univ Johannesburg, Ctr Ecol Genom &amp; Wildlife Conservat, Johannesburg, South Africa; Queensland Univ Technol, Sch Biol &amp; Environm Sci, Securing Antarcticas Environm Future, Brisbane, Qld 4000, Australia; [Lowther, Andrew] Norwegian Polar Res Inst, Tromso, Norway; [Lynch, Heather] SUNY Stony Brook, Stony Brook, NY USA; [Quesada, Antonio] Univ Autonoma Madrid, Dept Biol, Darwin 2, Madrid 28049, Spain; [Shin, Hyoung Chul] Korea Polar Res Inst, 26 Songdomirae Ro, Incheon 21990, South Korea; [Soutullo, Alvaro] Univ Republica, Ctr Univ Reg Este, Dept Ecol &amp; Gest Ambiental, Montevideo, Uruguay; [Terauds, Aleks] Australian Antarctic Div, Dept Agr Water &amp; Environm, Kingston, Tas 7050, Australia</t>
  </si>
  <si>
    <t>UK Research &amp; Innovation (UKRI); Natural Environment Research Council (NERC); NERC British Antarctic Survey; Helmholtz Association; Alfred Wegener Institute, Helmholtz Centre for Polar &amp; Marine Research; Leibniz Institut fur Zoo und Wildtierforschung; University of British Columbia; University of Canterbury; University of Bristol; University of Johannesburg; Queensland University of Technology (QUT); Norwegian Polar Institute; State University of New York (SUNY) System; State University of New York (SUNY) Stony Brook; Autonomous University of Madrid; Korea Polar Research Institute (KOPRI); Universidad de la Republica, Uruguay; Australian Antarctic Division</t>
  </si>
  <si>
    <t>Hughes, KA (corresponding author), British Antarctic Survey, Madingley Rd, Cambridge CB3 0ET, England.</t>
  </si>
  <si>
    <t>kehu@bas.ac.uk</t>
  </si>
  <si>
    <t>Quesada, Antonio/L-2430-2013; Terauds, Aleks/A-4991-2010; Hughes, Kevin/JVZ-0793-2024; Jansen van Vuuren, Bettine/E-6227-2013; Caccavo, Jilda Alicia/D-3236-2018</t>
  </si>
  <si>
    <t>Jansen van Vuuren, Bettine/0000-0002-5334-5358; Chignell, Stephen/0000-0002-8277-4338; Gardiner, Natasha/0000-0002-2743-3039; Lee, Jasmine/0000-0003-3847-1679; Caccavo, Jilda Alicia/0000-0002-8172-7855; Lowther, Andrew/0000-0003-4294-3157</t>
  </si>
  <si>
    <t>New Zealand Antarctic Science Platform [ASP-023-4]; UK Natural Environment Research Council (NERC); Royal Commission</t>
  </si>
  <si>
    <t>New Zealand Antarctic Science Platform; UK Natural Environment Research Council (NERC)(UK Research &amp; Innovation (UKRI)Natural Environment Research Council (NERC)); Royal Commission</t>
  </si>
  <si>
    <t>NBG, NG and DL acknowledge the support of the New Zealand Antarctic Science Platform through their research grant ASP-023-4. KAH was supported by core funding to the British Antarctic Survey (BAS) from the UK Natural Environment Research Council (NERC). JRL is supported by a Royal Commission for the Exhibition of 1851 Research Fellowship.</t>
  </si>
  <si>
    <t>PII S0954102022000402</t>
  </si>
  <si>
    <t>10.1017/S0954102022000402</t>
  </si>
  <si>
    <t>WOS:000912748100001</t>
  </si>
  <si>
    <t>Shih, YH; Mehlmann, C; Losch, M; Stadler, G</t>
  </si>
  <si>
    <t>Shih, Yu-hsuan; Mehlmann, Carolin; Losch, Martin; Stadler, Georg</t>
  </si>
  <si>
    <t>Robust and efficient primal-dual Newton-Krylov solvers for viscous-plastic sea-ice models</t>
  </si>
  <si>
    <t>JOURNAL OF COMPUTATIONAL PHYSICS</t>
  </si>
  <si>
    <t>Viscous-plastic rheology; Primal-dual; Stress-velocity Newton; AMG-preconditioned Krylov; Sea-ice; Localization</t>
  </si>
  <si>
    <t>ALGORITHM; FRAMEWORK; RHEOLOGY; FLOW</t>
  </si>
  <si>
    <t>We present a Newton-Krylov solver for a viscous-plastic sea-ice model. This constitutive relation is commonly used in climate models to describe the material properties of sea ice. Due to the strong nonlinearity introduced by the material law in the momentum equation, the development of fast, robust and scalable solvers is still a substantial challenge. In this paper, we propose a novel primal-dual Newton linearization for the implicitly -in-time discretized momentum equation. Compared to existing methods, it converges faster and more robustly with respect to mesh refinement, and thus enables numerically converged sea-ice simulations at high resolutions. Combined with an algebraic multigrid-preconditioned Krylov method for the linearized systems, which contain strongly varying coefficients, the resulting solver scales well and can be used in parallel. We present experiments for two challenging test problems and study solver performance for problems with up to 8.4 million spatial unknowns.(c) 2022 Elsevier Inc. All rights reserved.</t>
  </si>
  <si>
    <t>[Shih, Yu-hsuan; Stadler, Georg] NYU, Courant Inst Math Sci, New York, NY 10012 USA; [Mehlmann, Carolin] Otto von Guericke Univ, Magdeburg, Germany; [Losch, Martin] Helmholtz Zent Polar &amp; Meeresforsch, Alfred Wegener Inst, Bremerhaven, Germany</t>
  </si>
  <si>
    <t>New York University; Otto von Guericke University; Helmholtz Association; Alfred Wegener Institute, Helmholtz Centre for Polar &amp; Marine Research</t>
  </si>
  <si>
    <t>Stadler, G (corresponding author), NYU, Courant Inst Math Sci, New York, NY 10012 USA.</t>
  </si>
  <si>
    <t>stadler@cims.nyu.edu</t>
  </si>
  <si>
    <t>Stadler, Georg/0000-0001-7762-6544; Mehlmann, Carolin/0000-0001-7329-5178</t>
  </si>
  <si>
    <t>Multidisciplinary University Research Initiatives (MURI) Program, Office of Naval Research (ONR) [N00014-19-1-2421]; Deutsche Forschungsgemeinschaft (DFG) priority program Antarctic Research with Comparative Investigations in Arctic Ice Areas [463061012]; NYU</t>
  </si>
  <si>
    <t>Multidisciplinary University Research Initiatives (MURI) Program, Office of Naval Research (ONR); Deutsche Forschungsgemeinschaft (DFG) priority program Antarctic Research with Comparative Investigations in Arctic Ice Areas(German Research Foundation (DFG)); NYU</t>
  </si>
  <si>
    <t>This work has been supported by the Multidisciplinary University Research Initiatives (MURI) Program, Office of Naval Research (ONR) grant number N00014-19-1-2421, and by the Deutsche Forschungsgemeinschaft (DFG) priority program Antarctic Research with Comparative Investigations in Arctic Ice Areas project number 463061012. This work was also supported in part through the NYU IT High Performance Computing resources, services, and staff expertise.</t>
  </si>
  <si>
    <t>0021-9991</t>
  </si>
  <si>
    <t>1090-2716</t>
  </si>
  <si>
    <t>J COMPUT PHYS</t>
  </si>
  <si>
    <t>J. Comput. Phys.</t>
  </si>
  <si>
    <t>10.1016/j.jcp.2022.111802</t>
  </si>
  <si>
    <t>Computer Science, Interdisciplinary Applications; Physics, Mathematical</t>
  </si>
  <si>
    <t>Computer Science; Physics</t>
  </si>
  <si>
    <t>6Z1LX</t>
  </si>
  <si>
    <t>WOS:000897544100016</t>
  </si>
  <si>
    <t>Panwar, P; Williams, TJ; Allen, MA; Cavicchioli, R</t>
  </si>
  <si>
    <t>Panwar, Pratibha; Williams, Timothy J.; Allen, Michelle A.; Cavicchioli, Ricardo</t>
  </si>
  <si>
    <t>Population structure of an Antarctic aquatic cyanobacterium</t>
  </si>
  <si>
    <t>MICROBIOME</t>
  </si>
  <si>
    <t>Antarctic microbiology; Cyanobacteria; Synechococcus; Regnicoccus; Nit1C; AsnB; Metagenome-assembled genomes; Phylotype; Ecotype; Population structure; Niche adaptation; Host-virus interactions; Specialist virus; Generalist virus; Meromictic lake; Microbial food web</t>
  </si>
  <si>
    <t>MCMURDO DRY VALLEYS; SYNECHOCOCCUS ECOTYPES; PHYLOGENETIC DIVERSITY; ACE LAKE; PROCHLOROCOCCUS; BACTERIAL; ECOLOGY; PROTEIN; GENE; BACTERIOPHAGE</t>
  </si>
  <si>
    <t>Background: Ace Lake is a marine-derived, stratified lake in the Vestfold Hills of East Antarctica with an upper oxic and lower anoxic zone. Cyanobacteria are known to reside throughout the water column. A Synechococcus-like species becomes the most abundant member in the upper sunlit waters during summer while persisting annually even in the absence of sunlight and at depth in the anoxic zone. Here, we analysed similar to 300 Gb of Ace Lake metagenome data including 59 Synechococcus-like metagenome-assembled genomes (MAGs) to determine depth-related variation in cyanobacterial population structure. Metagenome data were also analysed to investigate viruses associated with this cyanobacterium and the host's capacity to defend against or evade viruses. Results: A single Synechococcus-like species was found to exist in Ace Lake, Candidatus Regnicoccus frigidus sp. nov., consisting of one phylotype more abundant in the oxic zone and a second phylotype prevalent in the oxic-anoxic interface and surrounding depths. An important aspect of genomic variation pertained to nitrogen utilisation, with the capacity to perform cyanide assimilation and asparagine synthesis reflecting the depth distribution of available sources of nitrogen. Both specialist (host specific) and generalist (broad host range) viruses were identified with a predicted ability to infect Ca. Regnicoccus frigidus. Host-virus interactions were characterised by a depth-dependent distribution of virus type (e.g. highest abundance of specialist viruses in the oxic zone) and host phylotype capacity to defend against (e.g. restriction-modification, retron and BREX systems) and evade viruses (cell surface proteins and cell wall biosynthesis and modification enzymes). Conclusion: In Ace Lake, specific environmental factors such as the seasonal availability of sunlight affects microbial abundances and the associated processes that the microbial community performs. Here, we find that the population structure for Ca. Regnicoccus frigidus has evolved differently to the other dominant phototroph in the lake, Candidatus Chlorobium antarcticum. The geography (i.e. Antarctica), limnology (e.g. stratification) and abiotic (e.g. sunlight) and biotic (e.g. microbial interactions) factors determine the types of niches that develop in the lake. While the lake community has become increasingly well studied, metagenome-based studies are revealing that niche adaptation can take many paths; these paths need to be determined in order to make reasonable predictions about the consequences of future ecosystem perturbations.</t>
  </si>
  <si>
    <t>[Panwar, Pratibha; Williams, Timothy J.; Allen, Michelle A.; Cavicchioli, Ricardo] UNSW Sydney, Sch Biotechnol &amp; Biomol Sci, Sydney, NSW 2052, Australia</t>
  </si>
  <si>
    <t>University of New South Wales Sydney</t>
  </si>
  <si>
    <t>Cavicchioli, R (corresponding author), UNSW Sydney, Sch Biotechnol &amp; Biomol Sci, Sydney, NSW 2052, Australia.</t>
  </si>
  <si>
    <t>r.cavicchioli@unsw.edu.au</t>
  </si>
  <si>
    <t>Panwar, Pratibha/JFJ-6910-2023</t>
  </si>
  <si>
    <t>Panwar, Pratibha/0000-0002-7437-7084; Allen, Michelle/0000-0002-8852-1454; Williams, Timothy/0000-0002-2738-3019</t>
  </si>
  <si>
    <t>Australian Research Council; Australian Antarctic Science programme [DP150100244]; [4031]</t>
  </si>
  <si>
    <t>Australian Research Council(Australian Research Council); Australian Antarctic Science programme;</t>
  </si>
  <si>
    <t>This work was supported by the Australian Research Council (DP150100244) and the Australian Antarctic Science programme (project 4031).</t>
  </si>
  <si>
    <t>2049-2618</t>
  </si>
  <si>
    <t>Microbiome</t>
  </si>
  <si>
    <t>10.1186/s40168-022-01404-x</t>
  </si>
  <si>
    <t>6S6KR</t>
  </si>
  <si>
    <t>WOS:000893094500002</t>
  </si>
  <si>
    <t>Harrison, TC; Biri, S; Bracegirdle, TJ; King, JC; Kent, EC; Vignon, E; Turner, J</t>
  </si>
  <si>
    <t>Caton Harrison, Thomas; Biri, Stavroula; Bracegirdle, Thomas J.; King, John C.; Kent, Elizabeth C.; Vignon, Etienne; Turner, John</t>
  </si>
  <si>
    <t>Reanalysis representation of low-level winds in the Antarctic near-coastal region</t>
  </si>
  <si>
    <t>WEATHER AND CLIMATE DYNAMICS</t>
  </si>
  <si>
    <t>SELF-ORGANIZING MAPS; ROSS ICE SHELF; KATABATIC FLOW; SURFACE; CLIMATE; SEA; SENSITIVITY; PRODUCTS; EVENTS; CASEY</t>
  </si>
  <si>
    <t>Low-level easterly winds encircling Antarctica help drive coastal currents which modify transport of circumpolar deep water to ice shelves, and the formation and distribution of sea ice. Reanalysis datasets are especially important at high southern latitudes where observations are few. Here, we investigate the representation of the mean state and short-term variability of coastal easterlies in three recent reanalyses, ERA5, MERRA-2 and JRA-55. Reanalysed winds are compared with summertime marine near-surface wind observations from the Advanced Scatterometer (ASCAT) and surface and upper air measurements from coastal stations. Reanalysis coastal easterlies correlate highly with ASCAT ( r = 0.91, 0.89 and 0.85 for ERA5, MERRA-2 and JRA-55, respectively) but notable wind speed biases are found close to the coastal margins, especially near complex orography and at high wind speeds. To characterise short-term variability, 12-hourly reanalysis and coastal station winds are composited using self-organising maps (SOMs), which cluster timesteps under similar synoptic and mesoscale influences. Reanalysis performance is sensitive to the flow configuration at stations near steep coastal slopes, where they fail to capture the magnitude of near-surface wind speed variability when synoptic forcing is weak and conditions favour katabatic forcing. ERA5 exhibits the best overall performance, has more realistic orography, and a more realistic jet structure and temperature profile. These results demonstrate the regime behaviour of Antarctica's coastal winds and indicate important features of the coastal winds which are not well characterised by reanalysis datasets.</t>
  </si>
  <si>
    <t>[Caton Harrison, Thomas; Bracegirdle, Thomas J.; King, John C.; Turner, John] British Antarctic Survey, Cambridge, England; [Biri, Stavroula; Kent, Elizabeth C.] Natl Oceanog Ctr, Southampton, England; [Vignon, Etienne] Sorbonne Univ, CNRS, UMR 8539, Lab Meteorol Dynam,IPSL, Paris, France</t>
  </si>
  <si>
    <t>UK Research &amp; Innovation (UKRI); Natural Environment Research Council (NERC); NERC British Antarctic Survey; NERC National Oceanography Centre; Sorbonne Universite; Universite Paris Cite; Centre National de la Recherche Scientifique (CNRS); CNRS - National Institute for Earth Sciences &amp; Astronomy (INSU)</t>
  </si>
  <si>
    <t>Harrison, TC (corresponding author), British Antarctic Survey, Cambridge, England.</t>
  </si>
  <si>
    <t>thoton@bas.ac.uk</t>
  </si>
  <si>
    <t>Kent, Elizabeth/C-1281-2011</t>
  </si>
  <si>
    <t>Kent, Elizabeth/0000-0002-6209-4247; Bracegirdle, Thomas/0000-0002-8868-4739; VIGNON, Etienne/0000-0003-3801-9367</t>
  </si>
  <si>
    <t>Natural Environment Research Council (NERC) [NE/V000691/1, NE/V000969/1]; NERC [NE/V000691/1, NE/V000969/1] Funding Source: UKRI</t>
  </si>
  <si>
    <t>Natural Environment Research Council (NERC)(UK Research &amp; Innovation (UKRI)Natural Environment Research Council (NERC)); NERC(UK Research &amp; Innovation (UKRI)Natural Environment Research Council (NERC))</t>
  </si>
  <si>
    <t>This research has been supported by the Natural Environment Research Council (NERC; Improved projections ofwinds at the crossroads between Antarctica and the Southern Ocean(grant nos. NE/V000691/1 and NE/V000969/1)).</t>
  </si>
  <si>
    <t>2698-4016</t>
  </si>
  <si>
    <t>WEATHER CLIM DYNAM</t>
  </si>
  <si>
    <t>10.5194/wcd-3-1415-2022</t>
  </si>
  <si>
    <t>IU5A3</t>
  </si>
  <si>
    <t>WOS:001168851400001</t>
  </si>
  <si>
    <t>Du, YQ; Chen, YY; Li, XH; Schönborn, A; Sun, Z</t>
  </si>
  <si>
    <t>Du, Yuquan; Chen, Yanyu; Li, Xiaohe; Schonborn, Alessandro; Sun, Zhuo</t>
  </si>
  <si>
    <t>Data fusion and machine learning for ship fuel efficiency modeling: Part III - Sensor data and meteorological data</t>
  </si>
  <si>
    <t>COMMUNICATIONS IN TRANSPORTATION RESEARCH</t>
  </si>
  <si>
    <t>Ship fuel efficiency; Fuel consumption rate; Sensor data; Data fusion; Machine learning</t>
  </si>
  <si>
    <t>REGRESSION</t>
  </si>
  <si>
    <t>Sensors installed on a ship return high quality data that can be used for ship bunker fuel efficiency analysis. However, important information about weather and sea conditions the ship sails through, such as waves, sea currents, and sea water temperature, is often absent from sensor data. This study addresses this issue by fusing sensor data and publicly accessible meteorological data, constructing nine datasets accordingly, and experimenting with widely adopted machine learning (ML) models to quantify the relationship between a ship's fuel consumption rate (ton/day, or ton/h) and its voyage-based factors (sailing speed, draft, trim, weather conditions, and sea conditions). The best dataset found reveals the benefits of fusing sensor data and meteorological data for ship fuel consumption rate quantification. The best ML models found are consistent with our previous studies, including Extremely randomized trees (ET), Gradient Tree Boosting (GB) and XGBoost (XG). Given the best dataset from data fusion, their R2 values over the training set are 0.999 or 1.000, and their R2 values over the test set are all above 0.966. Their fit errors with RMSE values are below 0.75 ton/day, and with MAT below 0.52 ton/ day. These promising results are well beyond the requirements of most industry applications for ship fuel efficiency analysis. The applicability of the selected datasets and ML models is also verified in a rolling horizon approach, resulting in a conjecture that a rolling horizon strategy of 5-month training thorn 1-month test/applicatoin could work well in practice and sensor data of less than five months could be insufficient to train ML models.</t>
  </si>
  <si>
    <t>[Du, Yuquan; Chen, Yanyu; Li, Xiaohe] Univ Tasmania, Australian Maritime Coll, Ctr Maritime &amp; Logist Management, Launceston, Tas 7250, Australia; [Chen, Yanyu] Univ Tasmania, Inst Marine &amp; Antarctic Studies, Coll Sci &amp; Engn, Taroona, Tas 7053, Australia; [Li, Xiaohe] Harbin Engn Univ, Coll Power &amp; Energy Engn, Harbin 150001, Peoples R China; [Schonborn, Alessandro] World Maritime Univ, Maritime Energy Management, Fiskehamnsgatan 1, S-20124 Malmo, Sweden; [Sun, Zhuo] Dalian Maritime Univ, Coll Transportat Engn, Dalian 116026, Peoples R China</t>
  </si>
  <si>
    <t>University of Tasmania; Australian Maritime College; University of Tasmania; Harbin Engineering University; Dalian Maritime University</t>
  </si>
  <si>
    <t>Du, YQ (corresponding author), Univ Tasmania, Australian Maritime Coll, Ctr Maritime &amp; Logist Management, Launceston, Tas 7250, Australia.</t>
  </si>
  <si>
    <t>yuquan.du@utas.edu.au</t>
  </si>
  <si>
    <t>Li, Xiaohe/0000-0002-1524-058X</t>
  </si>
  <si>
    <t>IAMU (International Association of Mari-time Universities) [20210205_AMC]; Nippon Foundation in Japan; IAMU</t>
  </si>
  <si>
    <t>IAMU (International Association of Mari-time Universities); Nippon Foundation in Japan; IAMU</t>
  </si>
  <si>
    <t>This study is a part of the IAMU (International Association of Mari-time Universities) research project titled Data fusion and machine learning for ship fuel efficiency analysis: a small but essential step towards green shipping through data analytics (Research Project No. 20210205_AMC) . The materials and data in this publication have been obtained through the support of IAMU and The Nippon Foundation in Japan. Jean-Louis Bertholier developed the Python code of collecting meteorological data for ships during his Assistant Engineer internship at World Maritime University. This study has been conducted using E.U. Copernicus Marine Service Information; https://doi.org/10.48670/moi-00050. Hersbach et al. (2018) was downloaded from the Copernicus Climate Change Service (C3S) Climate Data Store. The results of this study and trained machine learning models published contain modified Copernicus Climate Change Service information 2020. Neither the Eu-ropean Commission nor ECMWF is responsible for any use that may be made of the Copernicus information or data it contains. We thank the two anonymous reviewers for their time spent on this series of three papers and their constructive comments.</t>
  </si>
  <si>
    <t>2772-4247</t>
  </si>
  <si>
    <t>COMMUN TRANSP RES</t>
  </si>
  <si>
    <t>Commun. Transp. Res.</t>
  </si>
  <si>
    <t>10.1016/j.commtr.2022.100072</t>
  </si>
  <si>
    <t>Transportation; Transportation Science &amp; Technology</t>
  </si>
  <si>
    <t>Transportation</t>
  </si>
  <si>
    <t>S4VV1</t>
  </si>
  <si>
    <t>WOS:001071169000005</t>
  </si>
  <si>
    <t>Data fusion and machine learning for ship fuel efficiency modeling: Part II - Voyage report data, AIS data and meteorological data</t>
  </si>
  <si>
    <t>Ship fuel efficiency; Fuel consumption rate; Voyage report; AIS; Data fusion; Machine learning</t>
  </si>
  <si>
    <t>When voyage report data is utilized as the main data source for ship fuel efficiency analysis, its information on weather and sea conditions is often regarded as unreliable. To solve this issue, this study approaches AIS data to obtain the ship's actual detailed geographical positions along its sailing trajectory and then further retrieve the weather and sea condition information from publicly accessible meteorological data sources. These more reliable data about weather and sea conditions the ship sails through is fused into voyage report data in order to improve the accuracy of ship fuel consumption rate models. Eight 8100-TEU to 14,000-TEU containerships from a global shipping company were used in experiments. For each ship, nine datasets were constructed based on data fusion and eleven widely-adopted machine learning models were tested. Experimental results revealed the benefits of fusing voyage report data, AIS data, and meteorological data in improving the fit performances of machine learning models of forecasting ship fuel consumption rate. Over the best datasets, the performances of several decision tree-based models are promising, including Extremely randomized trees (ET), AdaBoost (AB), Gradient Tree Boosting (GB) and XGBoost (XG). With the best datasets, their R2 values over the training sets are all above 0.96 and mostly reach the level of 0.99-1.00, while their R2 values over the test sets are in the range from 0.75 to 0.90. Fit errors of ET, AB, GB, and XG on daily bunker fuel consumption, measured by RMSE and MAE, are usually between 0.8 and 4.5 ton/day. These results are slightly better than our previous study, which confirms the benefits of adopting the actual geographical positions of the ship recorded by AIS data, compared with the estimated geographical positions derived from the great circle route, in retrieving weather and sea conditions the ship sails through.</t>
  </si>
  <si>
    <t>IAMU (International Association of Maritime Universities) [20210205_AMC]</t>
  </si>
  <si>
    <t>IAMU (International Association of Maritime Universities)</t>
  </si>
  <si>
    <t>This study is a part of the IAMU (International Association of Maritime Universities) research project titled Data fusion and machine learning for ship fuel efficiency analysis: a small but essential step towards green shipping through data analytics (Research Project No. 20210205_AMC). The materials and data in this publication have been obtained through the support of IAMU and The in Japan. Jean-Louis Bertholier developed the Python code of collecting meteorological data for ships during his Assistant Engineer internship at World Maritime University. This study has been conducted using E.U. Copernicus Marine Service Information; https://doi.org/10.48670/moi-00050. Hersbach et al. (2018) was downloaded from the Copernicus Climate Change Service (C3S) Climate Data Store. The results of this study and trained machine learning models published contain modified Copernicus Climate Change Service information 2020. Neither the European Commission nor ECMWF is responsible for any use that may be made of the Copernicus information or data it contains. We thank the two anonymous reviewers for their time spent on this series of three papers and their constructive comments.</t>
  </si>
  <si>
    <t>10.1016/j.commtr.2022.100073</t>
  </si>
  <si>
    <t>WOS:001071169000010</t>
  </si>
  <si>
    <t>Li, XH; Du, YQ; Chen, YY; Nguyen, S; Zhang, W; Schönborn, A; Sun, Z</t>
  </si>
  <si>
    <t>Li, Xiaohe; Du, Yuquan; Chen, Yanyu; Nguyen, Son; Zhang, Wei; Schonborn, Alessandro; Sun, Zhuo</t>
  </si>
  <si>
    <t>Data fusion and machine learning for ship fuel efficiency modeling: Part I - Voyage report data and meteorological data</t>
  </si>
  <si>
    <t>Ship fuel efficiency; Fuel consumption rate; Voyage report; Data fusion; Machine learning</t>
  </si>
  <si>
    <t>TRIM OPTIMIZATION; SPEED; REGRESSION; DECISION</t>
  </si>
  <si>
    <t>The International Maritime Organization has been promoting energy-efficient operational measures to reduce ships' bunker fuel consumption and the accompanying emissions, including speed optimization, trim optimization, weather routing, and the virtual arrival policy. The theoretical foundation of these measures is a model that can accurately forecast a ship's bunker fuel consumption rate according to its sailing speed, displacement/draft, trim, weather conditions, and sea conditions. Voyage report is an important data source for ship fuel efficiency modeling but its information quality on weather and sea conditions is limited by a snapshotting practice with eye inspection. To overcome this issue, this study develops a solution to fuse voyage report data and publicly accessible meteorological data and constructs nine datasets based on this data fusion solution. Eleven widely adopted machine learning models were tested over these datasets for eight 8100-TEU to 14,000-TEU containerships from a global shipping company. The best datasets found reveal the benefits of fusing voyage report data and meteorological data, as well as the practically acceptable quality of voyage report data. Extremely randomized trees (ET), AdaBoost (AB), Gradient Tree Boosting (GB) and XGBoost (XG) present the best fit and generalization performances. Their R2 values over the best datasets are all above 0.96 and even reach 0.99 to 1.00 for the training set, and 0.74 to 0.90 for the test set. Their fit errors on daily bunker fuel consumption are usually between 0.5 and 4.0 ton/day. These models have good interpretability in explaining the relative importance of different determinants to a ship's fuel consumption rate.</t>
  </si>
  <si>
    <t>[Li, Xiaohe; Du, Yuquan; Chen, Yanyu; Nguyen, Son; Zhang, Wei] Univ Tasmania, Australian Maritime Coll, Ctr Maritime &amp; Logist Management, Launceston, Tas 7250, Australia; [Li, Xiaohe] Harbin Engn Univ, Coll Power &amp; Energy Engn, Harbin 150001, Peoples R China; [Chen, Yanyu] Univ Tasmania, Inst Marine &amp; Antarctic Studies, Coll Sci &amp; Engn, Taroona, Tas 7053, Australia; [Schonborn, Alessandro] World Maritime Univ, Maritime Energy Management, Fiskehamnsgatan 1, S-20124 Malmo, Sweden; [Sun, Zhuo] Dalian Maritime Univ, Coll Transportat Engn, Dalian 116026, Peoples R China</t>
  </si>
  <si>
    <t>University of Tasmania; Australian Maritime College; Harbin Engineering University; University of Tasmania; Dalian Maritime University</t>
  </si>
  <si>
    <t>Nguyen, Son/N-2104-2016</t>
  </si>
  <si>
    <t>Nguyen, Son/0000-0001-8736-8454; Li, Xiaohe/0000-0002-1524-058X</t>
  </si>
  <si>
    <t>IAMU (International Association of Mari-time Universities); Nippon Foundation in Japan; E.U. Copernicus Marine Service Information; [20210205_AMC]</t>
  </si>
  <si>
    <t>IAMU (International Association of Mari-time Universities); Nippon Foundation in Japan; E.U. Copernicus Marine Service Information;</t>
  </si>
  <si>
    <t>This study is a part of the IAMU (International Association of Mari-time Universities) research project titled Data fusion and machine learning for ship fuel efficiency analysis: a small but essential step towards green shipping through data analytics (Research Project No. 20210205_AMC) . The materials and data in this publication have been obtained through the support of IAMU and The Nippon Foundation in Japan. Jean-Louis Bertholier developed the Python code of collecting meteorological data for ships during his Assistant Engineer internship at World Maritime University. This study has been conducted using E.U. Copernicus Marine Service Information; https://doi.org/10.48670/moi-00050. Hersbach et al. (2018) was downloaded from the Copernicus Climate Change Service (C3S) Climate Data Store. The results of this study and trained machine learning models published contain modified Copernicus Climate Change Service information 2020. Neither the European Commission nor ECMWF is responsible for any use that may be made of the Copernicus information or data it contains. We thank the two anonymous reviewers for their time spent on this series of three papers and their constructive comments.</t>
  </si>
  <si>
    <t>10.1016/j.commtr.2022.100074</t>
  </si>
  <si>
    <t>WOS:001071169000009</t>
  </si>
  <si>
    <t>Nakamura, K; Aoki, S; Yamanokuchi, T; Tamura, T</t>
  </si>
  <si>
    <t>Nakamura, Kazuki; Aoki, Shigeru; Yamanokuchi, Tsutomu; Tamura, Takeshi</t>
  </si>
  <si>
    <t>Interactive movements of outlet glacier tongue and landfast sea ice in Lutzow-Holm Bay, East Antarctica, detected by ALOS-2/PALSAR-2 imagery</t>
  </si>
  <si>
    <t>SCIENCE OF REMOTE SENSING</t>
  </si>
  <si>
    <t>MASS-LOSS; SHELF; FLOW</t>
  </si>
  <si>
    <t>The Shirase Glacier, one of the fastest-flowing outlet glaciers in East Antarctica, flows into a bay that is usually covered by landfast sea ice. Although the presence of landfast ice is considered to stabilize glacier tongue, quantitative assessments are insufficient. We investigated the spatiotemporal variations in the flow velocities of both the glacier tongue and the surrounding landfast ice using a correlation method with ALOS-2/PALSAR-2 images, before and after a landfast-ice collapse in April 2017. After the collapse, the glacier tongue flow accelerated by 8-15% (0.20-0.38 km a(-1)). After reestablishment of landfast ice, the flow velocity of the landfast ice in contact with the glacier terminus is 20%-90% of the flow velocity of the glacier terminus The estimates of interactive changes in the motions of both glacier ice and sea ice can be used to quantify the buttress effect, which is a key factor affecting the mass budget of Antarctic outlet glaciers.</t>
  </si>
  <si>
    <t>[Nakamura, Kazuki] Nihon Univ, Coll Engn, Dept Comp Sci, Koriyama, Japan; [Aoki, Shigeru] Hokkaido Univ, Inst Low Temp Sci, Grad Sch Environm Sci, Sapporo, Japan; [Yamanokuchi, Tsutomu] Remote Sensing Technol Ctr Japan, Tsukuba Stn, Tsukuba, Japan; [Tamura, Takeshi] Natl Inst Polar Res, Tachikawa, Japan; [Tamura, Takeshi] Grad Univ Adv Studies SOKENDAI, Sch Multidisciplinary Sci, Dept Polar Sci, Tachikawa, Japan</t>
  </si>
  <si>
    <t>Nihon University; Hokkaido University; Research Organization of Information &amp; Systems (ROIS); National Institute of Polar Research (NIPR) - Japan; Graduate University for Advanced Studies - Japan</t>
  </si>
  <si>
    <t>Nakamura, K (corresponding author), Nihon Univ, Coll Engn, Dept Comp Sci, Koriyama, Japan.</t>
  </si>
  <si>
    <t>nakamura.kazuki@nihon-u.ac.jp</t>
  </si>
  <si>
    <t>Nakamura, Kazuki/0000-0002-0569-7690</t>
  </si>
  <si>
    <t>MEXT/JSPS of the Japanese Government [17H06321, 17H04710, 18K11627, 21H04918, 21H04931, 21K12214, 20G040]; Joint Research Program of the Institute of Low Temperature Science, Hokkaido University [21G027, KP-303]; Project Research [31-13]; National Institute of Polar Research [2-25]; College of Engineering, Nihon University; [17H01615]</t>
  </si>
  <si>
    <t>MEXT/JSPS of the Japanese Government; Joint Research Program of the Institute of Low Temperature Science, Hokkaido University; Project Research; National Institute of Polar Research(National Institute of Polar Research (NIPR) - Japan); College of Engineering, Nihon University;</t>
  </si>
  <si>
    <t>ALOS-2/PALSAR-2 data are provided by the JAXA through the 6th Research Announcement (PI No. 3049; https:// www.eorc.jaxa. jp/ALOS/a/en/activitaa_e.htm) . The authors would like to express our gratitude to the JAXA. The authors also thank Dr. H. Yabuki and the ADS data management team with the National Institute of Polar Research for providing MODIS images (http://ads.nipr.ac.jp/) . This work was funded in part by Grants-in-Aid for Scientific Research of the MEXT/JSPS of the Japanese Government (17H01615, 17H06321, 17H04710, 18K11627, 21H04918, 21H04931 and 21K12214) , Joint Research Program of the Institute of Low Temperature Science, Hokkaido University (20G040 and 21G027) , Project Research (KP-303) and General Cooperative Research (31-13 and 2-25) of the National Institute of Polar Research, and the research fund of the College of Engineering, Nihon University, (2017-2019) .</t>
  </si>
  <si>
    <t>2666-0172</t>
  </si>
  <si>
    <t>SCI REMOTE SENSING</t>
  </si>
  <si>
    <t>Sci. Remote Sensing</t>
  </si>
  <si>
    <t>10.1016/j.srs.2022.100064</t>
  </si>
  <si>
    <t>Environmental Sciences; Remote Sensing; Imaging Science &amp; Photographic Technology</t>
  </si>
  <si>
    <t>Environmental Sciences &amp; Ecology; Remote Sensing; Imaging Science &amp; Photographic Technology</t>
  </si>
  <si>
    <t>L9AV5</t>
  </si>
  <si>
    <t>WOS:001026127600001</t>
  </si>
  <si>
    <t>Arpi, B; McGee, J; Jackson, A; Hodgson-Johnston, I</t>
  </si>
  <si>
    <t>Arpi, Bruno; McGee, Jeffrey; Jackson, Andrew; Hodgson-Johnston, Indi</t>
  </si>
  <si>
    <t>LEGAL ANALYSIS OF THE ARGENTINE AND AUSTRALIAN TITLES TO TERRITORY IN ANTARCTICA</t>
  </si>
  <si>
    <t>MELBOURNE JOURNAL OF INTERNATIONAL LAW</t>
  </si>
  <si>
    <t>Antarctic territorial claims are important for understanding the history and future possibilities of the Antarctic region. Although the 1959 Antarctic Treaty put on hold arguments about territorial claims over the continent, these claims still play a role in shaping the Antarctic Treaty System. To understand these disagreements, it is important to consider the legal basis of the respective claims. One of the key disagreements is between the United Kingdom and Argentina, which have overlapping claims to areas of West Antarctica. European states have generally assumed that the whole of the Antarctic continent was terra nullius when the UK first claimed a part of West Antarctica in 1908. However, Argentina claims that it inherited part of the 'South American Antarctic' from Spain in the early 19th century and has effectively exercised its rights derived from that title. On the other side of the continent, areas of East Antarctica were claimed for the British Commonwealth and later transferred to Australia. The UK and Australia recognise each other's claims. The existing analysis of Antarctic law has not properly considered whether any future outcome of the territorial dispute between the UK and Argentina might legally impact the Australian claims in East Antarctica. This article, therefore, considers the legal basis of the Argentine and Australian claims. We conclude that regardless of any future outcome of the Argentinian-British territorial dispute, there is no overt legal conflict between the Argentinian and Australian claims to Antarctic territory; they may both legally co-exist.</t>
  </si>
  <si>
    <t>[Arpi, Bruno; McGee, Jeffrey] Univ Tasmania, Fac Law, Hobart, Tas, Australia; [Arpi, Bruno; McGee, Jeffrey; Jackson, Andrew] Univ Tasmania, Inst Marine &amp; Antarctic Studies IMAS, Hobart, Tas, Australia; [Hodgson-Johnston, Indi] Univ Tasmania, Inst Marine &amp; Antarctic Studies IMAS, Ctr Oceans &amp; Cryosphere, Hobart, Tas, Australia</t>
  </si>
  <si>
    <t>University of Tasmania; University of Tasmania; University of Tasmania</t>
  </si>
  <si>
    <t>Arpi, B (corresponding author), Univ Tasmania, Fac Law, Hobart, Tas, Australia.;Arpi, B (corresponding author), Univ Tasmania, Inst Marine &amp; Antarctic Studies IMAS, Hobart, Tas, Australia.</t>
  </si>
  <si>
    <t>UNIV MELBOURNE, MELBOURNE LAW SCH</t>
  </si>
  <si>
    <t>MELBOURNE</t>
  </si>
  <si>
    <t>MELBOURNE LAW SCH, MELBOURNE, VIC 3010, AUSTRALIA</t>
  </si>
  <si>
    <t>1444-8602</t>
  </si>
  <si>
    <t>1444-8610</t>
  </si>
  <si>
    <t>MELB J INT LAW</t>
  </si>
  <si>
    <t>Melb. J. Int. Law</t>
  </si>
  <si>
    <t>Law</t>
  </si>
  <si>
    <t>Government &amp; Law</t>
  </si>
  <si>
    <t>G5TD7</t>
  </si>
  <si>
    <t>WOS:000989770600001</t>
  </si>
  <si>
    <t>Steiger, N; Darelius, E; Kimura, S; Patmore, RD; Wåhlin, AK</t>
  </si>
  <si>
    <t>Steiger, Nadine; Darelius, Elin; Kimura, Satoshi; Patmore, Ryan D.; Wahlin, Anna K.</t>
  </si>
  <si>
    <t>The Dynamics of a Barotropic Current Impinging on an Ice Front</t>
  </si>
  <si>
    <t>Ice shelves; Barotropic flows; Ocean dynamics; Potential vorticity; Topographic effects; Idealized models</t>
  </si>
  <si>
    <t>CIRCUMPOLAR DEEP-WATER; AMUNDSEN SEA SHELF; THERMOHALINE CIRCULATION; OCEAN-CIRCULATION; ROSS; INFLOW; DRIVEN; MODEL; ANTARCTICA; TOPOGRAPHY</t>
  </si>
  <si>
    <t>The vertical front of ice shelves represents a topographic barrier for barotropic currents that transport a considerable amount of heat toward the ice shelves. The blocking effect of the ice front on barotropic currents has recently been observed to substantially reduce the heat transport into the cavity beneath the Getz Ice Shelf in West Antarctica. We use an idealized numerical model to study the vorticity dynamics of an externally forced barotropic current at an ice front and the impact of ice shelf thickness, ice front steepness, and ocean stratification on the volume flux entering the cavity. Our simulations show that thicker ice shelves block a larger volume of the barotropic flow, in agreement with geostrophic theory. However, geostrophy breaks locally at the ice front, where relative vorticity and friction become essential for the flow to cross the discontinuity in water column thickness. The flow entering the cavity accelerates and induces high basal melt rates in the frontal region. Tilting the ice front, as undertaken in sigma-coordinate models, reduces this acceleration because the flow is more geostrophic. Viscous processes}typically exaggerated in low-resolution models}break the potential vorticity constraint and bring the flow deeper into the ice shelf cavity. The externally forced barotropic current can only enter the cavity if the stratification is weak, as strong vertical velocities are needed at the ice front to squeeze the water column beneath the ice shelf. If the stratification is strong, vertical velocities are suppressed and the barotropic flow is almost entirely blocked by the ice front. SIGNIFICANCE STATEMENT: Ice shelves in West Antarctica are thinning, mostly from basal melting through oceanic heat entering the underlying ice shelf cavities. Thinning of ice shelves reduces their ability to buttress the grounded ice resting upstream, leading to sea level rise. To model the ice sheet's contribution to sea level rise more accurately, the processes governing the oceanic heat flux into the ice shelf cavity must be articulated. This modeling study investigates the dynamics of a depth-independent current approaching the ice shelf; it corroborates previous findings on the blocking of such a current at the ice front. The amount of water that enters the cavity strongly depends on ice shelf thickness and ocean stratification. For a well-mixed ocean, the upper part of the flow can dive underneath the ice shelf and increase basal melting near the ice front. In a stratified ocean, the approaching depth-independent current is almost entirely blocked by the ice front.</t>
  </si>
  <si>
    <t>[Steiger, Nadine; Darelius, Elin] Univ Bergen, Geophys Inst, Bergen, Norway; [Steiger, Nadine; Darelius, Elin] Bjerknes Ctr Climate Res, Bergen, Norway; [Kimura, Satoshi] Japan Agcy Marine Earth Sci &amp; Technol, Yokosuka, Kanagawa, Japan; [Patmore, Ryan D.] British Antarctic Survey, Cambridge, England; [Patmore, Ryan D.] Univ Reading, Reading, Berks, England; [Wahlin, Anna K.] Univ Gothenburg, Dept Marine Sci, Gothenburg, Sweden</t>
  </si>
  <si>
    <t>University of Bergen; Bjerknes Centre for Climate Research; Japan Agency for Marine-Earth Science &amp; Technology (JAMSTEC); UK Research &amp; Innovation (UKRI); Natural Environment Research Council (NERC); NERC British Antarctic Survey; University of Reading; University of Gothenburg</t>
  </si>
  <si>
    <t>Steiger, N (corresponding author), Univ Bergen, Geophys Inst, Bergen, Norway.;Steiger, N (corresponding author), Bjerknes Ctr Climate Res, Bergen, Norway.</t>
  </si>
  <si>
    <t>nadine.steiger@locean.ipsl.fr</t>
  </si>
  <si>
    <t>Darelius, Elin/O-4096-2015</t>
  </si>
  <si>
    <t>Steiger, Nadine/0000-0002-7533-6583</t>
  </si>
  <si>
    <t>Norwegian Research Council [267660]</t>
  </si>
  <si>
    <t>Norwegian Research Council(Research Council of Norway)</t>
  </si>
  <si>
    <t>This work is supported by the Norwegian Research Council through project 267660 (TOBACO). Computing resources were provided by the Norwegian High-Performance Computing Program resources (NN9608K, NS9608K, NN9481K, and NS9481K). We thank A. Samuelsen at the Nansen Environmental and Remote Sensing Center for discussions, support, and technical assistance. We also thank M. Losch from the Alfred Wegener Institute and M.-N. Houssais from Sorbonne University for comments on an earlier version of the paper and M. Losch for discussions about model technicalities. In addition, we thank three anonymous reviewers for their constructive comments, which helped to improve the paper considerably.</t>
  </si>
  <si>
    <t>10.1175/JPO-D-21-0312.1</t>
  </si>
  <si>
    <t>7W3CO</t>
  </si>
  <si>
    <t>WOS:000913390900005</t>
  </si>
  <si>
    <t>Rousselet, L; Cessi, P</t>
  </si>
  <si>
    <t>Rousselet, Louise; Cessi, Paola</t>
  </si>
  <si>
    <t>Diabatic Transformations along the Global Routes of the Middepth Meridional Overturning Circulation</t>
  </si>
  <si>
    <t>Abyssal circulation; Thermohaline circulation; Water masses/storage</t>
  </si>
  <si>
    <t>WATER; PACIFIC; STRATIFICATION; CLOSURE; OCEANS</t>
  </si>
  <si>
    <t>The diabatic transformations of the middepth meridional overturning circulation (MOC) as it exits and reenters the South Atlantic to close the AMOC are studied using a state estimate assimilating data into a dynamically consistent ocean model. Virtual Lagrangian parcels in the lower branch of the MOC are followed in their global tour as they return to the upper branch of the MOC. Three return pathways are identified. The first pathway enters the abyssal IndoPacific as Circumpolar Deep Water, directly from the northern Antarctic Circumpolar Current (ACC), and before sampling the Antarctic margin. The second pathway sinks to abyssal densities exclusively in the Southern Ocean, then upwells while circulating within the ACC and eventually enters the Indo-Pacific or Atlantic at mid- to upper depths. The third pathway never reaches densities in the abyssal range. Parcels sinking in the Antarctic Bottom Water range upwell to mid- to upper depths south of 55 degrees S. Parcels in all three pathways experience additional diabatic transformations after upwelling in the Southern Ocean, with more diabatic changes north of about 30 degrees S than elsewhere. Diabatic changes are predominantly in the mixed layer of the tropical and subpolar gyres, enabled by Ekman suction. A simple model of the wind-driven flow illustrates that parcels always reach the surface in the tropical and subpolar gyres, regardless of their initial condition, because of coupling among gyres, the Ekman transport, and its return.</t>
  </si>
  <si>
    <t>[Rousselet, Louise; Cessi, Paola] Univ Calif San Diego, Scripps Inst Oceanog, La Jolla, CA 92093 USA</t>
  </si>
  <si>
    <t>Cessi, P (corresponding author), Univ Calif San Diego, Scripps Inst Oceanog, La Jolla, CA 92093 USA.</t>
  </si>
  <si>
    <t>pcessi@ucsd.edu</t>
  </si>
  <si>
    <t>National Science Foundation [ACI-1548562, OCE-1634128]; National Aeronautics and Space Administration [80NSSC20K0796]</t>
  </si>
  <si>
    <t>National Science Foundation(National Science Foundation (NSF)); National Aeronautics and Space Administration(National Aeronautics &amp; Space Administration (NASA))</t>
  </si>
  <si>
    <t>Support by the National Science Foundation under Grant OCE-1634128 and by the National Aeronautics and Space Administration under Grant 80NSSC20K0796 is gratefully acknowledged. Computational resources were provided by the Extreme Science and Engineering Discovery Environment (XSEDE) on Stampede2 at the Texas Advanced Computing Center through allocation TG-OCE130026. XSEDE is supported by the National Science Foundation Grant ACI-1548562. Two anonymous reviewers provided useful and constructive suggestions that helped improve the manuscript, for which we are grateful.</t>
  </si>
  <si>
    <t>10.1175/JPO-D-21-0256.1</t>
  </si>
  <si>
    <t>WOS:000913390900015</t>
  </si>
  <si>
    <t>Drake, HF; Ruan, XZ; Callies, J; Ogden, K; Thurnherr, AM; Ferrari, R</t>
  </si>
  <si>
    <t>Drake, Henri F.; Ruan, Xiaozhou; Callies, Jorn; Ogden, Kelly; Thurnherr, Andreas M.; Ferrari, Raffaele</t>
  </si>
  <si>
    <t>Dynamics of Eddying Abyssal Mixing Layers over Sloping Rough Topography</t>
  </si>
  <si>
    <t>Abyssal circulation; Diapycnal mixing; Meridional overturning circulation; Topographic effects; Upwelling/downwelling; Bottom currents/bottom water</t>
  </si>
  <si>
    <t>ANTARCTIC BOTTOM WATER; STRATIFIED FLOW; OVERTURNING CIRCULATION; INTERNAL TIDES; OCEAN; BOUNDARY; DRIVEN; TURBULENCE; TRANSPORT; EDDIES</t>
  </si>
  <si>
    <t>The abyssal overturning circulation is thought to be primarily driven by small-scale turbulent mixing. Diagnosed water-mass transformations are dominated by rough topography hotspots, where the bottom enhancement of mixing causes the diffusive buoyancy flux to diverge, driving widespread downwelling in the interior}only to be overwhelmed by an even stronger upwelling in a thin bottom boundary layer (BBL). These water-mass transformations are significantly underestimated by one-dimensional (1D) sloping boundary layer solutions, suggesting the importance of three-dimensional physics. Here, we use a hierarchy of models to generalize this 1D boundary layer approach to three-dimensional eddying flows over realistically rough topography. When applied to the Mid-Atlantic Ridge in the Brazil Basin, the idealized simulation results are roughly consistent with available observations. Integral buoyancy budgets isolate the physical processes that contribute to realistically strong BBL upwelling. The downward diffusion of buoyancy is primarily balanced by upwelling along the sloping canyon sidewalls and the surrounding abyssal hills. These flows are strengthened by the restratifying effects of submesoscale baroclinic eddies and by the blocking of along-ridge thermal wind within the canyon. Major topographic sills block along-thalweg flows from restratifying the canyon trough, resulting in the continual erosion of the trough's stratification. We propose simple modifications to the 1D boundary layer model that approximate each of these three-dimensional effects. These results provide local dynamical insights into mixing-driven abyssal overturning, but a complete theory will also require the nonlocal coupling to the basin-scale circulation.</t>
  </si>
  <si>
    <t>[Drake, Henri F.] MIT WHOI Joint Program Oceanog Appl Ocean Sci &amp; E, Cambridge, MA 02139 USA; [Drake, Henri F.] MIT WHOI Joint Program Oceanog Appl Ocean Sci &amp; E, Woods Hole, MA 02543 USA; [Ruan, Xiaozhou; Ferrari, Raffaele] MIT, Cambridge, MA 02139 USA; [Callies, Jorn] CALTECH, Pasadena, CA 91125 USA; [Ogden, Kelly] Western Univ, London, ON, Canada; [Thurnherr, Andreas M.] Lamont Doherty Earth Observ, Palisades, NY USA</t>
  </si>
  <si>
    <t>Massachusetts Institute of Technology (MIT); Massachusetts Institute of Technology (MIT); Massachusetts Institute of Technology (MIT); California Institute of Technology; Western University (University of Western Ontario); Columbia University</t>
  </si>
  <si>
    <t>Drake, HF (corresponding author), MIT WHOI Joint Program Oceanog Appl Ocean Sci &amp; E, Cambridge, MA 02139 USA.;Drake, HF (corresponding author), MIT WHOI Joint Program Oceanog Appl Ocean Sci &amp; E, Woods Hole, MA 02543 USA.</t>
  </si>
  <si>
    <t>henrifdrake@gmail.com</t>
  </si>
  <si>
    <t>Drake, Henri/0000-0003-0135-0814</t>
  </si>
  <si>
    <t>National Science Foundation [1536515, 1736109, 2149080]; National Science Foundation Graduate Research Fellowship Program [174530]; NOAA Climate and Global Change Postdoctoral Fellowship Program [NA18NWS4620043B]; Directorate For Geosciences; Division Of Ocean Sciences [1536515, 2149080, 1736109] Funding Source: National Science Foundation</t>
  </si>
  <si>
    <t>National Science Foundation(National Science Foundation (NSF)); National Science Foundation Graduate Research Fellowship Program(National Science Foundation (NSF)); NOAA Climate and Global Change Postdoctoral Fellowship Program(National Oceanic Atmospheric Admin (NOAA) - USA); Directorate For Geosciences; Division Of Ocean Sciences(National Science Foundation (NSF)NSF - Directorate for Geosciences (GEO))</t>
  </si>
  <si>
    <t>We thank the crews of the BBTRE and DoMORE field campaigns for collecting the observations that motivated this work. We acknowledge funding support from National Science Foundation Awards 1536515, 1736109, and 2149080. This material is based upon work supported by the National Science Foundation Graduate Research Fellowship Program under Grant 174530. Any opinions, findings, and conclusions or recommendations expressed in this material are those of the author(s) and do not necessarily reflect the views of the National Science Foundation. This research is also supported by the NOAA Climate and Global Change Postdoctoral Fellowship Program, administered by UCAR's Cooperative Programs for the Advancement of Earth System Science (CPAESS) under Award NA18NWS4620043B.</t>
  </si>
  <si>
    <t>10.1175/JPO-D-22-0009.1</t>
  </si>
  <si>
    <t>WOS:000913390900017</t>
  </si>
  <si>
    <t>Waterhouse, AF; Hennon, T; Kunze, E; MacKinnon, JA; Alford, MH; Pinkel, R; Simmons, H; Whalen, CB; Fine, EC; Klymak, J; Hummon, JM</t>
  </si>
  <si>
    <t>Waterhouse, Amy F.; Hennon, Tyler; Kunze, Eric; MacKinnon, Jennifer A.; Alford, Matthew H.; Pinkel, Robert; Simmons, Harper; Whalen, Caitlin B.; Fine, Elizabeth C.; Klymak, Jody; Hummon, Julia M.</t>
  </si>
  <si>
    <t>Global Observations of Rotary-with-Depth Shear Spectra</t>
  </si>
  <si>
    <t>Internal waves; Shear structure/flows; Spectral analysis/models/distribution</t>
  </si>
  <si>
    <t>ANTARCTIC CIRCUMPOLAR CURRENT; SPACE-TIME SCALES; INTERNAL WAVES; INERTIAL WAVES; TURBULENT DISSIPATION; OCEAN STATE; ENERGY; DEEP; TIDE; VELOCITY</t>
  </si>
  <si>
    <t>Internal waves are predominantly generated by winds, tide-topography interactions, and balanced flow-topography interactions. Observations of vertical shear of horizontal velocity (u(z), y(z)) from lowered acoustic Doppler current profilers (LADCP) profiles conducted during GO-SHIP hydrographic surveys, as well as vessel-mounted sonars, are used to interpret these signals. Vertical directionality of intermediate-wavenumber [lambda(z) similar to O(100) m] internal waves is inferred in this study from rotary-with-depth shears. Total shear variance and vertical asymmetry ratio (Omega), i.e., the normalized difference between downward- and upward-propagating intermediate wavenumber shear variance, where Omega &gt; 0 (&lt;0) indicates excess downgoing (upgoing) shear variance, are calculated for three depth ranges: 200-600 m, 600 m- 1000 mab (meters above bottom), and below 1000 mab. Globally, downgoing (clockwise-with-depth in the Northern Hemisphere) exceeds upgoing ( counterclockwise-with-depth in the Northern Hemisphere) shear variance by 30% in the upper 600 m of the water column (corresponding to the globally averaged asymmetry ratio of &lt;(Omega)over bar&gt; = 0.13), with a near-equal distribution below 600-m depth ((Omega) over bar similar to 0). Downgoing shear variance in the upper water column dominates at all latitudes. There is no statistically significant correlation between the global distribution of Omega and internal wave generation, pointing to an important role for processes that redistribute energy within the internal wave continuum on wavelengths of O(100) m.</t>
  </si>
  <si>
    <t>[Waterhouse, Amy F.; Hennon, Tyler; MacKinnon, Jennifer A.; Alford, Matthew H.; Pinkel, Robert; Fine, Elizabeth C.] Univ Calif San Diego, Scripps Inst Oceanog, La Jolla, CA 92093 USA; [Kunze, Eric] NorthWest Res Associates, Redmond, WA USA; [Simmons, Harper; Whalen, Caitlin B.] Univ Washington, Appl Phys Lab, Seattle, WA 98105 USA; [Klymak, Jody] Univ Victoria, Victoria, BC, Canada; [Hummon, Julia M.] Univ Hawaii Manoa, Honolulu, HI 96822 USA; [Hennon, Tyler] Univ Alaska Fairbanks, Coll Fisheries &amp; Ocean Sci, Fairbanks, AK USA</t>
  </si>
  <si>
    <t>University of California System; University of California San Diego; Scripps Institution of Oceanography; NorthWest Research Associates; University of Washington; University of Washington Seattle; University of Victoria; University of Hawaii System; University of Hawaii Manoa; University of Alaska System; University of Alaska Fairbanks</t>
  </si>
  <si>
    <t>Waterhouse, AF (corresponding author), Univ Calif San Diego, Scripps Inst Oceanog, La Jolla, CA 92093 USA.</t>
  </si>
  <si>
    <t>awaterhouse@ucsd.edu</t>
  </si>
  <si>
    <t>Klymak, Jody/A-3041-2008</t>
  </si>
  <si>
    <t>Klymak, Jody/0000-0003-4612-8600; Hennon, Tyler/0000-0002-0164-943X; MacKinnon, Jennifer/0000-0002-7690-1185</t>
  </si>
  <si>
    <t>Climate Process Team (CPT) on internal wave-driven mixing through NSF [OCE 0968721]; ONR [N00014-18-1-2404, N00014-19-1-2635, N00014-18-1-2423]; NSF [OCE 1850762, OCE 1459173, OCE 1756093]; NASA [80NSSC19K1116]; National Science Foundation; Office of Naval Research</t>
  </si>
  <si>
    <t>Climate Process Team (CPT) on internal wave-driven mixing through NSF; ONR(Office of Naval Research); NSF(National Science Foundation (NSF)); NASA(National Aeronautics &amp; Space Administration (NASA)); National Science Foundation(National Science Foundation (NSF)); Office of Naval Research(Office of Naval Research)</t>
  </si>
  <si>
    <t>AFW and JAM were supported by the Climate Process Team (CPT) on internal wave-driven mixing through NSF OCE 0968721. Additional funding support for AFW came from ONR N00014-18-1-2423. TDH and MHA were supported by ONR N00014-18-1-2404 and N00014-19-1-2635. EK's participation was made possible by NSF OCE 1459173 and OCE 1756093. CBW was supported by NASA 80NSSC19K1116. ECF was supported by NSF OCE 1850762. We are grateful to the MOD engineering group at Scripps Institution of Oceanography for the design, construction, and maintenance the HDSS, in particular Mike Goldin, Tyler Hughen, Mai Bui, Jonathan Ladner, San Nguyen, Spencer Kawamoto, Sara Goheen, and Tony Aja. Operation of the HDSS is overseen by the Shipboard Technical Services Group at Scripps Institution of Oceanography. Development of the HDSS was funded by the National Science Foundation and the Office of Naval Research. The authors thank Sam Kelly, Callum Shakespeare, and Andy Hogg for various helpful discussions over the years. We are grateful to Nicolas Grisouard and an anonymous reviewer for providing helpful and extremely thoughtful feedback. The paper is much improved with their input, and we are grateful for their contribution.</t>
  </si>
  <si>
    <t>10.1175/JPO-D-22-0015.1</t>
  </si>
  <si>
    <t>WOS:000913390900019</t>
  </si>
  <si>
    <t>Pascoe, P; Houghton, M; Jones, HP; Weldrick, C; Trebilco, R; Shaw, J</t>
  </si>
  <si>
    <t>Pascoe, Penelope; Houghton, Melissa; Jones, Holly P.; Weldrick, Christine; Trebilco, Rowan; Shaw, Justine</t>
  </si>
  <si>
    <t>The effect of seabird presence and seasonality on ground-active spider communities across temperate islands</t>
  </si>
  <si>
    <t>Araneae; biodiversity assessment; community composition; invertebrates; island biogeography; seabirds</t>
  </si>
  <si>
    <t>TERRESTRIAL FOOD WEBS; ALLOCHTHONOUS INPUT; DIVERSITY; INVERTEBRATE; DISPERSAL; MARINE; ABUNDANCE; RESPONSES; RICHNESS; HABITAT</t>
  </si>
  <si>
    <t>Seabirds influence island ecosystems through nutrient additions and physical disturbance. These influences can have opposing effects on an island's invertebrate predator populations. Spiders (order: Araneae) are an important predator in many terrestrial island ecosystems, yet little is known about how seabird presence influences spider communities at the intraisland scale, or how they respond to seasonality in seabird colony attendance.We investigated the effects of seabird presence and seasonality on ground-active spider community structure (activity-density, family-level richness, age class, and sex structure) and composition at the family-level across five short-tailed shearwater breeding islands around south-eastern Tasmania, Australia. Using 75 pitfall traps (15 per island), spiders were collected inside, near, and outside seabird colonies on each island, at five different stages of the short-tailed shearwater breeding cycle over a year. Pitfall traps were deployed for a total of 2674 days, capturing 1592 spiders from 26 families with Linyphiidae and Lycosidae the most common. Spider activity-density was generally greater inside than outside seabird colonies, while family-level richness was generally higher outside seabird colonies. For these islands, seabird breeding stage did not affect activity-densities, but there were some seasonal changes in age class and sex structures with more adult males captured during winter. Our results provide some of the first insights into the spatial and temporal influences seabirds have on spider communities. We also provide some of the first records of spider family occurrences for south-eastern Tasmanian islands, which will provide an important baseline for assessing future change.</t>
  </si>
  <si>
    <t>[Pascoe, Penelope] Univ Tasmania, Inst Marine &amp; Antarctic Studies, 20 Castray Esplanade, Battery Point, Tas 7004, Australia; [Houghton, Melissa] Dept Nat Resources &amp; Environm Tasmania, New Town, NSW, Australia; [Jones, Holly P.] Northern Illinois Univ, Biol Sci &amp; Inst Study Environm Sustainabil &amp; Energ, De Kalb, IL USA; [Jones, Holly P.] Univ Tasmania, Australian Antarctic Program Partnership, Hobart, Tas, Australia; [Jones, Holly P.] CSIRO Oceans &amp; Atmosphere, Hobart, Tas, Australia; [Shaw, Justine] Queensland Univ Technol, Sch Biol &amp; Environm Sci, Brisbane, Qld, Australia</t>
  </si>
  <si>
    <t>University of Tasmania; Northern Illinois University; University of Tasmania; Commonwealth Scientific &amp; Industrial Research Organisation (CSIRO); Queensland University of Technology (QUT)</t>
  </si>
  <si>
    <t>Pascoe, P (corresponding author), Univ Tasmania, Inst Marine &amp; Antarctic Studies, 20 Castray Esplanade, Battery Point, Tas 7004, Australia.</t>
  </si>
  <si>
    <t>penelope.pascoe@utas.edu.au</t>
  </si>
  <si>
    <t>Trebilco, Rowan/I-5311-2012; Houghton, Melissa/IZE-8544-2023; Weldrick, Christine/N-2617-2017</t>
  </si>
  <si>
    <t>Trebilco, Rowan/0000-0001-9712-8016; Jones, Holly/0000-0002-5512-9958; Shaw, Justine/0000-0002-9603-2271; Weldrick, Christine/0000-0003-1099-438X; Houghton, Melissa/0000-0001-7256-5711</t>
  </si>
  <si>
    <t>Australian Academy of Science; Ecological Society of Australia Incorporated; National Geographic Society [WW-222R-1]</t>
  </si>
  <si>
    <t>Australian Academy of Science; Ecological Society of Australia Incorporated; National Geographic Society(National Geographic Society)</t>
  </si>
  <si>
    <t>Australian Academy of Science; Ecological Society of Australia Incorporated; National Geographic Society, Grant/Award Number: WW-222R-1</t>
  </si>
  <si>
    <t>e9570</t>
  </si>
  <si>
    <t>10.1002/ece3.9570</t>
  </si>
  <si>
    <t>8A2OS</t>
  </si>
  <si>
    <t>WOS:000916083800001</t>
  </si>
  <si>
    <t>Maslov, VA</t>
  </si>
  <si>
    <t>Maslov, V. A.</t>
  </si>
  <si>
    <t>Precambrian Evolution and the Structure of the Granite-Greenstone Ruker Terrane of the East Antarctic Craton: the Age and Sources of Archean Granitoid Magmatism</t>
  </si>
  <si>
    <t>GEOTECTONICS</t>
  </si>
  <si>
    <t>East Antarctica; tectonic; Archean geochronology; granite-gneiss domes; greenstone belts; TTG associations; riftogenesis; plume-lithospheric interaction</t>
  </si>
  <si>
    <t>PRINCE-CHARLES MOUNTAINS; GEOCHEMICAL CONSTRAINTS; U-PB; TTG; CLASSIFICATION; GEOCHRONOLOGY; ASSOCIATIONS; PROVINCE</t>
  </si>
  <si>
    <t>This paper presents a complex interpretation of structural-petrological studies and new geochemical and isotope-geochronological data on the Paleoarchean metamorphic and metaintrusive rocks of Mts. Rymill and Bloomfield in the northern part of the granite-greenstone Ruker terrane (Prince Charles Mountains, East Antarctica). The detailed sequence of changing Archean tectonomagmatic processes in the northern block of the Ruker area has been revealed and the main stages of tectonic deformations and metamorphism of Precambrian geodynamic evolution are shown, which is a key for the understanding of the geological evolution of the Archean metamorphic complexes of East Antarctica and ancient Earth's regions. The northern part of the Ruker Terrane is composed of the Meso-Neoarchean granite-gneiss domes, which are tectonically framed by fragments of greenstone belt of the metavolcanosedimentary Meso-Neoarchean Menzies Series. The detached blocks or packages of sheets of metavolcanosedimentary sequences are a section of weakly metamorphosed intermediate-felsic sandstones, quartzites, and micaceous schists. An assemblage of rocks spans a significant period from 3.2 to 2.5 Ga. The composition of the Mesoarchean granite-gneiss domes of the Mawson Series (3.2-3.1 Ga) corresponds to those of ancient granitoids, is similar to tonalite-trondhjemite-granodiorite (TTG) complexes, and is comparable with similar associations of ancient cratons of Australia, Canada, and Fennoscandia. The rocks of the Mawson Series are polymetamorphic and a significant part of their recrystallization is related to the Mesoarchean stage of metamorphism, whose end is comparable with the formation of the Meso-Neoarchean blocks of the granite-gneiss association of the TTG dome of similar to 2.8 Ga identified by the author. The age of the striking tectonothermal event of similar to 2.7 Ga is determined by overgrowths of zircons from the TTG gneisses. The Mawson Orthogneiss and TTG gneisses are compared with intraplate A-granitoids and are ascribed to low-Ti high-K Archean granitoids. The geochemistry of the rocks indicates that primary melts of the Meso-Archean Mawson Orthogneiss formed in crust at shallower depths (P &lt; 8-10 kbar) in comparison with Meso-Archean TTG gneisses, whose formation is possibly caused by the increasing thickness of the crust followed by its extension and thinning at a boundary of similar to 2.5 Ga.</t>
  </si>
  <si>
    <t>[Maslov, V. A.] Gramberg All Russian Sci Res Inst Geol &amp; Mineral R, St Petersburg 190121, Russia</t>
  </si>
  <si>
    <t>Maslov, VA (corresponding author), Gramberg All Russian Sci Res Inst Geol &amp; Mineral R, St Petersburg 190121, Russia.</t>
  </si>
  <si>
    <t>massev@gmail.com</t>
  </si>
  <si>
    <t>0016-8521</t>
  </si>
  <si>
    <t>1556-1976</t>
  </si>
  <si>
    <t>GEOTECTONICS+</t>
  </si>
  <si>
    <t>Geotectonics</t>
  </si>
  <si>
    <t>10.1134/S001685212206005X</t>
  </si>
  <si>
    <t>9X0DP</t>
  </si>
  <si>
    <t>WOS:000949446000002</t>
  </si>
  <si>
    <t>Sadai, S; Spector, RA; DeConto, R; Gomez, N</t>
  </si>
  <si>
    <t>Sadai, S.; Spector, R. A.; DeConto, R.; Gomez, N.</t>
  </si>
  <si>
    <t>The Paris Agreement and Climate Justice: Inequitable Impacts of Sea Level Rise Associated With Temperature Targets</t>
  </si>
  <si>
    <t>climate change; climate justice; sea level rise; Paris Agreement</t>
  </si>
  <si>
    <t>ISLAND DEVELOPING STATES; ANTARCTIC ICE-SHEET; SOUTH-PACIFIC; ENVIRONMENTAL JUSTICE; GLOBAL TEMPERATURE; CARIBBEAN ISLAND; GEOGRAPHIC LENS; CARBON-DIOXIDE; EMISSIONS; VULNERABILITY</t>
  </si>
  <si>
    <t>Anthropogenic greenhouse gas emissions are causing unprecedented changes to the climate. In 2015, at the United Nations (UN) Conference of the Parties in Paris, France, countries agreed to limit the global mean temperature (GMT) increase to 2 degrees C above preindustrial levels, and to pursue efforts to limit warming to 1.5 degrees C. Due to the long-term irreversibility of sea level rise (SLR), risks to island and coastal populations are not well encapsulated by the goal of limiting GMT warming by 2100. This review article investigates the climate justice implications of temperature targets in light of our increasing understanding of the spatially variable impact and long temporal commitment to rising seas. In particular we highlight the impact that SLR will have on island states and the role of the Alliance of Small Island States (AOSIS) in UN climate negotiations. As a case study we review dual impacts from the Antarctic Ice Sheet under a changing climate: (a) recent climate and ice sheet modeling shows that Antarctic melt has the potential to cause rapid SLR with a distinct spatial pattern leading to AOSIS nations experiencing SLR at least 11% higher than the global average and up to 33% higher; and (b) future ice sheet melt will result in a negative feedback on GMT, thus delaying temperature rise. When considering these impacts in conjunction, justice concerns associated with the Paris Agreement are exacerbated. Plain Language Summary At the Paris Climate Agreement in 2015, countries adopted a target for stabilizing climate change defined by how the rise in global average air temperature has increased relative to a pre-industrial baseline (1850-1900). Prior research has identified numerous climate justice implications associated with this approach. This study reviews climate justice issues associated with Paris Agreement temperature targets, finding that using air temperature by 2100 as the main metric does not adequately capture other climate risks, particularly sea level rise (SLR) faced by island and coastal communities. We introduce a new climate justice consideration based on the simultaneous impacts of SLR and slowed warming caused by ice loss on Antarctica. Slowed warming might appear to delay the need for climate action, but a focus on end-of-century temperature misses the impacts of long-term accelerating SLR.</t>
  </si>
  <si>
    <t>[Sadai, S.; Spector, R. A.; DeConto, R.] Univ Massachusetts, Amherst, MA 01003 USA; [Sadai, S.] Union Concerned Scientists, Cambridge, MA 02138 USA; [Gomez, N.] McGill Univ, Montreal, PQ, Canada</t>
  </si>
  <si>
    <t>University of Massachusetts System; University of Massachusetts Amherst; McGill University</t>
  </si>
  <si>
    <t>Sadai, S (corresponding author), Univ Massachusetts, Amherst, MA 01003 USA.;Sadai, S (corresponding author), Union Concerned Scientists, Cambridge, MA 02138 USA.</t>
  </si>
  <si>
    <t>ssadai@ucsusa.org</t>
  </si>
  <si>
    <t>Sadai, Shaina/0000-0002-6723-6531</t>
  </si>
  <si>
    <t>NSF [1664013, 2035080, 1443347]; NASA Sea Level change Team [80NSSC17K0698]; ICER; Directorate For Geosciences [1664013] Funding Source: National Science Foundation; Office of Polar Programs (OPP); Directorate For Geosciences [2035080] Funding Source: National Science Foundation; Office of Polar Programs (OPP); Directorate For Geosciences [1443347] Funding Source: National Science Foundation</t>
  </si>
  <si>
    <t>NSF(National Science Foundation (NSF)); NASA Sea Level change Team; ICER;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</si>
  <si>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Thank you to Natalya Gomez and Jeremy Roffman for providing data for the sea level rise fingerprints. Thank you to Talea L. Mayo and two anonymous reviewers for their valuable and insightful feedback which significantly improved our manuscript. Thank you to Mara Freilich, Eve Vogel, Ambarish Karmalkar, Ed Gasson, and Ruthie Halberstadt for helpful comments on paper drafts. Thank you to Becky Seifried and Forrest Bowlick for assistance with GIS. This research was supported by the NSF under awards 1664013, 2035080, and 1443347, and by a grant to the NASA Sea Level change Team 80NSSC17K0698.</t>
  </si>
  <si>
    <t>e2022EF002940</t>
  </si>
  <si>
    <t>10.1029/2022EF002940</t>
  </si>
  <si>
    <t>8N3NZ</t>
  </si>
  <si>
    <t>WOS:000925057500001</t>
  </si>
  <si>
    <t>Ring, SJ; Mutz, SG; Ehlers, TA</t>
  </si>
  <si>
    <t>Ring, S. J.; Mutz, S. G.; Ehlers, T. A.</t>
  </si>
  <si>
    <t>Cenozoic Proxy Constraints on Earth System Sensitivity to Greenhouse Gases</t>
  </si>
  <si>
    <t>DEPENDENT CLIMATE SENSITIVITY; SEA-SURFACE TEMPERATURE; ANTARCTIC GLACIATION; COEXISTENCE APPROACH; ICE SHEETS; EVOLUTION; CO2; CALIBRATION; MARINE; RECORD</t>
  </si>
  <si>
    <t>The long-term extent of the Earth system response to anthropogenic interference remains uncertain. However, the geologic record offers insights into this problem as Earth has previously cycled between warm and cold intervals during the Phanerozoic. We present an updated compilation of surface temperature proxies for several key time intervals to reconstruct global temperature changes during the Cenozoic. Our data synthesis indicates that Earth's surface slowly cooled by ca. 9 degrees C during the early Paleogene to late Neogene and that continent-scale ice sheets developed after global temperature dropped to less than 10 degrees C above preindustrial conditions. Slow cooling contrasts with the steep decrease in combined radiative forcing from past CO2 concentrations, solar luminosity, and ocean area, which was close to preindustrial levels even as Earth remained in a much warmer state. From this, we infer that the Earth system was less sensitive to greenhouse gas forcing for most of the Cenozoic and that sensitivity must have increased by at least a factor of 2 during the Plio-Pleistocene. Our results imply that slow feedbacks will raise global surface temperatures by more than 3 degrees C in the coming millennia, even if anthropogenic forcing is stabilized at the present-day value (2 W/m(2)), and that their impact will diminish with further warming.</t>
  </si>
  <si>
    <t>[Ring, S. J.; Mutz, S. G.; Ehlers, T. A.] Univ Tubingen, Dept Geosci, Tubingen, Germany; [Ring, S. J.] Deutsch GeoForschungsZentrum GFZ, Sect Earth Surface Geochem 3 3, Potsdam, Germany</t>
  </si>
  <si>
    <t>Eberhard Karls University of Tubingen; Helmholtz Association; Helmholtz-Center Potsdam GFZ German Research Center for Geosciences</t>
  </si>
  <si>
    <t>Ehlers, TA (corresponding author), Univ Tubingen, Dept Geosci, Tubingen, Germany.</t>
  </si>
  <si>
    <t>todd.ehlers@uni-tuebingen.de</t>
  </si>
  <si>
    <t>Ring, Simon J./0000-0002-2645-185X; Ehlers, Todd/0000-0001-9436-0303; Mutz, Sebastian Gerhard/0000-0001-8180-6150</t>
  </si>
  <si>
    <t>German Science Foundation priority program EarthShape: Earth Surface Shaping by Biota [1801, EH329/14-2, EH329/23-1, MU4188/3-1, MU4188/1-1]; Open Access Publishing Fund of the University of Tubingen; Projekt DEAL</t>
  </si>
  <si>
    <t>German Science Foundation priority program EarthShape: Earth Surface Shaping by Biota; Open Access Publishing Fund of the University of Tubingen; Projekt DEAL</t>
  </si>
  <si>
    <t>Michael J. Henehan and Zhengfei Guo are thanked for useful discussion on the manuscript. We also thank the four anonymous reviewers and Matthew Huber for constructive comments. This study was partially supported by the German Science Foundation priority program EarthShape: Earth Surface Shaping by Biota (SPP, 1801) Grants EH329/14-2 and EH329/23-1 to T.A.E and MU4188/3-1 and MU4188/1-1 to S.G.M. We also acknowledge support from the Open Access Publishing Fund of the University of Tubingen. Open Access funding enabled and organized by Projekt DEAL.</t>
  </si>
  <si>
    <t>e2021PA004364</t>
  </si>
  <si>
    <t>10.1029/2021PA004364</t>
  </si>
  <si>
    <t>8M6NL</t>
  </si>
  <si>
    <t>WOS:000924578900001</t>
  </si>
  <si>
    <t>Rohling, EJ; Foster, GL; Gernon, TM; Grant, KM; Heslop, D; Hibbert, FD; Roberts, AP; Yu, JM</t>
  </si>
  <si>
    <t>Rohling, Eelco J.; Foster, Gavin L.; Gernon, Thomas M.; Grant, Katharine M.; Heslop, David; Hibbert, Fiona D.; Roberts, Andrew P.; Yu, Jimin</t>
  </si>
  <si>
    <t>Comparison and Synthesis of Sea-Level and Deep-Sea Temperature Variations Over the Past 40 Million Years</t>
  </si>
  <si>
    <t>REVIEWS OF GEOPHYSICS</t>
  </si>
  <si>
    <t>sea level; ice volume; temperature; synthesis; last 40 million years</t>
  </si>
  <si>
    <t>ANTARCTIC ICE-SHEET; LAST INTERGLACIAL PERIOD; GREAT-BARRIER-REEF; GLACIAL ISOSTATIC-ADJUSTMENT; MIDDLE PLEISTOCENE TRANSITION; CLUMPED-ISOTOPE GEOCHEMISTRY; EOCENE-OLIGOCENE TRANSITION; HOUTMAN-ABROLHOS ISLANDS; NORTH-ATLANTIC OCEAN; MELTWATER PULSE 1B</t>
  </si>
  <si>
    <t>Global ice volume (sea level) and deep-sea temperature are key measures of Earth's climatic state. We synthesize evidence for multi-centennial to millennial ice-volume and deep-sea temperature variations over the past 40 million years, which encompass the early glaciation of Antarctica at similar to 34 million years ago (Ma), the end of the Middle Miocene Climate Optimum, and the descent into bipolar glaciation from similar to 3.4 Ma. We compare different sea-level and deep-water temperature reconstructions to build a resource for validating long-term numerical model-based approaches. We present: (a) a new template synthesis of ice-volume and deep-sea temperature variations for the past 5.3 million years; (b) an extended template for the interval between 5.3 and 40 Ma; and (c) a discussion of uncertainties and limitations. We highlight key issues associated with glacial state changes in the geological record from 40 Ma to present that require attention in further research. These include offsets between calibration-sensitive versus thermodynamically guided deep-sea paleothermometry proxy measurements; a conundrum related to the magnitudes of sea-level and deep-sea temperature change at the Eocene-Oligocene transition at 34 Ma; a discrepancy in deep-sea temperature levels during the Middle Miocene; and a hitherto unquantified non-linear reduction of glacial deep-sea temperatures through the past 3.4 million years toward a near-freezing deep-sea temperature asymptote, while sea level stepped down in a more uniform manner. Uncertainties in proxy-based reconstructions hinder further distinction of reality among reconstructions. It seems more promising to further narrow this using three-dimensional ice-sheet models with realistic ice-climate-ocean-topography-lithosphere coupling, as computational capacities improve. Plain Language Summary Global ice volume (hence, sea level) and deep-sea temperature are important measures of Earth's climatic state. To better understand Earth's climate cycles in response to its orbitally driven insolation cycles, we evaluate and synthesize evidence for ice-volume (sea-level) and deep-sea temperature variations at multi-centennial to millennial resolution throughout the last 40 million years. These last 40 million years encompass the major build-up of Antarctic glaciation from about 34 million years ago, and development of extensive Northern Hemisphere ice sheets from about 3.4 million years ago. We present a new template synthesis of ice-volume (sea-level) and deep-sea temperature for the past 5.3 million years, with extension through the interval between 5.3 and 40 Ma with wider uncertainties. We also highlight a number of remaining questions about major climate transitions, including the early glaciation history of Antarctica, the end of the so-called Middle Miocene Climate Optimum from about similar to 14.5 Ma, and the descent over the past several million years into conditions with extensive ice-age maxima in both hemispheres.</t>
  </si>
  <si>
    <t>[Rohling, Eelco J.; Grant, Katharine M.; Heslop, David; Roberts, Andrew P.; Yu, Jimin] Australian Natl Univ, Res Sch Earth Sci, Canberra, ACT, Australia; [Rohling, Eelco J.; Foster, Gavin L.; Gernon, Thomas M.] Univ Southampton, Ocean &amp; Earth Sci, Natl Oceanog Ctr, Southampton, Hants, England; [Hibbert, Fiona D.] Univ York, Dept Environm &amp; Geog, York, N Yorkshire, England; [Yu, Jimin] Ctr Marine Carbon Cycle Res, Laoshan Lab, Qingdao, Peoples R China</t>
  </si>
  <si>
    <t>Australian National University; NERC National Oceanography Centre; University of Southampton; University of York - UK; Laoshan Laboratory</t>
  </si>
  <si>
    <t>Rohling, EJ (corresponding author), Australian Natl Univ, Res Sch Earth Sci, Canberra, ACT, Australia.;Rohling, EJ (corresponding author), Univ Southampton, Ocean &amp; Earth Sci, Natl Oceanog Ctr, Southampton, Hants, England.</t>
  </si>
  <si>
    <t>eelco.rohling@anu.edu.au</t>
  </si>
  <si>
    <t>Roberts, Andrew P/E-6422-2010; Foster, Gavin/W-5968-2019; Hibbert, Fiona/ABA-8606-2021; Gernon, Thomas M/D-7570-2012; rohling, eelco/B-9736-2008; Yu, Jimin/I-7770-2012</t>
  </si>
  <si>
    <t>Hibbert, Fiona/0000-0002-3686-6514; rohling, eelco/0000-0001-5349-2158; Foster, Gavin/0000-0003-3688-9668; Roberts, Andrew P./0000-0003-0566-8117; Yu, Jimin/0000-0002-3896-1777</t>
  </si>
  <si>
    <t>Australian Research Council [DP200101157, SR200100008]; ARC Australian Centre for Excellence in Antarctic Science; Australian Research Council [SR200100008, DP200101157] Funding Source: Australian Research Council</t>
  </si>
  <si>
    <t>Australian Research Council(Australian Research Council); ARC Australian Centre for Excellence in Antarctic Science(Australian Research Council); Australian Research Council(Australian Research Council)</t>
  </si>
  <si>
    <t>This study was supported by Australian Research Council Discovery Project DP200101157 (E.J.R., G.L.F., and D.H.) and SR200100008, the ARC Australian Centre for Excellence in Antarctic Science (E.J.R. and D.H.). We thank Brad Opdyke for critical discussions. R scripts for the process model are available via links listed following reference Rohling et al. (2021) at http://www.highstand.org/erohling/ejrhome.htm%232021.Open access publishing facilitated by Australian National University, as part of the Wiley Australian National University agreement via the Council of Australian University Librarians.</t>
  </si>
  <si>
    <t>8755-1209</t>
  </si>
  <si>
    <t>1944-9208</t>
  </si>
  <si>
    <t>REV GEOPHYS</t>
  </si>
  <si>
    <t>Rev. Geophys.</t>
  </si>
  <si>
    <t>e2022RG000775</t>
  </si>
  <si>
    <t>10.1029/2022RG000775</t>
  </si>
  <si>
    <t>8M5ZI</t>
  </si>
  <si>
    <t>WOS:000924542200001</t>
  </si>
  <si>
    <t>Alekseeva, TA; Sokolova, JV; Afanasyeva, EV; Tikhonov, VV; Raev, MD; Sharkov, EA; Kovalev, SM; Smolyanitsky, VM</t>
  </si>
  <si>
    <t>Alekseeva, T. A.; Sokolova, J. V.; Afanasyeva, E. V.; Tikhonov, V. V.; Raev, M. D.; Sharkov, E. A.; Kovalev, S. M.; Smolyanitsky, V. M.</t>
  </si>
  <si>
    <t>The Contribution of Sea-Ice Contamination to Inaccuracies in Sea-Ice Concentration Retrieval from Satellite Microwave Radiometry Data during the Ice-Melt Period</t>
  </si>
  <si>
    <t>IZVESTIYA ATMOSPHERIC AND OCEANIC PHYSICS</t>
  </si>
  <si>
    <t>Arctic Ocean; satellite microwave radiometry; fast ice; ice destruction; ice contamination</t>
  </si>
  <si>
    <t>ALGORITHMS</t>
  </si>
  <si>
    <t>Sea-ice concentrations retrieved from satellite microwave radiometry data are influenced by many natural factors. In the work we consider sea-ice contamination. The values of sea-ice concentration derived with the use of the ASI, TUD, OSI-401-b, BT, NT, and CDR algorithms are analyzed on the example of fast ice in the East Siberian Sea. These algorithms are chosen because they are available for open access and are commonly used in scientific research. All of the algorithms return lower ice concentrations in contaminated ice as compared to clean ice during the active ice-melt period, from late May to early July. The ASI and TUD are the two most sensitive to sea-ice contamination, which is due to the high-frequency channels, 85-91 GHz, used in them.</t>
  </si>
  <si>
    <t>[Alekseeva, T. A.; Sokolova, J. V.; Afanasyeva, E. V.; Kovalev, S. M.; Smolyanitsky, V. M.] Arctic &amp; Antarctic Res Inst, St Petersburg, Russia; [Alekseeva, T. A.; Sokolova, J. V.; Afanasyeva, E. V.; Tikhonov, V. V.; Raev, M. D.; Sharkov, E. A.] Russian Acad Sci, Space Res Inst, Moscow, Russia; [Tikhonov, V. V.] Inst Water &amp; Environm Problems, Russian Acad Sci, Siberian Branch, Barnaul, Russia</t>
  </si>
  <si>
    <t>Arctic &amp; Antarctic Research Institute; Russian Academy of Sciences; Space Research Institute of the Russian Academy of Sciences; Russian Academy of Sciences; Institute for Water &amp; Environmental Problems, Siberian Branch of the Russian Academy of Sciences</t>
  </si>
  <si>
    <t>Alekseeva, TA (corresponding author), Arctic &amp; Antarctic Res Inst, St Petersburg, Russia.;Alekseeva, TA (corresponding author), Russian Acad Sci, Space Res Inst, Moscow, Russia.</t>
  </si>
  <si>
    <t>taa@aari.ru</t>
  </si>
  <si>
    <t>Afanasyeva, Ekaterina/ABI-2167-2020; Alekseeva, Tatiana/K-5879-2015</t>
  </si>
  <si>
    <t>Afanasyeva, Ekaterina/0000-0002-3005-4961; Alekseeva, Tatiana/0000-0002-1575-8784</t>
  </si>
  <si>
    <t>MONITORING theme [122042500031-8]</t>
  </si>
  <si>
    <t>MONITORING theme</t>
  </si>
  <si>
    <t>The work was supported within the MONITORING theme (state record no. 122042500031-8).</t>
  </si>
  <si>
    <t>0001-4338</t>
  </si>
  <si>
    <t>1555-628X</t>
  </si>
  <si>
    <t>IZV ATMOS OCEAN PHY+</t>
  </si>
  <si>
    <t>Izv. Atmos. Ocean. Phys.</t>
  </si>
  <si>
    <t>10.1134/S0001433822120039</t>
  </si>
  <si>
    <t>9W1JX</t>
  </si>
  <si>
    <t>WOS:000948838000005</t>
  </si>
  <si>
    <t>Tikhonov, VV; Khvostov, IV; Alekseeva, TA; Romanov, AN; Afanasyeva, EV; Sokolova, JV; Sharkov, EA; Boyarskii, DA; Komarova, NY</t>
  </si>
  <si>
    <t>Tikhonov, V. V.; Khvostov, I. V.; Alekseeva, T. A.; Romanov, A. N.; Afanasyeva, E. V.; Sokolova, J. V.; Sharkov, E. A.; Boyarskii, D. A.; Komarova, N. Yu.</t>
  </si>
  <si>
    <t>Analysis of the Winter Hydrological Regime of the Yenisei, Pechora, and Khatanga Estuaries Using SMOS Data</t>
  </si>
  <si>
    <t>SMOS; brightness temperature; estuary; ice cover; water; hydrological regime; water mixing salinity; ice melt</t>
  </si>
  <si>
    <t>GULF</t>
  </si>
  <si>
    <t>Analysis of seasonal and interannual variations of the brightness temperature of the Yenisei, Pechora, and Khatanga estuaries is performed using the SMOS (Soil Moisture and Ocean Salinity) satellite MIRAS (Microwave Imaging Radiometer using Aperture Synthesis) data for the period 2012-2020. It is shown that during the freezing period, with low river flow, Khatanga and Pechora bays are strongly influenced by the salty waters of the Laptev Sea and the Pechora Sea, respectively. In Yenisei Bay, the analysis reveals two characteristic areas for the winter period, delimited by a narrow strait between Sopochnaya Karga and Oshmarin capes. In the southern part of the bay, the water remains fresh or slightly salty, while in the northern part (north of the Sopochnaya Karga post), the water is always brackish, as this is the mixing zone of the fresh water of the Yenisei River and the salty water of the Kara Sea. The sea areas adjacent to the Yenisei and Pechora estuaries (the Kara Sea and Pechora Sea, respectively) are dynamic zones with brackish or salty water and constantly breaking ice under the influence of hydrological and climatic factors. The results show that SMOS MIRAS data can be used to estimate water salinity and movement of the transition zone under the ice in large bays and estuaries; to analyze the stability and dynamics of the Arctic sea-ice cover; and to determine the beginning of ice melt in large sea and freshwater areas.</t>
  </si>
  <si>
    <t>[Tikhonov, V. V.; Alekseeva, T. A.; Afanasyeva, E. V.; Sokolova, J. V.; Sharkov, E. A.; Boyarskii, D. A.; Komarova, N. Yu.] Russian Acad Sci, Space Res Inst, Moscow, Russia; [Tikhonov, V. V.; Khvostov, I. V.; Romanov, A. N.] Russian Acad Sci, Inst Water &amp; Environm Problems, Siberian Branch, Barnaul, Russia; [Alekseeva, T. A.; Afanasyeva, E. V.; Sokolova, J. V.] Arctic &amp; Antarctic Res Inst, St Petersburg, Russia</t>
  </si>
  <si>
    <t>Russian Academy of Sciences; Space Research Institute of the Russian Academy of Sciences; Institute for Water &amp; Environmental Problems, Siberian Branch of the Russian Academy of Sciences; Russian Academy of Sciences; Arctic &amp; Antarctic Research Institute</t>
  </si>
  <si>
    <t>Tikhonov, VV (corresponding author), Russian Acad Sci, Space Res Inst, Moscow, Russia.;Tikhonov, VV (corresponding author), Russian Acad Sci, Inst Water &amp; Environm Problems, Siberian Branch, Barnaul, Russia.</t>
  </si>
  <si>
    <t>vtikhonov@asp.iki.rssi.ru</t>
  </si>
  <si>
    <t>Khvostov, Ilya V/F-4834-2017; Afanasyeva, Ekaterina/ABI-2167-2020; Alekseeva, Tatiana/K-5879-2015</t>
  </si>
  <si>
    <t>Khvostov, Ilya V/0000-0003-3239-9426; Afanasyeva, Ekaterina/0000-0002-3005-4961; Alekseeva, Tatiana/0000-0002-1575-8784</t>
  </si>
  <si>
    <t>Russian Foundation for Basic Research [20-05-00198a, 122042500031-8]</t>
  </si>
  <si>
    <t>Russian Foundation for Basic Research(Russian Foundation for Basic Research (RFBR)Spanish Government)</t>
  </si>
  <si>
    <t>ACKNOWLEDGMENTSThe study was supported by the Russian Foundation for Basic Research (project no. 20-05-00198a) (V.V. Tikhonov, I.V. Khvostov, A.N. Romanov, N.Yu. Komarova), as well as the subject Monitoring (state registration no. 122042500031-8) (T.A. Alekseeva, J.V. Sokolova, E.V. Afanasyeva, E.A. Sharkov, D.A. Boyarskii).</t>
  </si>
  <si>
    <t>10.1134/S0001433822120234</t>
  </si>
  <si>
    <t>WOS:000948838000009</t>
  </si>
  <si>
    <t>Lutikov, AI; Gabsatarova, IP; Dontsova, GY; Zhukovets, VN</t>
  </si>
  <si>
    <t>Lutikov, A. I.; Gabsatarova, I. P.; Dontsova, G. Yu.; Zhukovets, V. N.</t>
  </si>
  <si>
    <t>The Strong Earthquake of August 12, 2021, MW=8.3, near the Southern Sandwich Islands and Its Geodynamic Settings</t>
  </si>
  <si>
    <t>South Sandwich microplate; seismic activity; aftershock sequence; focal mechanism; seismic moment tensor</t>
  </si>
  <si>
    <t>SCOTIA; TECTONICS; ZONES</t>
  </si>
  <si>
    <t>One of the strongest earthquakes on August 12, 2021, M-W = 8.3, near the South Sandwich Islands, where the South Sandwich Microplate is distinguished, often considered in conjunction with the Scotia Microplate, is considered. It has been established that the territory of the South Sandwich Microplate is characterized by extremely high seismic activity, the maximum values being A(4.5) approximate to 3.5-3.7. The highest, A(4.5) &gt;= 1.0, are in the South Sandwich Islands, the eastern part of the North Scotia Range, along which the Sandwich Microplate borders the South American Plate, and, to a lesser extent, the eastern part of the South Scotia Range, along which the Sandwich Microplate borders the Antarctic Plate. The western boundary of the microplate with the Scotia Plate does not manifest itself in any way in terms of the noticeable A(4.5) values recorded here. The aftershock field of the 1st day indicates that the earthquake source is elongated sub longitude, and its length is estimated as approximately 370-380 km. The nature of the aftershock process partially conform obeys the universal laws of Omori and Bath. The regular stage period of 12 days and the decay rate of the number of aftershocks p = 1.2 are comparable with similar parameters obtained earlier for a series of strong earthquakes with M-W = 8.0-8.3 in the areas of Sumbawa Island of August 19, 1977; Macquarie Islands of May 23, 1989; and Balleny Islands of March 25, 1998. The strongest aftershock of the earthquake of August 12, 2021, M-W = 8.3, was the aftershock that occurred on August 22, 2021 at 21:03, M-W = 7.1; thus, the magnitude difference is increment M = 1.2.</t>
  </si>
  <si>
    <t>[Lutikov, A. I.; Dontsova, G. Yu.; Zhukovets, V. N.] Russian Acad Sci, Schmidt Inst Phys Earth, Moscow, Russia; [Lutikov, A. I.; Gabsatarova, I. P.; Dontsova, G. Yu.] Russian Acad Sci, Geophys Survey, Obninsk, Russia</t>
  </si>
  <si>
    <t>Russian Academy of Sciences; Schmidt Institute of Physics of the Earth of the Russian Academy of Sciences; Russian Academy of Sciences; Geophysical Survey of the Russian Academy of Sciences</t>
  </si>
  <si>
    <t>Lutikov, AI (corresponding author), Russian Acad Sci, Schmidt Inst Phys Earth, Moscow, Russia.;Lutikov, AI (corresponding author), Russian Acad Sci, Geophys Survey, Obninsk, Russia.</t>
  </si>
  <si>
    <t>ail@ifz.ru; ira@gsras.ru; donzova@ifz.ru; zhukovec.viktor@physics.msu.ru</t>
  </si>
  <si>
    <t>Gabsatarova, Irina/J-4141-2018</t>
  </si>
  <si>
    <t>SUPPL 1</t>
  </si>
  <si>
    <t>S62</t>
  </si>
  <si>
    <t>S77</t>
  </si>
  <si>
    <t>10.1134/S0001433822130059</t>
  </si>
  <si>
    <t>A0EZ0</t>
  </si>
  <si>
    <t>WOS:000951957500007</t>
  </si>
  <si>
    <t>Makarov, AS; Mironov, EU; Ivanov, VV; Yulin, AV</t>
  </si>
  <si>
    <t>Makarov, A. S.; Mironov, E. U.; Ivanov, V. V.; Yulin, A. V.</t>
  </si>
  <si>
    <t>Ice Conditions of the Russian Arctic Sea in Connection with the Occurring Climate Changes and Peculiarities of the Ice Cover Evolution in 2021</t>
  </si>
  <si>
    <t>OCEANOLOGY</t>
  </si>
  <si>
    <t>ice cover; Arctic Ocean; ice coverage; Russian Arctic seas; atmospheric processes; atmospheric circulation forms</t>
  </si>
  <si>
    <t>The multiyear variability of ice conditions in the Russian Arctic seas and the ice area of the Arctic Ocean (AO) is analyzed. It is shown that the ice conditions of the Russian Arctic seas are largely determined by large-scale atmospheric processes and the development of ice cover in the AO. It is shown that there are significant changes in the nature of the variability of the ice coverage of the Russian Arctic seas, which make it possible to distinguish two different periods: 1946-2004 and 2005-2021. It is found that in the past 17-year period, the frequency of complete cleansing of the water area of the Russian Arctic seas has significantly increased compared to previous periods.</t>
  </si>
  <si>
    <t>[Makarov, A. S.; Mironov, E. U.; Ivanov, V. V.; Yulin, A. V.] Arctic &amp; Antarctic Res Inst, St Petersburg, Russia</t>
  </si>
  <si>
    <t>Makarov, AS; Mironov, EU; Ivanov, VV; Yulin, AV (corresponding author), Arctic &amp; Antarctic Res Inst, St Petersburg, Russia.</t>
  </si>
  <si>
    <t>makarov@aari.ru; mir@aari.ru; v_ivanov@aari.ru; icefor@aari.ru</t>
  </si>
  <si>
    <t>Makarov, Andrei/F-3285-2019; Mironov, Yevgeny Uarovich/ADV-4713-2022</t>
  </si>
  <si>
    <t>Mironov, Yevgeny Uarovich/0000-0001-8390-8011</t>
  </si>
  <si>
    <t>0001-4370</t>
  </si>
  <si>
    <t>1531-8508</t>
  </si>
  <si>
    <t>OCEANOLOGY+</t>
  </si>
  <si>
    <t>Oceanology</t>
  </si>
  <si>
    <t>10.1134/S0001437022050125</t>
  </si>
  <si>
    <t>9L2NT</t>
  </si>
  <si>
    <t>WOS:000941392000001</t>
  </si>
  <si>
    <t>Molodtsova, TN; Minin, KV; Kolbasova, GD; Syomin, VL; Neretin, NY; Mishin, AV; Mikhailov, DN; Morozov, EG</t>
  </si>
  <si>
    <t>Molodtsova, T. N.; Minin, K. V.; Kolbasova, G. D.; Syomin, V. L.; Neretin, N. Yu.; Mishin, A. V.; Mikhailov, D. N.; Morozov, E. G.</t>
  </si>
  <si>
    <t>Studies of Benthic Fauna within the Project Assessment of the Current State of Environmental Systems in the Atlantic Sector of the Southern Ocean and Their Periodic Variability</t>
  </si>
  <si>
    <t>Antarctic; Bransfield Strait; Weddell Sea; Powell Basin; Laurie Trough; South Orkney Trough; benthic fauna</t>
  </si>
  <si>
    <t>Studies of the benthic fauna in the Atlantic sector of the Antarctic within the Project were carried out on the 87th cruise of the RV Akademik Mstislav Keldysh (January 19-February 14, 2022) in the Bransfield Strait, the Powell Basin of the Weddell Sea, and the Orkney and Laurie Troughs. At 11 stations in the depth range of 362-5490 m, eight Sigsbee trawls and three box corer were taken, and visual observations were made on two phototransects using the AUV MMT-3500. New data were obtained on the biodiversity and community structure of the benthic communities.</t>
  </si>
  <si>
    <t>[Molodtsova, T. N.; Minin, K. V.; Syomin, V. L.; Mishin, A. V.; Morozov, E. G.] Russian Acad Sci, Shirshov Inst Oceanol, Moscow 117997, Russia; [Kolbasova, G. D.; Neretin, N. Yu.] Lomonosov Moscow State Univ, Dept Biol, White Sea Biol Stn, Moscow 119991, Russia; [Mikhailov, D. N.] Russian Acad Sci, Inst Marine Technol Problems, Far Eastern Branch, Vladivostok 690091, Russia</t>
  </si>
  <si>
    <t>Russian Academy of Sciences; Shirshov Institute of Oceanology; Lomonosov Moscow State University; Institute of Marine Technology Problems, Far Eastern Branch of the Russian Academy of Sciences; Russian Academy of Sciences</t>
  </si>
  <si>
    <t>Molodtsova, TN (corresponding author), Russian Acad Sci, Shirshov Inst Oceanol, Moscow 117997, Russia.</t>
  </si>
  <si>
    <t>tina@ocean.ru</t>
  </si>
  <si>
    <t>Morozov, Eugene G/L-3023-2018; Kolbasova, Glafira D./N-3824-2016; Molodtsova, Tina/E-1838-2015</t>
  </si>
  <si>
    <t>Molodtsova, Tina/0000-0001-7171-6952</t>
  </si>
  <si>
    <t>Russian Foundation for Basic [FMWE-2022-0001]; [20-08-2000246]</t>
  </si>
  <si>
    <t>Russian Foundation for Basic(Russian Foundation for Basic Research (RFBR));</t>
  </si>
  <si>
    <t>This work was carried out within the framework of the State Assignment no. FMWE-2022-0001. Measurements ofthe temperature, salinity, and currents at the sampling loca-tions were supported by the grant of the Russian Foundation for Basic Research no. 20-08-2000246. The expedition was carried out with targeted financial support from the Ministry of Science and Higher Education of the Russian Federation.</t>
  </si>
  <si>
    <t>10.1134/S000143702206008X</t>
  </si>
  <si>
    <t>WOS:000941392000020</t>
  </si>
  <si>
    <t>Wang, YC; Prohaska, A; Dong, HR; Alberti, A; Alsos, IG; Beilman, DW; Bjork, AA; Cao, J; Cherezova, AA; Coissac, E; De Sanctis, B; Denoeud, F; Dockter, C; Durbin, R; Edwards, ME; Edwards, NR; Esdale, J; Fedorov, GB; Fernandez-Guerra, A; Froese, DG; Gusarova, G; Haile, J; Holden, PB; Kjeldsen, KK; Kjær, KH; Korneliussen, TS; Lammers, Y; Larsen, NK; Macleod, R; Mangerud, J; McColl, H; Merkel, MKF; Money, D; Möller, P; Nogués-Bravo, D; Orlando, L; Owens, HL; Pedersen, MW; Racimo, F; Rahbek, C; Rasic, JT; Rouillard, A; Ruter, AH; Skadhauge, B; Svendsen, JI; Tikhonov, A; Vinner, L; Wincker, P; Xing, YC; Zhang, YB; Meltzer, DJ; Willerslev, E</t>
  </si>
  <si>
    <t>Wang, Yucheng; Prohaska, Ana; Dong, Haoran; Alberti, Adriana; Alsos, Inger Greve; Beilman, David W.; Bjork, Anders A.; Cao, Jialu; Cherezova, Anna A.; Coissac, Eric; De Sanctis, Bianca; Denoeud, France; Dockter, Christoph; Durbin, Richard; Edwards, Mary E.; Edwards, Neil R.; Esdale, Julie; Fedorov, Grigory B.; Fernandez-Guerra, Antonio; Froese, Duane G.; Gusarova, Galina; Haile, James; Holden, Philip B.; Kjeldsen, Kristian K.; Kjaer, Kurt H.; Korneliussen, Thorfinn Sand; Lammers, Youri; Larsen, Nicolaj Krog; Macleod, Ruairidh; Mangerud, Jan; McColl, Hugh; Merkel, Marie Kristine Foreid; Money, Daniel; Moller, Per; Nogues-Bravo, David; Orlando, Ludovic; Owens, Hannah Lois; Pedersen, Mikkel Winther; Racimo, Fernando; Rahbek, Carsten; Rasic, Jeffrey T.; Rouillard, Alexandra; Ruter, Anthony H.; Skadhauge, Birgitte; Svendsen, John Inge; Tikhonov, Alexei; Vinner, Lasse; Wincker, Patrick; Xing, Yingchun; Zhang, Yubin; Meltzer, David J.; Willerslev, Eske</t>
  </si>
  <si>
    <t>Reply to: When did mammoths go extinct?</t>
  </si>
  <si>
    <t>NATURE</t>
  </si>
  <si>
    <t>Letter</t>
  </si>
  <si>
    <t>ISLAND; DNA</t>
  </si>
  <si>
    <t>[Wang, Yucheng; De Sanctis, Bianca; Macleod, Ruairidh; Money, Daniel; Willerslev, Eske] Univ Cambridge, Dept Zool, Cambridge, England; [Wang, Yucheng; Prohaska, Ana; Cao, Jialu; Fernandez-Guerra, Antonio; Haile, James; Kjaer, Kurt H.; Korneliussen, Thorfinn Sand; Larsen, Nicolaj Krog; Macleod, Ruairidh; McColl, Hugh; Pedersen, Mikkel Winther; Racimo, Fernando; Rouillard, Alexandra; Ruter, Anthony H.; Vinner, Lasse; Meltzer, David J.; Willerslev, Eske] Univ Copenhagen, Globe Inst, Lundbeck Fdn GeoGenet Ctr, Copenhagen, Denmark; [Wang, Yucheng] Chinese Acad Sci, ALPHA, State Key Lab Tibetan Plateau Earth Syst Environm, Inst Tibetan Plateau Res ITPCAS, Beijing, Peoples R China; [Dong, Haoran] Lanzhou Univ, Coll Earth &amp; Environm Sci, Key Lab Western Chinas Environm Syst, Minist Educ, Lanzhou, Peoples R China; [Alberti, Adriana; Denoeud, France; Wincker, Patrick] Univ Paris Saclay, Univ Evry, Inst Francois Jacob, Genom Metab,Genoscope,CEA,CNRS, Evry, France; [Alberti, Adriana] Univ Paris Saclay, CNRS, CEA, Inst Integrat Biol Cell, Gif Sur Yvette, France; [Alsos, Inger Greve; Coissac, Eric; Gusarova, Galina; Lammers, Youri] UiT The Arctic Univ Norway, Arctic Univ Museum Norway, Tromso, Norway; [Beilman, David W.] Univ Hawaii, Dept Geog &amp; Environm, Honolulu, HI USA; [Bjork, Anders A.] Univ Copenhagen, Dept Geosci &amp; Nat Resource Management, Copenhagen, Denmark; [Cherezova, Anna A.; Fedorov, Grigory B.] St Petersburg State Univ, Inst Earth Sci, St Petersburg, Russia; [Cherezova, Anna A.; Fedorov, Grigory B.] Arctic &amp; Antarctic Res Inst, St Petersburg, Russia; [Coissac, Eric] Univ Savoie Mt Blanc, Univ Grenoble Alpes, CNRS, LECA, Grenoble, France; [De Sanctis, Bianca; Durbin, Richard] Univ Cambridge, Dept Genet, Cambridge, England; [Dockter, Christoph; Skadhauge, Birgitte] Carlsberg Res Lab, Copenhagen V, Denmark; [Edwards, Mary E.] Univ Southampton, Sch Geog &amp; Environm Sci, Southampton, Hants, England; [Edwards, Mary E.] Univ Alaska Fairbanks, Alaska Quaternary Ctr, Fairbanks, AK USA; [Edwards, Neil R.; Holden, Philip B.] Open Univ, Sch Environm Earth &amp; Ecosyst Sci, Milton Keynes, Bucks, England; [Esdale, Julie] Colorado State Univ, Ctr Environm Management Mil Lands, Ft Collins, CO USA; [Froese, Duane G.] Univ Alberta, Dept Earth &amp; Atmospher Sci, Edmonton, AB, Canada; [Gusarova, Galina] St Petersburg State Univ, Fac Biol, St Petersburg, Russia; [Kjeldsen, Kristian K.] Geol Survey Denmark &amp; Greenland, Dept Glaciol &amp; Climate, Copenhagen K, Denmark; [Mangerud, Jan; Svendsen, John Inge] Univ Bergen, Dept Earth Sci, Bergen, Norway; [Mangerud, Jan; Svendsen, John Inge] Bjerknes Ctr Climate Res, Bergen, Norway; [Moller, Per] Lund Univ, Dept Geol, Quaternary Sci, Lund, Sweden; [Nogues-Bravo, David; Owens, Hannah Lois; Rahbek, Carsten] Univ Copenhagen, Globe Inst, Ctr Macroecol Evolut &amp; Climate, Copenhagen O, Denmark; [Orlando, Ludovic] Univ Paul Sabatier, Ctr Anthropobiol &amp; Genom Toulouse, Fac Med Purpane, Toulouse, France; [Owens, Hannah Lois; Rahbek, Carsten] Univ Copenhagen, Globe Inst, Ctr Global Mt Biodivers, Copenhagen, Denmark; [Rasic, Jeffrey T.] Natl Pk Serv, Gates Arctic Natl Pk &amp; Preserve, Fairbanks, AK USA; [Rouillard, Alexandra] UiT The Arctic Univ Norway, Dept Geosci, Tromso, Norway; [Tikhonov, Alexei] Russian Acad Sci, Inst Zool, St Petersburg, Russia; [Xing, Yingchun] Chinese Acad Fishery Sci, Resource &amp; Environm Res Ctr, Beijing, Peoples R China; [Zhang, Yubin] Jilin Univ, Coll Plant Sci, Changchun, Jilin, Peoples R China; [Meltzer, David J.] Southern Methodist Univ, Dept Anthropol, Dallas, TX USA; [Willerslev, Eske] Wellcome Trust Sanger Inst, Wellcome Genome Campus, Cambridge, England; [Willerslev, Eske] Univ Bremen, MARUM, Bremen, Germany</t>
  </si>
  <si>
    <t>University of Cambridge; University of Copenhagen; Chinese Academy of Sciences; Lanzhou University; Universite Paris Saclay; Centre National de la Recherche Scientifique (CNRS); Universite Paris Cite; CEA; Universite Paris Saclay; CEA; Centre National de la Recherche Scientifique (CNRS); Universite Paris Cite; UiT The Arctic University of Tromso; University of Hawaii System; University of Copenhagen; Saint Petersburg State University; Arctic &amp; Antarctic Research Institute; Universite Savoie Mont Blanc; Communaute Universite Grenoble Alpes; Universite Grenoble Alpes (UGA); Centre National de la Recherche Scientifique (CNRS); University of Cambridge; University of Southampton; University of Alaska System; University of Alaska Fairbanks; Open University - UK; Colorado State University; University of Alberta; Saint Petersburg State University; Geological Survey Of Denmark &amp; Greenland; University of Bergen; Bjerknes Centre for Climate Research; Lund University; University of Copenhagen; Universite de Toulouse; Universite Toulouse III - Paul Sabatier; University of Copenhagen; United States Department of the Interior; UiT The Arctic University of Tromso; Russian Academy of Sciences; Zoological Institute of the Russian Academy of Sciences; Chinese Academy of Fishery Sciences; Jilin University; Southern Methodist University; Wellcome Trust Sanger Institute; University of Bremen</t>
  </si>
  <si>
    <t>Willerslev, E (corresponding author), Univ Cambridge, Dept Zool, Cambridge, England.;Willerslev, E (corresponding author), Univ Copenhagen, Globe Inst, Lundbeck Fdn GeoGenet Ctr, Copenhagen, Denmark.;Willerslev, E (corresponding author), Wellcome Trust Sanger Inst, Wellcome Genome Campus, Cambridge, England.;Willerslev, E (corresponding author), Univ Bremen, MARUM, Bremen, Germany.</t>
  </si>
  <si>
    <t>ew482@cam.ac.uk</t>
  </si>
  <si>
    <t>Alsos, Inger Greve/A-9507-2016; Möller, Per/AAJ-7963-2020; Alberti, Adriana/AAZ-2013-2021; Rahbek, Carsten/GVQ-0752-2022; Larsen, Nicolaj Krog/ABE-4327-2021; Tikhonov, Alexei/G-7478-2016; Dong, Haoran/ABD-6483-2021; Fedorov, Grigory/N-5788-2019; Kjeldsen, Kristian Kjellerup/A-9592-2013; Holden, Philip/K-6152-2013; Wang, Yu/GZL-9655-2022; ORLANDO, Ludovic/JEP-5411-2023; Kjaer, Kurt/A-4199-2013; Orlando, Ludovic/A-8932-2013</t>
  </si>
  <si>
    <t>Möller, Per/0000-0001-5365-2668; Alberti, Adriana/0000-0003-3372-9423; Rahbek, Carsten/0000-0003-4585-0300; Larsen, Nicolaj Krog/0000-0002-0117-1106; Fedorov, Grigory/0000-0003-2269-4501; Holden, Philip/0000-0002-2369-0062; Skadhauge, Birgitte/0000-0001-7317-4376; Rouillard, Alexandra/0000-0001-5778-6620; Dockter, Christoph/0000-0001-5923-3667; Wang, Yucheng/0000-0002-7838-226X; Kjaer, Kurt/0000-0002-8871-5179; Nogues-Bravo, David/0000-0002-4060-0153; Prohaska, Ana/0000-0001-5459-6186; Racimo, Fernando/0000-0002-5025-2607; Orlando, Ludovic/0000-0003-3936-1850</t>
  </si>
  <si>
    <t>Carlsberg Foundation [CF18-0024]; NSFC BSCTPES project [41988101]; Lundbeck Foundation [R302-2018-2155]; Novo Nordisk Foundation [NNF18SA0035006]; Wellcome Trust [UNS69906]; GRF EXC CRS Chair [44113220]</t>
  </si>
  <si>
    <t>Carlsberg Foundation(Carlsberg Foundation); NSFC BSCTPES project(National Natural Science Foundation of China (NSFC)); Lundbeck Foundation(Lundbeckfonden); Novo Nordisk Foundation(Novo Nordisk FoundationNovocure Limited); Wellcome Trust(Wellcome Trust); GRF EXC CRS Chair</t>
  </si>
  <si>
    <t>The authors thank D. K. Grayson, R. L. Lyman and D. H. Mann for helpful suggestions. E.W. and D.J.M. thank the staff at St John's College, Cambridge, for providing a stimulating environment for scientific discussion of the project. This work was supported by the Carlsberg Foundation (CF18-0024), the NSFC BSCTPES project (No. 41988101), the Lundbeck Foundation (R302-2018-2155), the Novo Nordisk Foundation (NNF18SA0035006), the Wellcome Trust (UNS69906) and GRF EXC CRS Chair (44113220)-Cluster of Excellence.</t>
  </si>
  <si>
    <t>0028-0836</t>
  </si>
  <si>
    <t>1476-4687</t>
  </si>
  <si>
    <t>Nature</t>
  </si>
  <si>
    <t>DEC 1</t>
  </si>
  <si>
    <t>E4</t>
  </si>
  <si>
    <t>E6</t>
  </si>
  <si>
    <t>10.1038/s41586-022-05417-2</t>
  </si>
  <si>
    <t>9D7FI</t>
  </si>
  <si>
    <t>WOS:000936263600002</t>
  </si>
  <si>
    <t>Demidov, NE; Gunar, AY; Balihin, EI; Gagarin, VE; Guzeva, AV; Dezhnikova, AA; Kazantsev, VS; Koshurnikov, AV; Narizhnaya, AI</t>
  </si>
  <si>
    <t>Demidov, N. E.; Gunar, A. Yu.; Balihin, E. I.; Gagarin, V. E.; Guzeva, A. V.; Dezhnikova, A. A.; Kazantsev, V. S.; Koshurnikov, A. V.; Narizhnaya, A. I.</t>
  </si>
  <si>
    <t>Structure, Gas Content, and Thermal State of Perennial Frost Mounds (Pingos) in the Vas-Yugan River Valley (Vicinity of the City of Salekhard, Western Siberia)</t>
  </si>
  <si>
    <t>permafrost; bulgunnyakh; pingo; methane in permafrost; Western Siberia; Salekhard</t>
  </si>
  <si>
    <t>The structure, gas content, and thermal state of two perennial frost mounds, or pingos (bulgunnyakhs in Russian), have been studied in the Vas-Yugan river valley near Salekhard, Western Siberia. The pingos are 2 and 4.5 m high with a diameter of 55 and 100 m. The cores are represented by the interbedding of ice and loam with a total thickness of 5-6 m, being overlaid by fine sands. The bases of the ice cores are frozen, and the pingos have completed their growth stage. During the growth of the pingos, segregated and intrusive ice formation stages alternated. Due to the influence of hydraulic fracturing, loam-enriched water penetrated into coarse-crystalline ice through cracks, forming secondary mineral inclusions. The low quantity of bubbles in the ice cores, laboratory tests of CH4 concentration in the cores, and the control of gas emission from the borehole during drilling demonstrate no evident increase in gas concentrations in the pingo-forming rocks. The thermometric borehole, placed on one of the pingos, showed that the depth of zero temperature amplitude is 5.5 m. The shallow position of the depth of zero amplitude is explained by the presence of a peat layer with a thickness of 0.3 m on the pingo surface. The average annual temperature at the depth of zero amplitude is -0.5 degrees C, which is close to the temperature at which soil begins to thaw. Taking into account the presence of massive ice, pingos may undergo degradation according to the thermokarst scenario under conditions of warming climate, but do not pose danger of gas explosion.</t>
  </si>
  <si>
    <t>[Demidov, N. E.; Guzeva, A. V.] Fed Sci Ctr, Arctic &amp; Antarctic Res Inst, St Petersburg 199397, Russia; [Gunar, A. Yu.; Balihin, E. I.; Gagarin, V. E.; Dezhnikova, A. A.; Koshurnikov, A. V.] Moscow MV Lomonosov State Univ, Fac Geol, Moscow 119991, Russia; [Guzeva, A. V.] Russian Acad Sci, Inst Limnol, St Petersburg Fed Res Ctr, St Petersburg 199178, Russia; [Kazantsev, V. S.; Narizhnaya, A. I.] Russian Acad Sci, Obukhov Inst Atmospher Phys, Moscow 119017, Russia</t>
  </si>
  <si>
    <t>Arctic &amp; Antarctic Research Institute; Lomonosov Moscow State University; Russian Academy of Sciences; St. Petersburg Scientific Centre of the Russian Academy of Sciences; St. Petersburg Federal Research Center of the Russian Academy of Sciences; Russian Academy of Sciences; Obukhov Institute of Atmospheric Physics of Russian Academy of Sciences</t>
  </si>
  <si>
    <t>Demidov, NE (corresponding author), Fed Sci Ctr, Arctic &amp; Antarctic Res Inst, St Petersburg 199397, Russia.</t>
  </si>
  <si>
    <t>nikdemidov@mail.ru</t>
  </si>
  <si>
    <t>Gunar, Alexey/AAO-1039-2020</t>
  </si>
  <si>
    <t>Narizhnaya, Alexandra/0009-0001-6488-9676</t>
  </si>
  <si>
    <t>Russian Foundation for Basic Research [19-45-890012]; Government of the Yamalo-Nenets Autonomous Okrug</t>
  </si>
  <si>
    <t>Russian Foundation for Basic Research(Russian Foundation for Basic Research (RFBR)Spanish Government); Government of the Yamalo-Nenets Autonomous Okrug</t>
  </si>
  <si>
    <t>The work was supported by the Russian Foundation for Basic Research, grant no. 19-45-890012 and the Government of the Yamalo-Nenets Autonomous Okrug.</t>
  </si>
  <si>
    <t>10.1134/S0001433822100036</t>
  </si>
  <si>
    <t>9D9KZ</t>
  </si>
  <si>
    <t>WOS:000936416300004</t>
  </si>
  <si>
    <t>Guo, GJ; Gao, LB; Shi, JX; Zu, YC</t>
  </si>
  <si>
    <t>Guo, Guijun; Gao, Libao; Shi, Jiuxin; Zu, Yongcan</t>
  </si>
  <si>
    <t>Wind-Driven Seasonal Intrusion of Modified Circumpolar Deep Water Onto the Continental Shelf in Prydz Bay, East Antarctica</t>
  </si>
  <si>
    <t>seasonal cycle; intrusion; modified Circumpolar Deep Water; Prydz Bay; wind</t>
  </si>
  <si>
    <t>AMERY ICE SHELF; SOUTHERN-OCEAN; AMUNDSEN SEA; PHYSICAL OCEANOGRAPHY; BASAL MELT; CIRCULATION; VARIABILITY; MASSES; TRANSPORT; IMPACT</t>
  </si>
  <si>
    <t>Intrusion of warm modified Circumpolar Deep Water (mCDW) is critical to heat transport onto the continental shelf around Antarctica, with substantial impacts on basal melting of ice shelves and sea ice production. We use hydrographic data collected in Prydz Bay, East Antarctica, and atmospheric and ocean reanalyses to investigate the seasonality of mCDW intrusions onto the East Antarctic continental shelf. Mooring measurements confirm that there is significant intrusion of mCDW over the inner continental shelf of Prydz Bay in March-July (austral autumn and early winter). The warming signal of intruded mCDW over the inner shelf is correlated with wind changes north of the shelf break, with a significant lag. This suggests that the autumn-winter mCDW intrusions over the inner shelf are significantly affected by the wind regime north of the shelf break in January-May, when a southward displacement of the westerly winds occurs. The southward shift of westerly winds drives the shallowest depth of upwelled mCDW to move poleward and contributes more warm water to the shelf break. This results in the shoaling of mCDW near the shelf break in January-May and promotes mCDW intrusions onto the continental shelf. The dynamic barrier imposed on mCDW intrusions by the strong Antarctic Slope Front in January-May is offset by this shoaling of mCDW. This study indicates the strong sensitivity of continental shelves in East Antarctica to atmospheric forcing changes over the Southern Ocean. Plain Language Summary Warm modified Circumpolar Deep Water (mCDW) from the Southern Ocean flows onto the continental shelf in many regions around Antarctica. These intrusions transport great amounts of heat to the continental shelves, affecting basal melting of ice shelves and sea ice formation. Data collected over the continental shelf of Prydz Bay, East Antarctica show that these intrusions occur seasonally. When we combine these observations with results from atmospheric model, we find that the strongest intrusion of mCDW over the inner shelf in March-July is related to the variability of westerly winds north of the shelf break in January-May. This is the period when the westerly winds over the Southern Ocean move southward. This causes the mCDW to become shallower near the shelf break and allows more warm water to flow to the inner shelf. Although an intensified Antarctic Slope Front in January-May should block the intrusion of mCDW, the blocking effect is overwhelmed by the shallowing of mCDW. Our findings provide insights into how seasonal variability of atmospheric forcing in the open ocean will affect warm water inflow and heat transport onto continental shelves in East Antarctica, and indicate potential effects of future changes in winds around Antarctica.</t>
  </si>
  <si>
    <t>[Guo, Guijun; Gao, Libao; Zu, Yongcan] Minist Nat Resources, Inst Oceanog 1, Qingdao, Peoples R China; [Guo, Guijun; Gao, Libao; Zu, Yongcan] Minist Nat Resources, Key Lab Marine Sci &amp; Numer Modeling, Qingdao, Peoples R China; [Guo, Guijun; Gao, Libao; Zu, Yongcan] Pilot Natl Lab Marine Sci &amp; Techol, Lab Reg Oceanog &amp; Numer Modeling, Qingdao, Peoples R China; [Guo, Guijun; Gao, Libao; Zu, Yongcan] Shandong Key Lab Marine Sci &amp; Numer Modeling, Qingdao, Peoples R China; [Shi, Jiuxin] Ocean Univ China, Phys Oceanog Lab, Qingdao, Peoples R China</t>
  </si>
  <si>
    <t>First Institute of Oceanography, Ministry of Natural Resources; Ministry of Natural Resources of the People's Republic of China; Ministry of Natural Resources of the People's Republic of China; Ocean University of China</t>
  </si>
  <si>
    <t>Gao, LB (corresponding author), Minist Nat Resources, Inst Oceanog 1, Qingdao, Peoples R China.;Gao, LB (corresponding author), Minist Nat Resources, Key Lab Marine Sci &amp; Numer Modeling, Qingdao, Peoples R China.;Gao, LB (corresponding author), Pilot Natl Lab Marine Sci &amp; Techol, Lab Reg Oceanog &amp; Numer Modeling, Qingdao, Peoples R China.;Gao, LB (corresponding author), Shandong Key Lab Marine Sci &amp; Numer Modeling, Qingdao, Peoples R China.</t>
  </si>
  <si>
    <t>gaolb@fio.org.cn</t>
  </si>
  <si>
    <t>Zu, Yongcan/KHU-0219-2024; Guo, Guijun/AAO-3686-2021</t>
  </si>
  <si>
    <t>Gao, Libao/0000-0002-0402-9340; Zu, Yongcan/0000-0002-0097-4644; Guo, Guijun/0000-0002-1437-1561</t>
  </si>
  <si>
    <t>program of Impact and Response of Antarctic Seas to Climate Change [IRASCC 01-01-01A, 02-01-01, 02-01-04]; Basic Scientific Fund for National Public Research Institutes of China [GY0222Q03, 2018S02]; National Natural Science Foundation of China [41706220, 41976217, 41876231]; National Key R&amp;D Program of China - Ministry of Science and Technology of the People's Republic of China (MOST) [2018YFA0605701, 2022YFC2807604]</t>
  </si>
  <si>
    <t>program of Impact and Response of Antarctic Seas to Climate Change; Basic Scientific Fund for National Public Research Institutes of China; National Natural Science Foundation of China(National Natural Science Foundation of China (NSFC)); National Key R&amp;D Program of China - Ministry of Science and Technology of the People's Republic of China (MOST)</t>
  </si>
  <si>
    <t>This work was supported by the program of Impact and Response of Antarctic Seas to Climate Change (Grants IRASCC 01-01-01A, 02-01-01, and 02-01-04), the Basic Scientific Fund for National Public Research Institutes of China (Grants GY0222Q03 and 2018S02), the National Natural Science Foundation of China (Grants 41706220, 41976217, and 41876231), and the National Key R&amp;D Program of China (Grants 2018YFA0605701 and 2022YFC2807604) funded by the Ministry of Science and Technology of the People's Republic of China (MOST). The authors thank the staff of Chinese Arctic and Antarctic Administration and the crew of Xuelong who contributed to the hydrographic observations in the Antarctic cruises. The authors would like to express our gratitude to the International MEOP Consortium and the national programs that contribute to instrumented seals data. Great thanks are also given to the Australian Antarctic Climate and Ecosystems Cooperative Research Centre for kindly providing the mooring data of PBM01. The authors also thank the editor, Laurence Padman, and two anonymous reviewers for their constructive feedback during the review process.</t>
  </si>
  <si>
    <t>e2022JC018741</t>
  </si>
  <si>
    <t>10.1029/2022JC018741</t>
  </si>
  <si>
    <t>8R7EE</t>
  </si>
  <si>
    <t>WOS:000928053100013</t>
  </si>
  <si>
    <t>Nakata, K; Ohshima, KI</t>
  </si>
  <si>
    <t>Nakata, K.; Ohshima, K., I</t>
  </si>
  <si>
    <t>Mapping of Active Frazil and Sea Ice Production in the Northern Hemisphere, With Comparison to the Southern Hemisphere</t>
  </si>
  <si>
    <t>coastal polynya; frazil ice; sea ice production; passive microwave; Arctic region; Sea of Okhotsk</t>
  </si>
  <si>
    <t>AMSR-E; COASTAL POLYNYAS; SSM/I DATA; KARA SEAS; THICKNESS; OKHOTSK; HALOCLINE; BARENTS</t>
  </si>
  <si>
    <t>Frazil ice in the coastal polynyas has been increasingly recognized as important for efficient sea ice production, associated dense water formation, transport of particulate matter and consequent biological production. However, it has not been well understood where and to what degree active-frazil areas occur in the Northern Hemisphere polynyas. We presented the first mapping of active frazil in the Northern Hemisphere, using sea ice data during September-May for 2002/2003-2010/2011, created from an Advanced Microwave Scanning Radiometer for the Earth Observing System thin ice algorithm that can detect active frazil areas. The North Water, Northeast Water, Anadyr, and St. Lawrence Island polynyas were found to have a relatively high occurrence rate of active frazil compared with other polynyas. We improved the estimation of sea ice production by discriminating between active frazil and thin solid ice and found that previous algorithms tended to overestimate sea ice production, particularly for polynyas dominated by thin solid ice such as the Okhotsk Northwestern polynya. We also made the first global comparison of polynya characteristics for all the major coastal polynyas. The annual ice production rate is 3-4 m yr(-1) in the Northern Hemisphere polynyas and 6-9 m yr(-1) in the Antarctic coastal polynyas. This large difference is mainly explained by the less frequent occurrence of active frazil and thin ice areas in the Northern Hemisphere polynyas owing to a lower occurrence of strong wind events. Plain Language Summary Coastal polynyas, which are high-latitude coastal regions of thin ice or open water surrounded by thick sea ice, are important components of the global climate system. High production of sea ice in coastal polynyas generates dense water, which then influences physical and biological processes in the surrounding regions. Thin ice areas in a polynya are roughly classified into two ice types: active frazil, a mixture of grease/frazil ice and open water formed under turbulent conditions, and thin solid ice, a relatively uniform thin ice region formed under calm conditions. In this study, we focused on measuring the active frazil, which indicates areas of efficient ice production. Frazil ice also incorporates and transports sediments or micro-nutrients, possibly leading high biological productivity. We presented the first mapping of active-frazil areas in the Northern Hemisphere, and improved estimates of total ice production taking account of the ice type. We also discussed the characteristics of major coastal polynyas in the world. The rates of ice production and active frazil occurrence are generally lower in the Northern Hemisphere than in the Antarctic coastal polynyas because of lower wind speeds in the Northern Hemisphere high-latitude coastal regions.</t>
  </si>
  <si>
    <t>[Nakata, K.; Ohshima, K., I] Hokkaido Univ, Inst Low Temp Sci, Sapporo, Hokkaido, Japan; [Nakata, K.] Japan Aerosp Explorat Agcy, Earth Observat Res Ctr, Tsukuba, Ibaraki, Japan; [Ohshima, K., I] Hokkaido Univ, Arctic Res Ctr, Sapporo, Hokkaido, Japan</t>
  </si>
  <si>
    <t>Hokkaido University; Japan Aerospace Exploration Agency (JAXA); Hokkaido University</t>
  </si>
  <si>
    <t>Nakata, K (corresponding author), Hokkaido Univ, Inst Low Temp Sci, Sapporo, Hokkaido, Japan.;Nakata, K (corresponding author), Japan Aerosp Explorat Agcy, Earth Observat Res Ctr, Tsukuba, Ibaraki, Japan.</t>
  </si>
  <si>
    <t>nakata.kazuki@jaxa.jp</t>
  </si>
  <si>
    <t>Ohshima, Kay I/D-6909-2012</t>
  </si>
  <si>
    <t>Ministry of Education, Culture, Sports, Science and Technology in Japan; research fund for Global Change Observation Mission Water 1 (GCOM-W1) of the Japan Aerospace Exploration Agency (JAXA) [RA1W403, ER2GWF404, ER3AMF424]; [20H05707]; [20K20933]; [17H01157]; Grants-in-Aid for Scientific Research [20K20933, 20H05707] Funding Source: KAKEN</t>
  </si>
  <si>
    <t>Ministry of Education, Culture, Sports, Science and Technology in Japan(Ministry of Education, Culture, Sports, Science and Technology, Japan (MEXT)); research fund for Global Change Observation Mission Water 1 (GCOM-W1) of the Japan Aerospace Exploration Agency (JAXA); ; ; ; Grants-in-Aid for Scientific Research(Ministry of Education, Culture, Sports, Science and Technology, Japan (MEXT)Japan Society for the Promotion of ScienceGrants-in-Aid for Scientific Research (KAKENHI))</t>
  </si>
  <si>
    <t>The authors express their gratitude to Naoya Tamaru and Kyoko Kitagawa for their support. In addition, the authors thank two anonymous reviewers and the Editor, Laurence Padman, for their insightful comments and corrections that have improved this paper. This work was supported by Grants-in-Aids for Scientific Research (20H05707, 20K20933, and 17H01157) and the Arctic Challenge for Sustainability (ArCS) and ArCS II project from the Ministry of Education, Culture, Sports, Science and Technology in Japan. This work was also supported by a research fund for Global Change Observation Mission Water 1 (GCOM-W1) of the Japan Aerospace Exploration Agency (JAXA) (PI No. RA1W403, ER2GWF404 and ER3AMF424).</t>
  </si>
  <si>
    <t>e2022JC018553</t>
  </si>
  <si>
    <t>10.1029/2022JC018553</t>
  </si>
  <si>
    <t>WOS:000928053100016</t>
  </si>
  <si>
    <t>Portela, E; Rintoul, SR; Herraiz-Borreguero, L; Roquet, F; Bestley, S; van Wijk, E; Tamura, T; McMahon, CR; Guinet, C; Harcourt, R; Hindell, MA</t>
  </si>
  <si>
    <t>Portela, Esther; Rintoul, Stephen R.; Herraiz-Borreguero, Laura; Roquet, Fabien; Bestley, Sophie; van Wijk, Esmee; Tamura, Takeshi; McMahon, Clive R.; Guinet, Christophe; Harcourt, Robert; Hindell, Mark A.</t>
  </si>
  <si>
    <t>Controls on Dense Shelf Water Formation in Four East Antarctic Polynyas</t>
  </si>
  <si>
    <t>Dense Shelf Water formation; East Antarctic polynyas; sea-ice formation; water masses</t>
  </si>
  <si>
    <t>CIRCUMPOLAR DEEP-WATER; AMERY ICE SHELF; BOTTOM WATER; BASAL MELT; CIRCULATION; BAY</t>
  </si>
  <si>
    <t>Coastal polynyas are key formation regions for dense shelf water (DSW) that ultimately contributes to the ventilation of the ocean abyss. However, not all polynyas form DSW. We examine how the physiographic setting, water-mass distribution and transformation, water column stratification, and sea-ice production regulate DSW formation in four East Antarctic coastal polynyas. We use a salt budget to estimate the relative contribution of sea-ice production and lateral advection to the monthly change in salinity in each polynya. DSW forms in Mackenzie polynya due to a combination of physical features (shallow water depth and a broad continental shelf) and high sea-ice production. Sea-ice formation begins early (March) in Mackenzie polynya, counteracting fresh advection and establishing a salty mixed layer in autumn that preconditions the water column for deep convection in winter. Sea-ice production is moderate in the other three polynyas, but saline DSW is not formed (a fresh variety is formed in the Barrier polynya). In the Shackleton polynya, brine rejection during winter is insufficient to overcome the very fresh autumn mixed layer. In Vincennes Bay, a strong inflow of modified Circumpolar Deep Water stratifies the water column, hindering deep convection and DSW formation. Our study highlights that DSW formation in a given polynya depends on a complex combination of factors, some of which may be strongly altered under a changing climate, with potentially important consequences for the ventilation of the deep ocean, the global meridional overturning circulation, and the transport of ocean heat to Antarctic ice shelves. Plain Language Summary Coastal polynyas are regions of open water surrounded by sea ice. As sea ice forms, it is pushed offshore by strong winds blowing from the Antarctic continent, keeping the polynya ice-free. Salt is released into the water below as sea ice forms, increasing the salinity and density of the water column. In some polynyas, this water is dense enough to sink from the continental shelf to supply a network of bottom ocean currents that influences global climate. In other polynyas, the water in winter never gets dense enough to reach the ocean abyss. Using data collected by instrumented elephant seals, we investigated the main factors controlling dense water formation in four East Antarctic polynyas. We found that dense water production is related to the strength of sea-ice formation, as expected, but also depends on the salinity at the start of winter. The geographical and physical characteristics of the polynyas and regional circulation also modulate the final water density. Our findings provide insight into how dense water formation in East Antarctic polynyas might respond to future changes in climate and thereby influence the transport of ocean heat to the Antarctic continent and the melt of ice shelves.</t>
  </si>
  <si>
    <t>[Portela, Esther; Bestley, Sophie; McMahon, Clive R.; Hindell, Mark A.] Univ Tasmania, Inst Marine &amp; Antarctic Studies, Hobart, Tas, Australia; [Portela, Esther] Univ Brest, Lab Oceanog Phys &amp; Spatiale, CNRS, IRD, Plouzane, France; [Rintoul, Stephen R.; Herraiz-Borreguero, Laura; van Wijk, Esmee] Commonwealth Sci &amp; Ind Res Org CSIRO Environm, Hobart, Tas, Australia; [Rintoul, Stephen R.; Bestley, Sophie; van Wijk, Esmee] Univ Tasmania, Inst Marine &amp; Antarctic Studies, Australian Antarctic Program Partnership, Nipaluna Hobart, Tas, Australia; [Rintoul, Stephen R.; Herraiz-Borreguero, Laura] Ctr Southern Hemisphere Oceans Res Ctr CSHOR, Hobart, Tas, Australia; [Roquet, Fabien] Univ Gothenburg, Dept Marine Sci, Gothenburg, Sweden; [Tamura, Takeshi] Natl Inst Polar Res, Tachikawa, Tokyo, Japan; [Tamura, Takeshi] Grad Univ Adv Studies SOKENDAI, Tachikawa, Tokyo, Japan; [McMahon, Clive R.] Sydney Inst Marine Sci, Integrated Marine Observing Syst Anim Tagging Sub, Mosman, NSW, Australia; [Guinet, Christophe] La Rochelle Univ, Ctr Etud Biol Chize, UMR 7372, CNRS, Villiers En Bois, France; [Harcourt, Robert] Macquarie Univ, Sch Nat Sci, Sydney, NSW, Australia</t>
  </si>
  <si>
    <t>University of Tasmania; Ifremer; Universite de Bretagne Occidentale; Centre National de la Recherche Scientifique (CNRS); Institut de Recherche pour le Developpement (IRD); University of Tasmania; University of Gothenburg; Research Organization of Information &amp; Systems (ROIS); National Institute of Polar Research (NIPR) - Japan; Graduate University for Advanced Studies - Japan; Sydney Institute of Marine Science; Centre National de la Recherche Scientifique (CNRS); CNRS - Institute of Ecology &amp; Environment (INEE); Macquarie University</t>
  </si>
  <si>
    <t>Portela, E (corresponding author), Univ Tasmania, Inst Marine &amp; Antarctic Studies, Hobart, Tas, Australia.;Portela, E (corresponding author), Univ Brest, Lab Oceanog Phys &amp; Spatiale, CNRS, IRD, Plouzane, France.</t>
  </si>
  <si>
    <t>eportelanh@gmail.com</t>
  </si>
  <si>
    <t>Hindell, Mark A/K-1131-2013; McMahon, Clive R/D-5713-2013; van Wijk, Esmee/AAB-2451-2020; Herraiz-Borreguero, Laura/D-5795-2015; Bestley, Sophie/E-9521-2013</t>
  </si>
  <si>
    <t>McMahon, Clive R/0000-0001-5241-8917; van Wijk, Esmee/0000-0002-9375-4383; Harcourt, Robert/0000-0003-4666-2934; Herraiz-Borreguero, Laura/0000-0002-4455-801X; Portela Rodriguez, Esther/0000-0003-4044-4581; Bestley, Sophie/0000-0001-9342-669X</t>
  </si>
  <si>
    <t>French Polar Institute [109, 1201]; SNO-MEMO; CNES-TOSCA; Integrated Marine Observing System (IMOS); Australian Research Council [DP180101667, DE180100828]; Australian Government as part of the Antarctic Science Collaboration Initiative program (Australian Antarctic Program Partnership); Centre for Southern Hemisphere Oceans Research; Grants-in-Aid for Scientific Research [20H05707] Funding Source: KAKEN; Australian Research Council [DE180100828] Funding Source: Australian Research Council</t>
  </si>
  <si>
    <t>French Polar Institute; SNO-MEMO; CNES-TOSCA; Integrated Marine Observing System (IMOS); Australian Research Council(Australian Research Council); Australian Government as part of the Antarctic Science Collaboration Initiative program (Australian Antarctic Program Partnership); Centre for Southern Hemisphere Oceans Research(Commonwealth Scientific &amp; Industrial Research Organisation (CSIRO)); Grants-in-Aid for Scientific Research(Ministry of Education, Culture, Sports, Science and Technology, Japan (MEXT)Japan Society for the Promotion of ScienceGrants-in-Aid for Scientific Research (KAKENHI)); Australian Research Council(Australian Research Council)</t>
  </si>
  <si>
    <t>The seal CTD-SRDL tags and deployment were funded and supported through a collaboration between the French Polar Institute (program 109: PI. H. Weimerskirch and 1201: PI. C. Gilbert and C. Guinet), the SNO-MEMO and CNES-TOSCA and the Integrated Marine Observing System (IMOS). Australia's IMOS is enabled by the National Collaborative Research Infrastructure Strategy (NCRIS). It is operated by a consortium of institutions as an unincorporated joint venture, with the University of Tasmania as Lead Agent. . The Australian Research Council provided financial support through Discovery Project DP180101667, under which E.P. is supported and through DECRA project DE180100828 under which S.B is supported. This project was also supported in part by grant funding from the Australian Government as part of the Antarctic Science Collaboration Initiative program (Australian Antarctic Program Partnership); and by the Centre for Southern Hemisphere Oceans Research, a partnership between CSIRO, the Qingdao National Laboratory for Marine Science and Technology, the University of Tasmania and the University of New South Wales. Open access publishing facilitated by University of Tasmania, as part of the Wiley - University of Tasmania agreement via the Council of Australian University Librarians.</t>
  </si>
  <si>
    <t>e2022JC018804</t>
  </si>
  <si>
    <t>10.1029/2022JC018804</t>
  </si>
  <si>
    <t>WOS:000928053100005</t>
  </si>
  <si>
    <t>Lusher, AL; Provencher, JF; Baak, JE; Hamilton, BM; Vorkamp, K; Hallanger, IG; Pijogge, L; Liboiron, M; Bourdages, MPT; Hammer, S; Gavrilo, M; Vermaire, JC; Linnebjerg, JF; Mallory, ML; Gabrielsen, GW</t>
  </si>
  <si>
    <t>Lusher, A. L.; Provencher, J. F.; Baak, J. E.; Hamilton, B. M.; Vorkamp, K.; Hallanger, I. G.; Pijogge, L.; Liboiron, M.; Bourdages, M. P. T.; Hammer, S.; Gavrilo, M.; Vermaire, J. C.; Linnebjerg, J. F.; Mallory, M. L.; Gabrielsen, G. W.</t>
  </si>
  <si>
    <t>Monitoring litter and microplastics in Arctic mammals and birds</t>
  </si>
  <si>
    <t>ARCTIC SCIENCE</t>
  </si>
  <si>
    <t>marine litter; debris; plastic; wild food; contamination</t>
  </si>
  <si>
    <t>PERSISTENT ORGANIC POLLUTANTS; PLASTIC-DERIVED CHEMICALS; FOXES ALOPEX-LAGOPUS; FOOD-HABITS; TEMPORAL TRENDS; MARINE DEBRIS; SKUA PELLETS; POLAR BEARS; HUDSON-BAY; SEABIRDS</t>
  </si>
  <si>
    <t>Plastic pollution has been reported to affect Arctic mammals and birds. There are strengths and limitations to monitoring litter and microplastics using Arctic mammals and birds. One strength is the direct use of these data to understand the potential impacts on Arctic biodiversity as well as effects on human health, if selected species are consumed. Monitoring programs must be practically designed with all purposes in mind, and a spectrum of approaches and species will be required. Spatial and temporal trends of plastic pollution can be built on the information obtained from studies on northern fulmars (Fulmarus glacialis (Linnaeus, 1761)), a species that is an environmental indicator. To increase our understanding of the potential implications for human health, the species and locations chosen for monitoring should be selected based on the priorities of local communities. Monitoring programs under development should examine species for population level impacts in Arctic mammals and birds. Mammals and birds can be useful in source and surveillance monitoring via locally designed monitoring programs. We recommend future programs consider a range of monitoring objectives with mammals and birds as part of the suite of tools for monitoring litter and microplastics, plastic chemical additives, and effects, and for understanding sources.</t>
  </si>
  <si>
    <t>[Lusher, A. L.] Norwegian Inst Water Res NIVA, N-0579 Oslo, Norway; [Lusher, A. L.] Univ Bergen, Dept Biol Sci, N-5007 Bergen, Norway; [Provencher, J. F.] Environm &amp; Climate Change Canada, Ecotoxicol &amp; Wildlife Hlth Div, Ottawa, ON K1A 0H3, Canada; [Baak, J. E.] McGill Univ, Dept Nat Resource Sci, Ste Anne De Bellevue, PQ H3A 0G4, Canada; [Hamilton, B. M.] Univ Toronto, Dept Ecol &amp; Evolutionary Biol, Toronto, ON M5S 3B2, Canada; [Vorkamp, K.] Aarhus Univ, Dept Environm Sci, DK-4000 Roskilde, Denmark; [Hallanger, I. G.; Gabrielsen, G. W.] Norwegian Polar Res Inst, Fram Ctr, N-9296 Tromso, Norway; [Pijogge, L.] Nunatsiavut Govt, Lands &amp; Nat Resources, Nain, NF A0P 1L0, Canada; [Liboiron, M.] Mem Univ Newfoundland &amp; Labrador, Geog Dept, St John, NF A1C 5S7, Canada; [Bourdages, M. P. T.; Vermaire, J. C.] Carleton Univ, Dept Geog &amp; Environm Studies, Ottawa, ON K1A 5BS, Canada; [Bourdages, M. P. T.; Vermaire, J. C.] Carleton Univ, Inst Environm &amp; Interdisciplinary Sci, Ottawa, ON K1A 5BS, Canada; [Hammer, S.; Gavrilo, M.] Faroese Environm Agcy, Argir 165, Faroe Islands; [Gavrilo, M.] Arctic &amp; Antarctic Res Inst, St Petersburg 199397, Russia; [Gavrilo, M.; Linnebjerg, J. F.] Assoc Maritime Heritage, St Petersburg, Russia; [Linnebjerg, J. F.; Mallory, M. L.] Aarhus Univ, Dept Ecosci, DK-4000 Roskilde, Denmark; [Mallory, M. L.] Acadia Univ, Dept Biol, Wolfville, NS B4P 2R6, Canada</t>
  </si>
  <si>
    <t>Norwegian Institute for Water Research (NIVA); University of Bergen; Environment &amp; Climate Change Canada; McGill University; University of Toronto; Aarhus University; Norwegian Polar Institute; Memorial University Newfoundland; Carleton University; Carleton University; Arctic &amp; Antarctic Research Institute; Aarhus University; Acadia University</t>
  </si>
  <si>
    <t>Provencher, JF (corresponding author), Environm &amp; Climate Change Canada, Ecotoxicol &amp; Wildlife Hlth Div, Ottawa, ON K1A 0H3, Canada.</t>
  </si>
  <si>
    <t>jennifer.provencher@canada.ca</t>
  </si>
  <si>
    <t>Mallory, Mark L/A-1952-2017; Baak, Julia E./AAT-5109-2021; Gabrielsen, Geir Wing/JDC-6415-2023; Lusher, Amy L./Q-3483-2018; Provencher, Jennifer/J-2839-2016</t>
  </si>
  <si>
    <t>Baak, Julia E./0000-0003-3284-4833; Lusher, Amy/0000-0003-0539-2974; Hamilton, Bonnie/0000-0002-4721-9451; Provencher, Jennifer/0000-0002-4972-2034; Linnebjerg, Jannie Fries/0000-0003-4043-0606</t>
  </si>
  <si>
    <t>European Union [101003805]; Danish Environmental Protection Agency; CAFF via The Arctic Council Project Support Instru-ment (PSI); AARI; Norwegian Polar Institute</t>
  </si>
  <si>
    <t>European Union(European Union (EU)); Danish Environmental Protection Agency; CAFF via The Arctic Council Project Support Instru-ment (PSI); AARI; Norwegian Polar Institute</t>
  </si>
  <si>
    <t>We thank all those that contributed to conversations and dialogue. This includes Eivind Farmen, Jan Rene Larsen,Melanie Bergman, Lene Buhl-Mortensen, Andy Booth, AlessioGomiero, Bjorn Einar Grosvik, Dorte Herzke, Liisa Jantunen,Kerstin Magnusson, Peter Murphy, Diane Orihel, Ilka Peeken,Chelsea Rochman, Jakob Strand, Louise Feld, Gunnar Gerdts,Sebastian Primpke, Halldor Palmar Halldorsson, HermannDreki Guls, and Stefano Aliani. This work contributes to aproject that has received funding from European Union's Horizon 2020 Coordination and Support Action programme under Grant Agreement 101003805 (EUROqCHARM). KV received funding from the programme Miljostotte til Arktis of the Danish Environmental Protection Agency. MG received funding from CAFF via The Arctic Council Project Support Instrument (PSI) and AARI. GWG and IGH was funded by the Norwegian Polar Institute. We also appreciate the feedback from 3 anonymous reviewers.</t>
  </si>
  <si>
    <t>CANADIAN SCIENCE PUBLISHING</t>
  </si>
  <si>
    <t>OTTAWA</t>
  </si>
  <si>
    <t>65 AURIGA DR, SUITE 203, OTTAWA, ON K2E 7W6, CANADA</t>
  </si>
  <si>
    <t>2368-7460</t>
  </si>
  <si>
    <t>ARCT SCI</t>
  </si>
  <si>
    <t>Arct. Sci.</t>
  </si>
  <si>
    <t>10.1139/AS-2021-0058</t>
  </si>
  <si>
    <t>Ecology; Environmental Sciences; Multidisciplinary Sciences</t>
  </si>
  <si>
    <t>Environmental Sciences &amp; Ecology; Science &amp; Technology - Other Topics</t>
  </si>
  <si>
    <t>8A4DO</t>
  </si>
  <si>
    <t>WOS:000916190900001</t>
  </si>
  <si>
    <t>Keates, S; Harris, D</t>
  </si>
  <si>
    <t>Keates, Steven; Harris, Dan</t>
  </si>
  <si>
    <t>Antarctic ozone hole shrinking, slowly</t>
  </si>
  <si>
    <t>WEATHER</t>
  </si>
  <si>
    <t>News Item</t>
  </si>
  <si>
    <t>[Keates, Steven; Harris, Dan] Met Off, Exeter, Devon, England</t>
  </si>
  <si>
    <t>Met Office - UK</t>
  </si>
  <si>
    <t>Keates, S (corresponding author), Met Off, Exeter, Devon, England.</t>
  </si>
  <si>
    <t>0043-1656</t>
  </si>
  <si>
    <t>1477-8696</t>
  </si>
  <si>
    <t>Weather</t>
  </si>
  <si>
    <t>8F4DO</t>
  </si>
  <si>
    <t>WOS:000919615700019</t>
  </si>
  <si>
    <t>Ma, N; Jiang, JH; Hou, K; Lin, Y; Vu, T; Rosen, PE; Gu, Y; Fahy, KA</t>
  </si>
  <si>
    <t>Ma, Nicole; Jiang, Jonathan H.; Hou, Kennard; Lin, Yun; Trung Vu; Rosen, Philip E.; Gu, Yu; Fahy, Kristen A.</t>
  </si>
  <si>
    <t>21st Century Global and Regional Surface Temperature Projections</t>
  </si>
  <si>
    <t>surface temperature; climate model; global warming projection</t>
  </si>
  <si>
    <t>POLAR AMPLIFICATION; RISE</t>
  </si>
  <si>
    <t>Many countries and regions across the globe broke their surface temperature records in recent years. Recent crippling heat waves swept across the Earth, further sparking concerns about the impending arrival of tipping points later in the 21st century. This study analyzes observed global surface temperature trends in three target latitudinal regions: the Arctic Circle, Tropics, and the Antarctic Circle. We show that global warming is accelerating unevenly across the planet, with the Arctic warming at more than three times the average rate of our world. We also analyzed the reliability of latitude-dependent surface temperature simulations from a suite of Coupled Model Intercomparison Project Phase 6 (CMIP6) models and their multi-model mean (MMM) by comparing their outputs to observational data sets. We selected the best-performing models based on their statistical abilities to reproduce historical, latitude-dependent values adapted from these data sets. The surface temperature projections were calculated from ensemble simulations of the Shared Socioeconomic Pathway 2-4.5 (SSP2-4.5) by the selected CMIP6 models. We estimate the calendar years of when surface temperatures will increase by 1.5, 2.0, and 2.5 degrees C relative to the preindustrial period, both globally and in the three target regions. Our results reaffirm a dramatic, upward trend in projected surface temperatures, with unprecedented acceleration in the Arctic Circle, which could lead to catastrophic consequences across the Earth. Further studies are necessary to determine the most efficient solutions to reduce global warming acceleration and maintain a low SSP, both globally and regionally.</t>
  </si>
  <si>
    <t>[Ma, Nicole] Sage Hill Sch, Newport Beach, CA USA; [Jiang, Jonathan H.; Fahy, Kristen A.] CALTECH, Jet Prop Lab, Pasadena, CA 91125 USA; [Hou, Kennard] Hanford High Sch, Richland, WA USA; [Lin, Yun; Trung Vu; Gu, Yu] Univ Calif Los Angeles, JIFRESSE, Los Angeles, CA USA</t>
  </si>
  <si>
    <t>National Aeronautics &amp; Space Administration (NASA); NASA Jet Propulsion Laboratory (JPL); California Institute of Technology; University of California System; University of California Los Angeles</t>
  </si>
  <si>
    <t>Jiang, JH (corresponding author), CALTECH, Jet Prop Lab, Pasadena, CA 91125 USA.</t>
  </si>
  <si>
    <t>Jonathan.H.Jiang@jpl.nasa.gov</t>
  </si>
  <si>
    <t>Jiang, Jonathan/0000-0002-5929-8951; Hou, Kennard/0009-0004-5303-6901; Gu, Yu/0000-0002-3412-0794</t>
  </si>
  <si>
    <t>Jet Propulsion Laboratory, California Institute of Technology; NASA; Joint Institute for Regional Earth System Science &amp; Engineering, University of California, Los Angeles</t>
  </si>
  <si>
    <t>Jet Propulsion Laboratory, California Institute of Technology; NASA(National Aeronautics &amp; Space Administration (NASA)); Joint Institute for Regional Earth System Science &amp; Engineering, University of California, Los Angeles</t>
  </si>
  <si>
    <t>This study is supported by the Jet Propulsion Laboratory, California Institute of Technology, under contract with NASA. The authors also acknowledge the support by the Joint Institute for Regional Earth System Science &amp; Engineering, University of California, Los Angeles.</t>
  </si>
  <si>
    <t>e2022EA002662</t>
  </si>
  <si>
    <t>10.1029/2022EA002662</t>
  </si>
  <si>
    <t>8O3LC</t>
  </si>
  <si>
    <t>WOS:000925738000001</t>
  </si>
  <si>
    <t>Warlick, AJ; Johnson, DS; Gelatt, TS; Converse, SJ</t>
  </si>
  <si>
    <t>Warlick, Amanda J. J.; Johnson, Devin S. S.; Gelatt, Tom S. S.; Converse, Sarah J. J.</t>
  </si>
  <si>
    <t>Environmental drivers of demography and potential factors limiting the recovery of an endangered marine top predator</t>
  </si>
  <si>
    <t>ECOSPHERE</t>
  </si>
  <si>
    <t>conservation; demography; environmental variability; hierarchical model; mark-resight; oceanographic conditions; Steller sea lion; survival; western distinct population segment</t>
  </si>
  <si>
    <t>STELLER SEA LIONS; ANTARCTIC FUR SEALS; EUMETOPIAS-JUBATUS; CAPTURE-RECAPTURE; POPULATION-DYNAMICS; ATTENDANCE PATTERNS; SURVIVAL RATES; WEDDELL SEALS; GROWTH-RATE; PACIFIC</t>
  </si>
  <si>
    <t>Understanding what drives changes in wildlife demography is fundamental to the conservation and management of depleted or declining populations, though making inference about the intrinsic and extrinsic factors that influence survival and reproduction remains challenging. Here we use mark-resight data from 2000 to 2018 to examine the effects of environmental variability on age-specific survival and natality for the endangered western distinct population segment (wDPS) of Steller sea lions (Eumetopias jubatus) in Alaska, USA. Though this population has been studied extensively over the last four decades, the causes of divergent abundance trends that have been observed across the wDPS range remain unknown. We developed a Bayesian multievent mark-resight model that accounts for female reproductive state uncertainty. Annual survival probabilities for male pups (0.44; 0.36-0.53), female yearlings (0.63; 0.49-0.73), and male yearlings (0.62; 0.51-0.71) born in the western portion of the wDPS range, estimated here for the first time, were lower than those in the eastern portion of the wDPS range, estimated as: male pups (0.69; 0.65-0.74), female yearlings (0.76; 0.71-0.81), and male yearlings (0.71; 0.65-0.78). There was a higher proportion of young female breeders in the western portion of the range, but overall natality was lower (0.69; 0.47-0.96) than in the eastern portion of the range (0.80; 0.74-0.84). Additionally, pup mass had a positive effect on pup survival in the eastern portion of the range and a negative effect in the western portion of the range, potentially due to earlier weaning of heavier pups. Local- and basin-scale oceanographic features such as the Aleutian Low, the Arctic Oscillation Index, the North Pacific Gyre Oscillation, chlorophyll concentration, upwelling, and wind in certain seasons were correlated with vital rates. However, drawing strong inferences from these correlations is challenging given that relationships between ocean conditions and an adaptive top predator in a dynamic ecosystem are exceedingly complex. This study provides the first demographic rate estimates for the western portion of the range where abundance estimates continue to decline. These results will advance efforts to identify factors driving regionally divergent abundance trends, with implications for population-level responses to future climate variability.</t>
  </si>
  <si>
    <t>[Warlick, Amanda J. J.; Converse, Sarah J. J.] Univ Washington, Sch Aquat &amp; Fishery Sci, Seattle, WA 98195 USA; [Johnson, Devin S. S.] Natl Marine Fisheries Serv, Pacific Isl Fisheries Sci Ctr, Honolulu, HI USA; [Gelatt, Tom S. S.] Natl Marine Fisheries Serv, Marine Mammal Lab, Alaska Fisheries Sci Ctr, Seattle, WA USA; [Converse, Sarah J. J.] Univ Washington, US Geol Survey, Sch Environm &amp; Forest Sci, Washington Cooperat Fish &amp; Wildlife Res Unit, Seattle, WA USA</t>
  </si>
  <si>
    <t>University of Washington; University of Washington Seattle; National Aeronautics &amp; Space Administration (NASA); National Oceanic Atmospheric Admin (NOAA) - USA; National Oceanic Atmospheric Admin (NOAA) - USA; University of Washington; University of Washington Seattle; United States Department of the Interior; United States Geological Survey</t>
  </si>
  <si>
    <t>Warlick, AJ (corresponding author), Univ Washington, Sch Aquat &amp; Fishery Sci, Seattle, WA 98195 USA.</t>
  </si>
  <si>
    <t>awarlick@uw.edu</t>
  </si>
  <si>
    <t>Warlick, Amanda/0000-0003-0926-1672</t>
  </si>
  <si>
    <t>National Science Foundation Graduate Research Fellowship Program</t>
  </si>
  <si>
    <t>National Science Foundation Graduate Research Fellowship Program(National Science Foundation (NSF))</t>
  </si>
  <si>
    <t>2150-8925</t>
  </si>
  <si>
    <t>Ecosphere</t>
  </si>
  <si>
    <t>e4325</t>
  </si>
  <si>
    <t>10.1002/ecs2.4325</t>
  </si>
  <si>
    <t>7K6FT</t>
  </si>
  <si>
    <t>WOS:000905377200001</t>
  </si>
  <si>
    <t>Kuklin, VV</t>
  </si>
  <si>
    <t>Kuklin, V. V.</t>
  </si>
  <si>
    <t>Biogeographical Aspects of Helminths Parasitizing Barents Sea Birds: Spatial Distribution and Host Preferences</t>
  </si>
  <si>
    <t>BIOLOGY BULLETIN</t>
  </si>
  <si>
    <t>parasitic worms; seabirds; biodiversity; faunogenesis; Arctic</t>
  </si>
  <si>
    <t>POPULATION GENETIC-STRUCTURE; URIA-LOMVIA LINNAEUS; SP-N; INTERMEDIATE HOST; LIFE-CYCLES; SOMATERIA-MOLLISSIMA; LARUS-ARGENTATUS; NORTH PACIFIC; HERRING GULL; GYMNOPHALLID TREMATODES</t>
  </si>
  <si>
    <t>To date, 53 helminth species have been discovered in the gastrointestinal tracts and other internal organs of Barents Sea birds. These parasites circulate in pelagic and coastal biocenoses. This paper analyzes their spatial distribution and host preferences in other geographical regions based on data collected by the author in the course of long-term studies and literature data. It is established that the only Barents Sea endemic is the cestode Tetrabothrius morschtini. Fifty-two species were recorded in the North Atlantic, 48 species in the North Pacific, six species in the South Atlantic, six in the Australia-New Zealand region, five in the Antarctic, four in the South Pacific, and three in the Indian Ocean basin. Analysis showed that these parasites feature two main distribution types. The amphiboreal distribution typical for the majority of species is determined by the existence of a single transarctic range of many intermediate and definitive helminth hosts in the Pliocene and the dispersion of their eggs by birds during interglacial periods of the Pleistocene. The bipolar distribution typical for 12 species is likely determined by the transfer of parasites from the Holarctic realm by their definitive hosts in the course of species divergence or during seasonal migrations. It cannot be ruled out that some helminth species have migrated from the Antarctic region to the Holarctic realm with their definitive hosts. The roles of key evolutionary-environmental factors (e.g., mobility of definitive hosts, presence of intermediate hosts, and life spans of sexually mature helminth stages) determining the biogeographical patterns of various host-parasite complexes were examined.</t>
  </si>
  <si>
    <t>[Kuklin, V. V.] Russian Acad Sci, Murmansk Marine Biol Inst, Murmansk 183010, Russia</t>
  </si>
  <si>
    <t>Russian Academy of Sciences</t>
  </si>
  <si>
    <t>Kuklin, VV (corresponding author), Russian Acad Sci, Murmansk Marine Biol Inst, Murmansk 183010, Russia.</t>
  </si>
  <si>
    <t>VV_Kuklin@mail.ru</t>
  </si>
  <si>
    <t>1062-3590</t>
  </si>
  <si>
    <t>1608-3059</t>
  </si>
  <si>
    <t>BIOL BULL+</t>
  </si>
  <si>
    <t>Biol. Bull</t>
  </si>
  <si>
    <t>10.1134/S1062359022090175</t>
  </si>
  <si>
    <t>8M7GT</t>
  </si>
  <si>
    <t>WOS:000924629200026</t>
  </si>
  <si>
    <t>Audette, A; Kushner, PJ</t>
  </si>
  <si>
    <t>Audette, Alexandre; Kushner, Paul J.</t>
  </si>
  <si>
    <t>Simple Hybrid Sea Ice Nudging Method for Improving Control Over Partitioning of Sea Ice Concentration and Thickness</t>
  </si>
  <si>
    <t>JOURNAL OF ADVANCES IN MODELING EARTH SYSTEMS</t>
  </si>
  <si>
    <t>sea ice; Arctic amplification; constraining sea ice; coupled model</t>
  </si>
  <si>
    <t>ATMOSPHERIC RESPONSE; ARCTIC AMPLIFICATION; CIRCULATION RESPONSE; MECHANISMS</t>
  </si>
  <si>
    <t>To assess the effect of ocean-atmosphere coupling in the climate response to forced sea ice loss, the Polar Amplification Model Intercomparison Project protocol includes centennial coupled atmosphere-ocean general circulation model simulations with imposed sea ice loss. The protocol, which specifies sea ice concentration and thickness distribution targets, does not prescribe a method for achieving them. Although different methods for imposing sea ice loss (or growth) in models have been documented, testing of the method-dependence of the resulting climate responses has been limited. Achieving the targeted sea ice state has proven to be challenging using the so-called ghost-flux nudging method, which induces ice melt from below, as this method does not constrain the partitioning between thickness and concentration. We propose, describe and test a simple method that combines the advantages of direct sea ice nudging and ghost-flux nudging. The hybrid nudging method better captures the partitioning between thickness and concentration while conserving total water content. We document how this novel sea ice constraining method reaches specific targets, enhances surface turbulent heat flux responses to sea ice loss, and induces tropospheric warming for both polar regions. The Arctic is warming faster than the global average due to several processes that, once combined, lead to so-called Arctic Amplification. Part of this anomalous polar warming comes from an intense reduction in ice cover allowing heat into the ocean, warming the Arctic ocean near the surface, hence melting more ice. A joint effort by several climate modeling groups called the Polar Amplification Model Intercomparison Project (PAMIP) aims at better understanding Arctic Amplification through a coordinated set of climate simulations. Among this ensemble of simulations is a set of centennial simulations performed with fully coupled state-of-the-art climate models. In these experiments, Arctic (and Antarctic) sea ice are forced to reach specific states in order to better isolate Arctic Amplification and sea ice loss from the rest of anthropogenic global warming. In this paper, we propose a simple technique to nudge sea ice models to specific states such as prescribed by PAMIP. This new method combines advantages from existing techniques to improve the control over the extent and the thickness of the ice. We document how our novel method produces atmospheric warming and circulation responses that are more consistent with previously published results than the existing techniques.</t>
  </si>
  <si>
    <t>[Audette, Alexandre; Kushner, Paul J.] Univ Toronto, Dept Phys, Toronto, ON, Canada</t>
  </si>
  <si>
    <t>University of Toronto</t>
  </si>
  <si>
    <t>Audette, A (corresponding author), Univ Toronto, Dept Phys, Toronto, ON, Canada.</t>
  </si>
  <si>
    <t>alexandre.audette@utoronto.ca</t>
  </si>
  <si>
    <t>Kushner, Paul/H-6716-2016</t>
  </si>
  <si>
    <t>Kushner, Paul/0000-0002-6404-4518</t>
  </si>
  <si>
    <t>Ontario Graduate Scholarship; U.S. Department of Energy [DE-SC0019407]; U.S. Department of Energy (DOE) [DE-SC0019407] Funding Source: U.S. Department of Energy (DOE)</t>
  </si>
  <si>
    <t>Ontario Graduate Scholarship(Ontario Graduate Scholarship); U.S. Department of Energy(United States Department of Energy (DOE)); U.S. Department of Energy (DOE)(United States Department of Energy (DOE))</t>
  </si>
  <si>
    <t>The authors would like to thank three anonymous reviewers for their comments that helped improve this paper. The authors would also like to acknowledge funding from the Ontario Graduate Scholarship and from the U.S. Department of Energy Grant DE-SC0019407.</t>
  </si>
  <si>
    <t>1942-2466</t>
  </si>
  <si>
    <t>J ADV MODEL EARTH SY</t>
  </si>
  <si>
    <t>J. Adv. Model. Earth Syst.</t>
  </si>
  <si>
    <t>e2022MS003180</t>
  </si>
  <si>
    <t>10.1029/2022MS003180</t>
  </si>
  <si>
    <t>8M5IX</t>
  </si>
  <si>
    <t>WOS:000924499500001</t>
  </si>
  <si>
    <t>Mehlmann, C; Gutjahr, O</t>
  </si>
  <si>
    <t>Mehlmann, Carolin; Gutjahr, Oliver</t>
  </si>
  <si>
    <t>Discretization of Sea Ice Dynamics in the Tangent Plane to the Sphere by a CD-Grid-Type Finite Element</t>
  </si>
  <si>
    <t>CD-grid like finite elements; sea ice dynamics; ICON-O</t>
  </si>
  <si>
    <t>CROUZEIX-RAVIART ELEMENT; OCEAN MODEL; FORMULATION; EQUATIONS</t>
  </si>
  <si>
    <t>We present a new discretization of sea ice dynamics on the sphere. The approach describes sea ice motion in tangent planes to the sphere. On each triangle of the mesh, the ice dynamics are discretized in a local coordinate system using a CD-grid-like non-conforming finite element method. The development allows a straightforward coupling to the C-grid like ocean model in Icosahedral Non-hydrostatic-Ocean model, which uses the same infrastructure as the sea ice module. Using a series of test examples, we demonstrate that the non-conforming finite element discretization provides a stable realization of large-scale sea ice dynamics on the sphere. A comparison with observation shows that we can simulate typical drift patterns with the new numerical realization of the sea ice dynamics. Plain Language Summary Sea ice in polar regions plays an important role in the exchange of heat and freshwater between the atmosphere and the ocean and hence for climate in general. Therefore climate models require a description (a set of equations) to express the large-scale sea ice motion. We present a mathematical framework for describing sea ice flow in a global three-dimensional Cartesian system. The idea is to express the sea ice motion in tangent planes. In this reference system, we solve the mathematical equations that describe the sea ice motion. The equations are approximated on a computational grid, that consists of triangles covering the surface of the sphere. On each triangle the sea ice velocity is placed at the edge midpoint. The development is motivated by the infrastructure of the ocean and sea ice model Icosahedral Non-hydrostatic-Ocean model. The old representation of sea ice dynamics uses a different design principle. Therefore, the communication between the sea ice and ocean model is computationally expensive. To circumvent this problem we have developed a numerical realization of sea ice dynamics that uses the same infrastructure as the ocean model. We show that the new realization of the sea ice dynamics is capable of capturing the sea ice drift.</t>
  </si>
  <si>
    <t>[Mehlmann, Carolin] Otto von Guericke Univ, Magdeburg, Germany; [Gutjahr, Oliver] Univ Hamburg, Inst Meereskunde, Hamburg, Germany; [Gutjahr, Oliver] Max Planck Inst Meteorol, Hamburg, Germany</t>
  </si>
  <si>
    <t>Otto von Guericke University; University of Hamburg; Max Planck Society</t>
  </si>
  <si>
    <t>Mehlmann, C (corresponding author), Otto von Guericke Univ, Magdeburg, Germany.</t>
  </si>
  <si>
    <t>carolin.mehlmann@ovgu.de</t>
  </si>
  <si>
    <t>Atmosphere and Ocean, Collaborative Research Center TRR 181- Energy Transfers in/AAY-2721-2020</t>
  </si>
  <si>
    <t>Mehlmann, Carolin/0000-0001-7329-5178; Gutjahr, Oliver/0000-0002-3116-8071</t>
  </si>
  <si>
    <t>Max Planck Society for the Advancement of Science; Deutsche Forschungsgemeinschaft (DFG, German Research Foundation) [463061012, SPP 1158, TRR 181, 274762653]; Scientific Steering Committee (WLA) [mh0033, bm1239]; Projekt DEAL</t>
  </si>
  <si>
    <t>Max Planck Society for the Advancement of Science(Max Planck Society); Deutsche Forschungsgemeinschaft (DFG, German Research Foundation)(German Research Foundation (DFG)); Scientific Steering Committee (WLA); Projekt DEAL</t>
  </si>
  <si>
    <t>We thank Bruno Tremblay and the anonymous reviewer for the valuable remarks. This work was supported by the Max Planck Society for the Advancement of Science. C. Mehlmann is funded by the Deutsche Forschungsgemeinschaft (DFG, German Research Foundation)-Project number 463061012. The project is part of the priority programme Antarctic Research with Comparative Investigations in Arctic Ice Areas (SPP 1158). O. Gutjahr received funding from the Collaborative Research Center TRR 181 Energy Transfers in Atmosphere and Ocean funded by the Deutsche Forschungsgemeinschaft (DFG, German Research Foundation)-Project number 274762653. Thanks to ICDC, CEN, University of Hamburg for data support. This work used resources of the Deutsches Klimarechenzentrum (DKRZ) granted by its Scientific Steering Committee (WLA) under project ID mh0033 and bm1239. We acknowledge the Python Software Foundation-Python Language Reference, version 3.9.9, available at . Open access funding enabled and organized by Projekt DEAL.</t>
  </si>
  <si>
    <t>e2022MS003010</t>
  </si>
  <si>
    <t>10.1029/2022MS003010</t>
  </si>
  <si>
    <t>8M5HJ</t>
  </si>
  <si>
    <t>WOS:000924495500001</t>
  </si>
  <si>
    <t>Mu, LJ; Nerger, L; Streffingl, J; Tang, Q; Niraulal, B; Zampieri, L; Loza, SN; Goessling, HF</t>
  </si>
  <si>
    <t>Mu, Longjiang; Nerger, Lars; Streffingl, Jan; Tang, Qi; Niraulal, Bimochan; Zampieri, Lorenzo; Loza, Svetlana N.; Goessling, Helge F.</t>
  </si>
  <si>
    <t>Sea-Ice Forecasts With an Upgraded AWI Coupled Prediction System</t>
  </si>
  <si>
    <t>seamless sea ice forecast; multivariate data assimilation; forecast calibration; spatial probability score</t>
  </si>
  <si>
    <t>DATA ASSIMILATION; PREDICTABILITY; CRYOSAT-2; THICKNESS; ENSEMBLE; MODEL; SMOS; VERSION; UNCERTAINTY; SENSITIVITY</t>
  </si>
  <si>
    <t>A new version of the AWI Coupled Prediction System is developed based on the Alfred Wegener Institute Climate Model v3.0. Both the ocean and the atmosphere models are upgraded or replaced, reducing the computation time by a factor of 5 at a given resolution. This allowed us to increase the ensemble size from 12 to 30, maintaining a similar resolution in both model components. The online coupled data assimilation scheme now additionally utilizes sea-surface salinity and sea-level anomaly as well as temperature and salinity profile observations. Results from the data assimilation demonstrate that the sea-ice and ocean states are reasonably constrained. In particular, the temperature and salinity profile assimilation has mitigated systematic errors in the deeper ocean, although issues remain over polar regions where strong atmosphere-ocean-ice interaction occurs. One-year-long sea-ice forecasts initialized on 1 January, 1 April, 1 July and 1 October from 2003 to 2019 are described. To correct systematic forecast errors, sea-ice concentration from 2011 to 2019 is calibrated by trend-adjusted quantile mapping using the preceding forecasts from 2003 to 2010. The sea-ice edge raw forecast skill is within the range of operational global subseasonal-to-seasonal forecast systems, outperforming a climatological benchmark for about 2 weeks in the Arctic and about 3 weeks in the Antarctic. The calibration is much more effective in the Arctic: Calibrated sea-ice edge forecasts outperform climatology for about 45 days in the Arctic but only 27 days in the Antarctic. Both the raw and the calibrated forecast skill exhibit strong seasonal variations. Ocean data sparseness and systematic model errors pose problems for the initialization of coupled seasonal forecasts, especially in polar regions. Our global forecast system follows a seamless approach with refined ocean resolution in the Arctic. The new version presented here features higher computational efficiency and utilizes more ocean and sea-ice observations. Ice-edge forecasts outperform a climatological benchmark for about 1 month, comparable to established systems.</t>
  </si>
  <si>
    <t>[Mu, Longjiang; Nerger, Lars; Streffingl, Jan; Niraulal, Bimochan; Loza, Svetlana N.; Goessling, Helge F.] Alfred Wegener Inst, Helmholtz Ctr Polar &amp; Marine Res, Bremerhaven, Germany; [Mu, Longjiang] Laoshan Lab, Deep Sea Multidisciplinary Res Ctr, Qingdao, Shandong, Peoples R China; [Streffingl, Jan] Jacobs Univ Bremen, Bremen, Germany; [Tang, Qi] Univ Neuchatel, Ctr Hydrogeol &amp; Geotherm CHYN, Neuchatel, Switzerland; [Tang, Qi] Univ Basel, Dept Environm Sci, Hydrogeol, Basel, Switzerland; [Zampieri, Lorenzo] Natl Ctr Atmospher Res, POB 3000, Boulder, CO 80307 USA; [Loza, Svetlana N.] Russian Acad Sci, Shirshov Inst Oceanol, Moscow, Russia</t>
  </si>
  <si>
    <t>Helmholtz Association; Alfred Wegener Institute, Helmholtz Centre for Polar &amp; Marine Research; Laoshan Laboratory; Jacobs University; University of Neuchatel; University of Basel; National Center Atmospheric Research (NCAR) - USA; Russian Academy of Sciences; Shirshov Institute of Oceanology</t>
  </si>
  <si>
    <t>Mu, LJ (corresponding author), Alfred Wegener Inst, Helmholtz Ctr Polar &amp; Marine Res, Bremerhaven, Germany.</t>
  </si>
  <si>
    <t>longjiang.mu@awi.de</t>
  </si>
  <si>
    <t>Loza, Svetlana N./E-3099-2019; Nerger, Lars/G-4845-2013; Zampieri, Lorenzo/AAS-9328-2021</t>
  </si>
  <si>
    <t>Loza, Svetlana N./0000-0003-2153-1954; Nerger, Lars/0000-0002-1908-1010; Zampieri, Lorenzo/0000-0003-1703-4162; Mu, Longjiang/0000-0001-5668-8025; Niraula, Bimochan/0000-0002-3315-1230; Goessling, Helge/0000-0001-9018-1383; Tang, Qi/0000-0002-2109-7935; Streffing, Jan/0000-0001-9515-3322</t>
  </si>
  <si>
    <t>Federal Ministry of Education and Research of Germany [01LN1701A]; National Natural Science Foundation of China [42176235, TRR 181]; Deutsche Forschungsgemeinschaft (DFG, German Research Foundation) [274762653]; Federal Agency for Scientific Organizations (FASO) Russia [FMWE-2021-0014]; North-German Supercomputing Alliance (HLRN)</t>
  </si>
  <si>
    <t>Federal Ministry of Education and Research of Germany(Federal Ministry of Education &amp; Research (BMBF)); National Natural Science Foundation of China(National Natural Science Foundation of China (NSFC)); Deutsche Forschungsgemeinschaft (DFG, German Research Foundation)(German Research Foundation (DFG)); Federal Agency for Scientific Organizations (FASO) Russia; North-German Supercomputing Alliance (HLRN)</t>
  </si>
  <si>
    <t>This study is supported by the Federal Ministry of Education and Research of Germany in the framework of SSIP (Grant 01LN1701A) and the National Natural Science Foundation of China (42176235). JS is supported by the projects L4, S1 and S2 of the Collaborative Research Centre TRR 181 Energy Transfers in Atmosphere and Ocean funded by the Deutsche Forschungsgemeinschaft (DFG, German Research Foundation) under Project 274762653. The contribution of SL was partly made in the framework of the state assignment of the Federal Agency for Scientific Organizations (FASO) Russia (theme FMWE-2021-0014). The simulations were performed at the German Climate Computing Centre (DKRZ) and the North-German Supercomputing Alliance (HLRN). LM developed the system, conducted the experiments and drafted the paper. HG initiated and leads the development of the system. LN is the main developer of PDAF and contributed to data assimilation aspects specific to our forecast system. JS is the main developer of AWI-CM3 and provided technical support. BN helped with the sea-ice forecast calibration. QT provided support with the T/S profiles assimilation. LZ gave supports on the coupling details in the AWI-CM3. SL contributed to the discussion about the framework of the system. All authors discussed the system development together and contributed to the manuscript. Thanks to the technical help from Patrick Scholz, Dmitry Sidorenko, and the supports from Arlan Dirkson on the TAQM calibration method. Finally we thank the two reviewers in helping to further improve our paper. Open Access funding enabled and organized by Projekt DEAL.</t>
  </si>
  <si>
    <t>e2022MS003176</t>
  </si>
  <si>
    <t>10.1029/2022MS003176</t>
  </si>
  <si>
    <t>8M5OV</t>
  </si>
  <si>
    <t>WOS:000924514900001</t>
  </si>
  <si>
    <t>Zhou, W; Butcher, A; Brisbourne, AM; Kufner, SK; Kendall, JM; Stork, AL</t>
  </si>
  <si>
    <t>Zhou, Wen; Butcher, Antony; Brisbourne, Alex M.; Kufner, Sofia-Katerina; Kendall, J-Michael; Stork, Anna L.</t>
  </si>
  <si>
    <t>Seismic Noise Interferometry and Distributed Acoustic Sensing (DAS): Inverting for the Firn Layer S-Velocity Structure on Rutford Ice Stream, Antarctica</t>
  </si>
  <si>
    <t>JOURNAL OF GEOPHYSICAL RESEARCH-EARTH SURFACE</t>
  </si>
  <si>
    <t>distributed acoustic sensing; noise interferometry; firn; near-surface imaging; glacier; S-velocity model</t>
  </si>
  <si>
    <t>PHASE-SENSITIVE RADAR; MULTICHANNEL ANALYSIS; WEST ANTARCTICA; WAVE; DENSIFICATION; INVERSION; GLACIER; SHELF; ACCUMULATION; ANISOTROPY</t>
  </si>
  <si>
    <t>Firn densification profiles are an important parameter for ice-sheet mass balance and palaeoclimate studies. One conventional method of investigating firn profiles is using seismic refraction surveys, but these are difficult to upscale to large-area measurements. Distributed acoustic sensing (DAS) presents an opportunity for large-scale seismic measurements of firn with dense spatial sampling and easy deployment, especially when seismic noise is used. We study the feasibility of seismic noise interferometry (SI) on DAS data for characterizing the firn layer at the Rutford Ice Stream, West Antarctica. Dominant seismic energy appears to come from anthropogenic noise and shear-margin crevasses. The DAS cross-correlation interferometry yields noisy Rayleigh wave signals. To overcome this, we present two strategies for cross-correlations: (a) hybrid instruments-correlating a geophone with DAS, and (b) stacking of selected cross-correlation panels picked in the tau-p domain. These approaches are validated with results derived from an active survey. Using the retrieved Rayleigh wave dispersion curve, we inverted for a high-resolution 1D S-wave velocity profile down to a depth of 100 m. The profile shows a kink (velocity gradient inflection) at similar to 12 m depth, resulting from a change of compaction mechanism. A triangular DAS array is used to investigate directional variation in velocity, which shows no evident variations thus suggesting a lack of azimuthal anisotropy in the firn. Our results demonstrate the potential of using DAS and SI to image the near-surface and present a new approach to derive S-velocity profiles from surface wave inversion in firn studies. Plain Language Summary The density distribution (density change with depth) over tens of meters at the top of a glacier is an important feature of ice-sheet mass balance and palaeoclimate research. It can be estimated using the empirical relationship between density and seismic P-wave velocity. The P-wave velocity can be measured using a seismic refraction survey with geophones and active sources. However, refraction seismic surveys are expensive for measurements over large areas. Distributed Acoustic Sensing (DAS) using fiber optic cables to detect seismic waves is an emerging dense spatial sampling seismic acquisition technology. It can be used in conjunction with seismic noise cross-correlation to make large-scale measurements easier and cheaper than with conventional geophones. We investigate the feasibility of this approach on Rutford Ice Stream, West Antarctica, and propose two approaches to improve DAS seismic-noise cross-correlation results. Surface waves are retrieved by seismic noise cross-correlation and are used to estimate the S-wave velocity structure. Our S-velocity profile resembles an independently measured P-velocity in-shape and presents a velocity gradient inflection-related to changes in the snow compaction mechanism. We show that DAS and seismic noise interferometry can be used for future firn measurements, but also more generally in studies of the near-surface.</t>
  </si>
  <si>
    <t>[Zhou, Wen; Butcher, Antony] Univ Bristol, Sch Earth Sci, Bristol, Avon, England; [Zhou, Wen] Delft Univ Technol, Dept Geosci &amp; Engn, Delft, Netherlands; [Brisbourne, Alex M.; Kufner, Sofia-Katerina] British Antarctic Survey, Cambridge, England; [Kufner, Sofia-Katerina] Karlsruhe Inst Technol, Geophys Inst, Karlsruhe, Germany; [Kendall, J-Michael] Univ Oxford, Dept Earth Sci, Oxford, England; [Stork, Anna L.] Silixa Ltd, Elstree, England</t>
  </si>
  <si>
    <t>University of Bristol; Delft University of Technology; UK Research &amp; Innovation (UKRI); Natural Environment Research Council (NERC); NERC British Antarctic Survey; Helmholtz Association; Karlsruhe Institute of Technology; University of Oxford</t>
  </si>
  <si>
    <t>Zhou, W (corresponding author), Univ Bristol, Sch Earth Sci, Bristol, Avon, England.;Zhou, W (corresponding author), Delft Univ Technol, Dept Geosci &amp; Engn, Delft, Netherlands.</t>
  </si>
  <si>
    <t>wz18709@bristol.ac.uk</t>
  </si>
  <si>
    <t>Facility, NERC Geophysical Equipment/G-5260-2010; Kendall, Michael/D-5973-2011; Zhou, Wen/C-3750-2012; Brisbourne, Alex/E-6198-2013</t>
  </si>
  <si>
    <t>Kendall, Michael/0000-0002-1486-3945; Stork, Anna/0000-0001-5989-3788; Butcher, Antony/0000-0002-2193-3817; Kufner, Sofia-Katerina/0000-0002-9687-5455; Brisbourne, Alex/0000-0002-9887-7120</t>
  </si>
  <si>
    <t>UK's Department for Business, Energy and Industrial Strategy through the DigiMon ACT CCS project [299622]; NERC Collaborative Antarctic Science Scheme grant [CASS-166]; BEAMISH Project [NE/G014159/1]</t>
  </si>
  <si>
    <t>UK's Department for Business, Energy and Industrial Strategy through the DigiMon ACT CCS project; NERC Collaborative Antarctic Science Scheme grant(UK Research &amp; Innovation (UKRI)Natural Environment Research Council (NERC)); BEAMISH Project</t>
  </si>
  <si>
    <t>This work was funded by the UK's Department for Business, Energy and Industrial Strategy through the DigiMon ACT CCS project (project number 299622), and the NERC Collaborative Antarctic Science Scheme grant (Grant CASS-166). Fieldwork was undertaken as part of the BEAMISH Project (NERC AFI award numbers NE/G014159/1). We thank Silixa for the loan of an iDAS interrogator. Geophones were borrowed from the UK Geophysical Equipment Facility (GEF loan number 1111). This work used computational facilities of the Advanced Computing Research Centre, Univeristy of Bristol - . Obspy (Krischer et al., 2015) is intensively used for data processing. The tau-p transform was performed with PyLops (Ravasi &amp; Vasconcelos, 2020). Jelle Assink (KNMI) is thanked for useful discussion on the low-frequency signal in DAS and pointing out the weather data from ECMWF (European Centre for Medium-Range Weather Forecasts, 2017). Thomas Hudson and Sacha Lapins are thanked for useful discussions. Hanneke Paulssen is thanked for reading and commenting on the manuscript. We thank Emma Smith, Andreas Fichtner, two anonymous reviewers and the associated editor Paul Winberry for their constructive comments.</t>
  </si>
  <si>
    <t>2169-9003</t>
  </si>
  <si>
    <t>2169-9011</t>
  </si>
  <si>
    <t>J GEOPHYS RES-EARTH</t>
  </si>
  <si>
    <t>J. Geophys. Res.-Earth Surf.</t>
  </si>
  <si>
    <t>e2022JF006917</t>
  </si>
  <si>
    <t>10.1029/2022JF006917</t>
  </si>
  <si>
    <t>8M7GW</t>
  </si>
  <si>
    <t>Green Published, hybrid, Green Submitted, Green Accepted</t>
  </si>
  <si>
    <t>WOS:000924629500001</t>
  </si>
  <si>
    <t>Hojnacki, V; Lepp, A; Castaldo, JH; States, A; Li, XN; Passchier, S</t>
  </si>
  <si>
    <t>Hojnacki, Victoria; Lepp, Allison; Castaldo, Josie Horowitz; States, Abbey; Li, Xiaona; Passchier, Sandra</t>
  </si>
  <si>
    <t>Impact of Eocene-Oligocene Antarctic Glaciation on the Paleoceanography of the Weddell Sea</t>
  </si>
  <si>
    <t>SOUTHERN-OCEAN CIRCULATION; ANOXIC MARINE-SEDIMENTS; DEEP-WATER CIRCULATION; ICE-SHEET EXPANSION; ISOTOPIC COMPOSITION; BARIUM ACCUMULATION; CIRCUMPOLAR CURRENT; GEOLOGICAL SAMPLES; LEVEL RISE; CLIMATE</t>
  </si>
  <si>
    <t>The Eocene-Oligocene Transition (EOT) at similar to 34 Ma marked a climatic shift from greenhouse to icehouse conditions, toward long-lasting lower global temperatures and a continental ice sheet in the Antarctic. We report on sedimentological and inorganic geochemical results across the EOT at Ocean Drilling Program (ODP) Site 696 in the Weddell Sea, within the Antarctic limb of the Atlantic circulation. The geochemical composition of detrital, authigenic and biogenic marine sediment components, and sortable silt proxies demonstrate the impact of ice growth on high latitude water masses. Sortable silt grain size and Zr/Rb ratios attest to a period of vigorous circulation at similar to 36.2-35.8 Ma, coincident with a known warm interval in the Southern Ocean. Across the EOT, detrital provenance suggests that regional ice growth in the western Weddell Sea was stepwise, first expanding in the Antarctic Peninsula, followed by parts of West Antarctica. In conjunction with regional ice growth, high uranium enrichment factors (U EF) in sediments spanning the EOT interval indicate anoxic conditions in the sediment with evidence of carbonate dissolution. Following glacial expansion and sea-ice formation at similar to 33.6 Ma, a return to oxic conditions and carbonate preservation is observed with excess barium and phosphorous indicative of an increase in productivity, and potentially carbon export. Our results highlight the important connections between ice growth and the changing properties of high-latitude water masses at the EOT with impacts on the global ocean circulation.</t>
  </si>
  <si>
    <t>[Hojnacki, Victoria; Lepp, Allison; Castaldo, Josie Horowitz; States, Abbey; Li, Xiaona; Passchier, Sandra] Montclair State Univ, Ctr Environm &amp; Life Sci, Dept Earth &amp; Environm Studies, Montclair, NJ 07043 USA; [Lepp, Allison] Univ Virginia, Dept Environm Sci, Clark Hall, Charlottesville, VA 22903 USA; [Castaldo, Josie Horowitz] New Jersey Dept Environm Protect, Div Water Qual, Trenton, NJ USA; [States, Abbey] US EPA Reg 2, New York, NY USA</t>
  </si>
  <si>
    <t>Montclair State University; University of Virginia; United States Environmental Protection Agency</t>
  </si>
  <si>
    <t>Passchier, S (corresponding author), Montclair State Univ, Ctr Environm &amp; Life Sci, Dept Earth &amp; Environm Studies, Montclair, NJ 07043 USA.</t>
  </si>
  <si>
    <t>passchiers@montclair.edu</t>
  </si>
  <si>
    <t>hu, xin/KHT-2406-2024; Passchier, Sandra/B-1993-2008</t>
  </si>
  <si>
    <t>Passchier, Sandra/0000-0001-7204-7025; Hojnacki, Victoria/0000-0002-4485-4839; Lepp, Allison/0000-0002-4367-5978</t>
  </si>
  <si>
    <t>NSF [1531719, 1743643]; Directorate For Geosciences; Division Of Earth Sciences [1531719] Funding Source: National Science Foundation; Directorate For Geosciences; Office of Polar Programs (OPP) [1743643] Funding Source: National Science Foundation</t>
  </si>
  <si>
    <t>NSF(National Science Foundation (NSF)); Directorate For Geosciences; Division Of Earth Sciences(National Science Foundation (NSF)NSF - Directorate for Geosciences (GEO)); Directorate For Geosciences; Office of Polar Programs (OPP)(National Science Foundation (NSF)NSF - Directorate for Geosciences (GEO))</t>
  </si>
  <si>
    <t>Dylan Cone, Ridley Joseph, and Jennifer Light are thanked for their help in collecting and interpreting some of the laboratory data. This research used samples and/or data provided by the Ocean Drilling Program (ODP). This project was supported by NSF Awards 1531719 and 1743643 to XL and SP. Authors are not aware of any real or perceived financial conflicts of interests. This work is not a product of the United States Government or the U.S. Environmental Protection Agency. AS is not doing this work in any governmental capacity. The views expressed are her own and do not necessarily represent those of the United States or U.S. EPA. Brian Romans and Jan Sverre Laberg are thanked for their insightful reviews.</t>
  </si>
  <si>
    <t>e2022PA004440</t>
  </si>
  <si>
    <t>10.1029/2022PA004440</t>
  </si>
  <si>
    <t>8M6OZ</t>
  </si>
  <si>
    <t>WOS:000924582900001</t>
  </si>
  <si>
    <t>Lee, JR; Terauds, A; Carwardine, J; Shaw, JD; Fuller, RA; Possingham, HP; Chown, SL; Convey, P; Gilbert, N; Hughes, KA; McIvor, E; Robinson, SA; Ropert-Coudert, Y; Bergstrom, DM; Biersma, EM; Christian, C; Cowan, DA; Frenot, Y; Jenouvrier, S; Kelley, L; Lee, MJ; Lynch, HJ; Njåstad, B; Quesada, A; Roura, RM; Shaw, EA; Stanwell-Smith, D; Tsujimoto, M; Wall, DH; Wilmotte, A; Chadès, I</t>
  </si>
  <si>
    <t>Lee, Jasmine R.; Terauds, Aleks; Carwardine, Josie; Shaw, Justine D.; Fuller, Richard A.; Possingham, Hugh P.; Chown, Steven L.; Convey, Peter; Gilbert, Neil; Hughes, Kevin A.; McIvor, Ewan; Robinson, Sharon A.; Ropert-Coudert, Yan; Bergstrom, Dana M.; Biersma, Elisabeth M.; Christian, Claire; Cowan, Don A.; Frenot, Yves; Jenouvrier, Stephanie; Kelley, Lisa; Lee, Michael J.; Lynch, Heather J.; Njastad, Birgit; Quesada, Antonio; Roura, Ricardo M.; Shaw, E. Ashley; Stanwell-Smith, Damon; Tsujimoto, Megumu; Wall, Diana H.; Wilmotte, Annick; Chades, Iadine</t>
  </si>
  <si>
    <t>Threat management priorities for conserving Antarctic biodiversity</t>
  </si>
  <si>
    <t>PLOS BIOLOGY</t>
  </si>
  <si>
    <t>CONSERVATION; RETURN; COMPLEMENTARITY; ELICITATION; INVESTMENT; DISPERSAL; EXPANSION; JUDGMENTS; EMISSIONS; KNOWLEDGE</t>
  </si>
  <si>
    <t>Antarctic terrestrial biodiversity faces multiple threats, from invasive species to climate change. Yet no large-scale assessments of threat management strategies exist. Applying a structured participatory approach, we demonstrate that existing conservation efforts are insufficient in a changing world, estimating that 65% (at best 37%, at worst 97%) of native terrestrial taxa and land-associated seabirds are likely to decline by 2100 under current trajectories. Emperor penguins are identified as the most vulnerable taxon, followed by other seabirds and dry soil nematodes. We find that implementing 10 key threat management strategies in parallel, at an estimated present-day equivalent annual cost of US$23 million, could benefit up to 84% of Antarctic taxa. Climate change is identified as the most pervasive threat to Antarctic biodiversity and influencing global policy to effectively limit climate change is the most beneficial conservation strategy. However, minimising impacts of human activities and improved planning and management of new infrastructure projects are cost-effective and will help to minimise regional threats. Simultaneous global and regional efforts are critical to secure Antarctic biodiversity for future generations.</t>
  </si>
  <si>
    <t>[Lee, Jasmine R.; Shaw, Justine D.; Fuller, Richard A.; Possingham, Hugh P.] Univ Queensland, Sch Biol Sci, Brisbane, Qld, Australia; [Lee, Jasmine R.; Carwardine, Josie; Chades, Iadine] CSIRO, Dutton Pk, Qld, Australia; [Lee, Jasmine R.] Monash Univ, Sch Biol Sci, Melbourne, Vic, Australia; [Lee, Jasmine R.; Convey, Peter; Hughes, Kevin A.; Biersma, Elisabeth M.] British Antarctic Survey, NERC, Cambridge, England; [Terauds, Aleks; Shaw, Justine D.; McIvor, Ewan; Bergstrom, Dana M.] Dept Climate Change Energy Environm &amp; Water, Australian Antarctic Div, Kingston, Tas, Australia; [Possingham, Hugh P.] Nature Conservancy, 1815 N Lynn St, Arlington, VA USA; [Chown, Steven L.] Monash Univ, Sch Biol Sci, Securing Antarct Environm Future, Melbourne, Vic, Australia; [Convey, Peter; Bergstrom, Dana M.] Univ Johannesburg, Dept Zool, Johannesburg, South Africa; [Gilbert, Neil] Constantia Consulting, Christchurch, New Zealand; [Robinson, Sharon A.; Bergstrom, Dana M.] Univ Wollongong, Ctr Sustainable Ecosyst Solut, Sch Earth Atmosphere &amp; Life Sci, Wollongong, NSW, Australia; [Robinson, Sharon A.; Bergstrom, Dana M.] Univ Wollongong, Global Challenges Program, Wollongong, NSW, Australia; [Robinson, Sharon A.] Univ Wollongong, Securing Antarct Environm Future, Wollongong, NSW, Australia; [Ropert-Coudert, Yan] La Rochelle Univ, CNRS, Ctr Etud Biol Chiz, UMR 7372, Villiers En Bois, France; [Biersma, Elisabeth M.] Univ Copenhagen, Nat Hist Museum Denmark, Copenhagen, Denmark; [Christian, Claire; Roura, Ricardo M.] Antarctic &amp; Southern Ocean Coalit, Washington, DC USA; [Cowan, Don A.] Univ Pretoria, Ctr Microbial Ecol &amp; Genom, Dept Biochem Genet &amp; Microbiol, Pretoria, South Africa; [Frenot, Yves] Univ Rennes 1, CNRS, EcoBio Ecosyst, Biodiversite,Evolut UMR 6553, Rennes, France; [Jenouvrier, Stephanie] Woods Hole Oceanog Inst, Dept Biol, Woods Hole, MA 02543 USA; [Kelley, Lisa; Stanwell-Smith, Damon] Int Assoc Antarct Tour Operators IAATO, South Kingstown, RI USA; [Lee, Michael J.] Reel Time Gaming, Taringa, Qld, Australia; [Lynch, Heather J.] SUNY Stony Brook, Dept Ecol &amp; Evolut, Stony Brook, NY 11794 USA; [Njastad, Birgit] Norwegian Polar Res Inst, Fram Ctr, Tromso, Norway; [Quesada, Antonio] Univ Autonoma Madrid, Dept Biol, Madrid, Spain; [Shaw, E. Ashley] Univ Oregon, Inst Ecol &amp; Evolut, Eugene, OR 97403 USA; [Stanwell-Smith, Damon] Viking Expedit, Basel, Switzerland; [Tsujimoto, Megumu] Keio Univ, Fac Environm &amp; Informat Studies, Fujisawa, Kanagawa, Japan; [Tsujimoto, Megumu] Natl Inst Polar Res, Tachikawa, Tokyo, Japan; [Wall, Diana H.] Colorado State Univ, Dept Biol, Ft Collins, CO 80523 USA; [Wall, Diana H.] Colorado State Univ, Sch Global Environm Sustainabil, Ft Collins, CO 80523 USA; [Wilmotte, Annick] Univ Liege, InBios Res Unit, Liege, Belgium</t>
  </si>
  <si>
    <t>University of Queensland; Commonwealth Scientific &amp; Industrial Research Organisation (CSIRO); Monash University; Melbourne Genomics Health Alliance; UK Research &amp; Innovation (UKRI); Natural Environment Research Council (NERC); NERC British Antarctic Survey; Australian Antarctic Division; Nature Conservancy; Monash University; Melbourne Genomics Health Alliance; University of Johannesburg; University of Wollongong; University of Wollongong; University of Wollongong; Centre National de la Recherche Scientifique (CNRS); CNRS - Institute of Ecology &amp; Environment (INEE); University of Copenhagen; University of Pretoria; Centre National de la Recherche Scientifique (CNRS); CNRS - Institute of Ecology &amp; Environment (INEE); Universite de Rennes; Woods Hole Oceanographic Institution; State University of New York (SUNY) System; State University of New York (SUNY) Stony Brook; Norwegian Polar Institute; Autonomous University of Madrid; University of Oregon; Keio University; Research Organization of Information &amp; Systems (ROIS); National Institute of Polar Research (NIPR) - Japan; Colorado State University; Colorado State University; University of Liege</t>
  </si>
  <si>
    <t>Lee, JR (corresponding author), Univ Queensland, Sch Biol Sci, Brisbane, Qld, Australia.;Lee, JR (corresponding author), CSIRO, Dutton Pk, Qld, Australia.;Lee, JR (corresponding author), Monash Univ, Sch Biol Sci, Melbourne, Vic, Australia.;Lee, JR (corresponding author), British Antarctic Survey, NERC, Cambridge, England.</t>
  </si>
  <si>
    <t>jasmine.lee1@uqconnect.edu.au</t>
  </si>
  <si>
    <t>Tsujimoto, Megumu/JCE-5500-2023; Robinson, Sharon/B-2683-2008; Biersma, Elisabeth Machteld/JKI-1084-2023; Cowan, Donald A/E-3991-2012; Possingham, Hugh/B-1337-2008; Quesada, Antonio/L-2430-2013; Chown, Steven/ABD-7646-2021; Terauds, Aleks/A-4991-2010; Wall, Diana H/F-5491-2011; Hughes, Kevin/JVZ-0793-2024; Chades, iadine/A-4052-2011; Fuller, Richard/B-7971-2008; Convey, Peter/AAV-5728-2020; Chown, Steven/H-3347-2011</t>
  </si>
  <si>
    <t>Tsujimoto, Megumu/0000-0001-5160-6086; Robinson, Sharon/0000-0002-7130-9617; Cowan, Donald A/0000-0001-8059-861X; Possingham, Hugh/0000-0001-7755-996X; Fuller, Richard/0000-0001-9468-9678; Convey, Peter/0000-0001-8497-9903; Gilbert, Neil/0000-0003-2055-4249; Biersma, Elisabeth Machteld/0000-0002-9877-2177; Lee, Jasmine/0000-0003-3847-1679; Chown, Steven/0000-0001-6069-5105; Wilmotte, Annick/0000-0003-3546-3489; Terauds, Aleks/0000-0001-7804-6648</t>
  </si>
  <si>
    <t>Scientific Committee on Antarctic Research (SCAR); Australian Antarctic Science Program [4296, 4297]; Holsworth Wildlife Research Endowment -Equity Trustees Charitable Foundation; Australian Government Research Training Program Scholarship; Royal Commission; NERC; British Antarctic Survey `Biodiversity, Evolution and Adaptation' Team; Environment Office; NERC-CONICYT [NE/P003079/1]; Carlsberg Foundation [CF18-0267]; CDR [J.0152.18]; BelSPO project [BR/165/A1/MICROBIAN]; NSF OPP [1840058, 1744794]; Agencia Estatal de Investigacion (Ministry of Science and Innovation) [CTM2016-79741-R]; NERC [NE/P003079/1] Funding Source: UKRI; Directorate For Geosciences; Office of Polar Programs (OPP) [1744794] Funding Source: National Science Foundation; Directorate For Geosciences; Office of Polar Programs (OPP) [1840058] Funding Source: National Science Foundation</t>
  </si>
  <si>
    <t>Scientific Committee on Antarctic Research (SCAR); Australian Antarctic Science Program; Holsworth Wildlife Research Endowment -Equity Trustees Charitable Foundation; Australian Government Research Training Program Scholarship(Australian GovernmentDepartment of Industry, Innovation and Science); Royal Commission; NERC(UK Research &amp; Innovation (UKRI)Natural Environment Research Council (NERC)); British Antarctic Survey `Biodiversity, Evolution and Adaptation' Team; Environment Office; NERC-CONICYT; Carlsberg Foundation(Carlsberg Foundation); CDR; BelSPO project(Belgian Federal Science Policy Office); NSF OPP(National Science Foundation (NSF)NSF - Directorate for Geosciences (GEO)); Agencia Estatal de Investigacion (Ministry of Science and Innovation); NERC(UK Research &amp; Innovation (UKRI)Natural Environment Research Council (NERC)); Directorate For Geosciences; Office of Polar Programs (OPP)(National Science Foundation (NSF)NSF - Directorate for Geosciences (GEO)); Directorate For Geosciences; Office of Polar Programs (OPP)(National Science Foundation (NSF)NSF - Directorate for Geosciences (GEO))</t>
  </si>
  <si>
    <t>This project was supported by the Scientific Committee on Antarctic Research (SCAR), who provided support for the meeting, and by the Australian Antarctic Science Program (projects 4296, 4297 and Integrated Digital East Antarctica -IDEA). J.L. was supported by the Holsworth Wildlife Research Endowment -Equity Trustees Charitable Foundation, an Australian Government Research Training Program Scholarship, and a Research Fellowship from The Royal Commission for the Exhibition of 1851. P.C., K.H. and E.B. are supported by NERC core funding to the British Antarctic Survey `Biodiversity, Evolution and Adaptation' Team (P.C., E.B.) and Environment Office (K.H.). E.B. was also supported by a NERC-CONICYT grant NE/P003079/1 and Carlsberg Foundation grant CF18-0267. A.W. is a Senior Research Associate of the FRS-FNRS and supported by the CDR J.0152.18 and BelSPO project BR/165/A1/MICROBIAN. S.J. was supported by NSF OPP 1840058 and 1744794. A. Q. was funded by Agencia Estatal de Investigacio ' n (Ministry of Science and Innovation) through the grant CTM2016-79741-R. The funders had no role in study design, data collection and analysis, decision to publish, or preparation of the manuscript.</t>
  </si>
  <si>
    <t>PUBLIC LIBRARY SCIENCE</t>
  </si>
  <si>
    <t>SAN FRANCISCO</t>
  </si>
  <si>
    <t>1160 BATTERY STREET, STE 100, SAN FRANCISCO, CA 94111 USA</t>
  </si>
  <si>
    <t>1544-9173</t>
  </si>
  <si>
    <t>1545-7885</t>
  </si>
  <si>
    <t>PLOS BIOL</t>
  </si>
  <si>
    <t>PLoS. Biol.</t>
  </si>
  <si>
    <t>e3001921</t>
  </si>
  <si>
    <t>10.1371/journal.pbio.3001921</t>
  </si>
  <si>
    <t>Biochemistry &amp; Molecular Biology; Biology</t>
  </si>
  <si>
    <t>Biochemistry &amp; Molecular Biology; Life Sciences &amp; Biomedicine - Other Topics</t>
  </si>
  <si>
    <t>8N5ML</t>
  </si>
  <si>
    <t>Green Submitted, Green Published, gold, Green Accepted</t>
  </si>
  <si>
    <t>WOS:000925192600002</t>
  </si>
  <si>
    <t>Zhang, ZD; Nakata, N; Karplus, M; Kaip, G; Yi, J</t>
  </si>
  <si>
    <t>Zhang, Zhendong; Nakata, Nori; Karplus, Marianne; Kaip, Galen; Yi, Jia</t>
  </si>
  <si>
    <t>Shallow Ice-Sheet Composite Structure Revealed by Seismic Imaging Near the West Antarctic Ice Sheet (WAIS) Divide Camp</t>
  </si>
  <si>
    <t>Antarctica; near-surface; englacial reflection; surface wave; RTM</t>
  </si>
  <si>
    <t>WAVE-FORM INVERSION; RAYLEIGH-WAVE; DISPERSION INVERSION; FIRN AIR; NOISE; ORIENTATION; TOMOGRAPHY; ANISOTROPY; SCALE; SHELF</t>
  </si>
  <si>
    <t>Small-scale polar ice-sheet composite structures can influence coarse-grained climate models. For example, surface melting can hydro-fracture the ice and may eventually lubricate the base. The drainage process will change the petrophysical properties of the subsurface and is predictable from high-resolution seismic imaging. Ray-based imaging methods, though limited by the approximations made, have mapped seismic velocities in 1D, but have yet to offer definitive information about the lateral heterogeneity. Here we use the wave-equation-based seismic imaging method to estimate shear-wave velocities and to image an englacial reflector in 2D. We use 7-day ambient-noise data recorded by a linear array near the West Antarctic Ice Sheet (WAIS) Divide drilling site to perform the study. We obtain 2D vertical and horizontal shear-wave velocity models and observe a lateral variation of the radial anisotropy along the acquisition line. The inverted velocity model is further used to estimate the thicknesses of firn-air and firn layers. We also observe evident SH reflections and calculate the reflector image using robust zero-offset imaging and a more precise reverse time migration imaging method. The imaged reflector is at about 1,700 m depth and is dipping to the southwest. We anticipate that a porosity change at that depth may cause this englacial seismic discontinuity near WAIS Divide. Our results demonstrate the feasibility of estimating the petrophysical properties of polar ice using seismic methods. We anticipate our work to be further used for understanding ice dynamics and thermodynamics, such as the stability of ice shelves, the retreat of the Antarctic ice sheet, and restoring the paleo-sedimentary environment. Plain Language Summary Satellite measurements indicate that the West Antarctic Ice Sheet is losing more than 150 cubic kilometers of ice per year and this trend is accelerating. The melted ice will cause a rise in the worldwide sea level and more extreme weather events. Seismic waves, traveling through the shallow and deep ice, contain rich information about the ice velocities and discontinuities, which helps us better understand the glacier structure, melt rates, and processes. We use cutting-edge seismic imaging methods to estimate shear-wave speeds in the top 200 m and to image seismic discontinuities within the ice sheet. These model parameters are then used to estimate the firn-air and firn thicknesses, the ice crystal fabric orientation, and the petrophysical properties, which are critical to evaluating the ice sheet stability and understanding the ice dynamics and thermodynamics.</t>
  </si>
  <si>
    <t>[Zhang, Zhendong; Nakata, Nori] MIT, 77 Massachusetts Ave, Cambridge, MA 02139 USA; [Nakata, Nori] Lawrence Berkeley Natl Lab, Berkeley, CA USA; [Karplus, Marianne; Kaip, Galen] Univ Texas El Paso, El Paso, TX 79968 USA; [Yi, Jia] China Earthquake Adm, China Earthquake Disaster Prevent Ctr, Beijing, Peoples R China</t>
  </si>
  <si>
    <t>Massachusetts Institute of Technology (MIT); United States Department of Energy (DOE); Lawrence Berkeley National Laboratory; University of Texas System; University of Texas El Paso; China Earthquake Administration; China Earthquake Disaster Prevention Center, CEA</t>
  </si>
  <si>
    <t>Zhang, ZD (corresponding author), MIT, 77 Massachusetts Ave, Cambridge, MA 02139 USA.</t>
  </si>
  <si>
    <t>zdzhang@mit.edu</t>
  </si>
  <si>
    <t>Zhang, Zhendong/U-3960-2019; Nakata, Nori/AAO-9309-2020</t>
  </si>
  <si>
    <t>Zhang, Zhendong/0000-0003-4689-1577; Nakata, Nori/0000-0002-9295-9416</t>
  </si>
  <si>
    <t>National Science Foundation [OPP-1739027]; Natural Environment Research Council [NE/S006788/1]</t>
  </si>
  <si>
    <t>National Science Foundation(National Science Foundation (NSF)); Natural Environment Research Council(UK Research &amp; Innovation (UKRI)Natural Environment Research Council (NERC))</t>
  </si>
  <si>
    <t>The authors thank Tariq Alkhalifah for helpful discussions. The authors thank the HPC team at KAUST for providing guidance on using IBEX and Shaheen clusters. The computing for this project was partly performed at the OU Supercomputing Center for Education and Research (OSCER) at the University of Oklahoma (OU). This work is from the Thwaites Interdisciplinary Margin Evolution (TIME) project, a component of the International Thwaites Glacier Collaboration (ITGC). Support from National Science Foundation (NSF: OPP-1739027) and Natural Environment Research Council (NERC: Grant NE/S006788/1). Logistics provided by NSF-U.S. Antarctic Program and NERC-British Antarctic Survey.</t>
  </si>
  <si>
    <t>e2022JF006777</t>
  </si>
  <si>
    <t>10.1029/2022JF006777</t>
  </si>
  <si>
    <t>8M5OI</t>
  </si>
  <si>
    <t>WOS:000924513600001</t>
  </si>
  <si>
    <t>Mac Manus, DH; Rodger, CJ; Dalzell, M; Renton, A; Richardson, GS; Petersen, T; Clilverd, MA</t>
  </si>
  <si>
    <t>Mac Manus, D. H.; Rodger, C. J.; Dalzell, M.; Renton, A.; Richardson, G. S.; Petersen, T.; Clilverd, M. A.</t>
  </si>
  <si>
    <t>Geomagnetically Induced Current Modeling in New Zealand: Extreme Storm Analysis Using Multiple Disturbance Scenarios and Industry Provided Hazard Magnitudes</t>
  </si>
  <si>
    <t>geomagnetically induced currents; extreme storm modeling; transformer danger thresholds</t>
  </si>
  <si>
    <t>FIELD</t>
  </si>
  <si>
    <t>Geomagnetically induced currents (GICs) are induced in electrical power transmission networks during geomagnetic disturbances. Understanding the magnitude and duration of the GIC expected during worst-case extreme storm scenarios is vital to estimate potential damages and disruptions to power networks. In this study we utilize the magnetic field waveforms measured during three large geomagnetic storms and scale them to expected worst case extreme storm magnitudes. Multiple methods are used to simulate the varying magnitude of the magnetic field across the different latitudes of New Zealand. Modeled GIC is produced for nine extreme storm scenarios, each covering 1-1.5 days in duration. Our industry partners, Transpower New Zealand Ltd provided GIC magnitude and duration levels which represent a risk to their transformers. Using these thresholds various extreme storm scenarios predict between 44 and 115 New Zealand transformers (13%-35%) are at risk of damaging levels of GIC. The transformers at risk are largely independent of the extreme storm time-variations, but depend more on the latitude variation scenario. We show that these at-risk transformers are not localized to any specific region of New Zealand but extend across all regions and include most of the major population centers. A peak mean absolute GIC over a 60-min window of 920-2,210 A and an instantaneous 1-min time resolution maximum GIC of 1,590-4,920 A occurs for a worst-case extreme storm scenario. We believe this is one of the first studies to combine a reasonable worst-case extreme geomagnetic storm with validated GIC modeling and industry-provided GIC risk thresholds. Plain Language Summary Space Weather events can cause unwanted DC currents in electrical power transmission networks during geomagnetic storms. We model multiple difference extreme storms to determine the worst case DC currents expected. We work with our industry partners in New Zealand to determine DC magnitudes and durations that would put different types of transformers at risk. Using these values we predict multiple transformers are at risk of damaging levels of DC current. We show that the transformers at risk are located throughout all regions of New Zealand. We believe this is one of the first studies that combines multiple extreme storms scenarios with industry provided DC current magnitudes and durations to determine the risk to transformers.</t>
  </si>
  <si>
    <t>[Mac Manus, D. H.; Rodger, C. J.] Univ Otago, Dept Phys, Dunedin, New Zealand; [Dalzell, M.; Renton, A.] Transpower New Zealand Ltd, Wellington, New Zealand; [Richardson, G. S.] British Geol Survey UKRI NERC, Edinburgh, Midlothian, Scotland; [Petersen, T.] GNS Sci, Wellington, New Zealand; [Clilverd, M. A.] British Antarctic Survey UKRI NERC, Cambridge, England</t>
  </si>
  <si>
    <t>University of Otago; GNS Science - New Zealand; UK Research &amp; Innovation (UKRI); Natural Environment Research Council (NERC); NERC British Antarctic Survey</t>
  </si>
  <si>
    <t>Mac Manus, DH (corresponding author), Univ Otago, Dept Phys, Dunedin, New Zealand.</t>
  </si>
  <si>
    <t>macda381@student.otago.ac.nz; Michael.Dalzell@transpower.co.nz</t>
  </si>
  <si>
    <t>Rodger, Craig/A-1501-2011</t>
  </si>
  <si>
    <t>Mac Manus, Daniel/0000-0003-1175-2251; Rodger, Craig J./0000-0002-6770-2707; Richardson, Gemma/0000-0002-9504-4457; Petersen, Tanja/0000-0001-8409-9500</t>
  </si>
  <si>
    <t>New Zealand Ministry of Business, Innovation and Employment Endeavour Fund Research Programme [UOOX2002]; Transpower New Zealand</t>
  </si>
  <si>
    <t>New Zealand Ministry of Business, Innovation and Employment Endeavour Fund Research Programme(New Zealand Ministry of Business, Innovation and Employment (MBIE)); Transpower New Zealand</t>
  </si>
  <si>
    <t>This research was supported by the New Zealand Ministry of Business, Innovation and Employment Endeavour Fund Research Programme contract UOOX2002. The authors would like to thank Transpower New Zealand for supporting this study. The results presented in this paper rely on the data collected at Eyrewell. We thank the Institute of Geological and Nuclear Sciences Limited (GNS), for supporting its operation and INTERMAGNET for promoting high standards of magnetic observatory practice (www.intermagnet.org).</t>
  </si>
  <si>
    <t>e2022SW003320</t>
  </si>
  <si>
    <t>10.1029/2022SW003320</t>
  </si>
  <si>
    <t>8M5OD</t>
  </si>
  <si>
    <t>WOS:000924513100001</t>
  </si>
  <si>
    <t>Parker, E; Near, TJ</t>
  </si>
  <si>
    <t>Parker, Elyse; Near, Thomas J.</t>
  </si>
  <si>
    <t>Phylogeny Reconciles Classification in Antarctic Plunderfishes</t>
  </si>
  <si>
    <t>ICHTHYOLOGY AND HERPETOLOGY</t>
  </si>
  <si>
    <t>NOTOTHENIOID FISHES; MENTAL BARBEL; ARTEDIDRACONIDAE PISCES; ADAPTIVE RADIATION; WEDDELL SEA; ROSS SEA; MITOCHONDRIAL; EVOLUTION; PERCIFORMES; ANTIFREEZE</t>
  </si>
  <si>
    <t>The resolution of phylogenetic relationships within rapid radiations poses a significant challenge in systematic biology. However, the integration of genome-scale DNA data with multispecies coalescent-based tree inference methods offers a strategy to resolve historically recalcitrant nodes within radiations of closely related species. Here, we analyze a dataset of over 60,000 loci captured via double digest restriction site-associated DNA sequencing (ddRADseq) using both concatenation- and coalescent-based approaches to infer the phylogenetic relationships of the Antarctic notothenioid lineage Artedidraconinae. Previous studies identify artedidraconines as the most rapidly diversifying subclade of notothenioids, but evolutionary studies of the clade are stymied by pervasive phylogenetic and taxonomic uncertainty. The results of our phylogenomic analyses provide clarity to several long-standing challenges in the systematics of artedidraconines, including the deep paraphyly of Artedidraco. Our findings enable the construction of a classification that reflects phylogenetic relationships, including the description of a new genus and the resurrection of a classification of Notothenioidei that places Artedidraconinae as a subfamily of Harpagiferidae. This work provides a phylogenetic perspective for investigations of the tempo and mode of diversification in artedidraconines, which is likely to provide new insights on the dynamics of the notothenioid adaptive radiation as a whole.</t>
  </si>
  <si>
    <t>[Parker, Elyse; Near, Thomas J.] Yale Univ, Dept Ecol &amp; Evolutionary Biol, POB 208106, New Haven, CT 06520 USA; [Near, Thomas J.] Yale Univ, Peabody Museum Nat Hist, New Haven, CT 06520 USA</t>
  </si>
  <si>
    <t>Yale University; Yale University</t>
  </si>
  <si>
    <t>Parker, E (corresponding author), Yale Univ, Dept Ecol &amp; Evolutionary Biol, POB 208106, New Haven, CT 06520 USA.</t>
  </si>
  <si>
    <t>chantal.parker@yale.edu</t>
  </si>
  <si>
    <t>Near, Thomas J./K-1204-2012</t>
  </si>
  <si>
    <t>Near, Thomas J./0000-0002-7398-6670</t>
  </si>
  <si>
    <t>Bingham Oceanographic Fund</t>
  </si>
  <si>
    <t>Fieldwork was facilitated through the United States Antarctic Marine Living Resources Program and the officers and crew of the RV Yuzhmorgeologia, the 2004 ICEFISH cruise aboard the RVIB Nathaniel B. Palmer, and the 2018 cruise aboard the R/V Cabo de Hornos. G. Watkins-Colwell and O. Orr provided support with museum collections. Field and laboratory support was provided by H. W. Detrich, J. Kendrick, K.-H. Kock, J. A. Moore, A. L. Stewart, and P. J. McMillan. C. D. Struthers, C. D. Roberts, and A. L. Stewart of the Museum of New Zealand Te Papa Tongarewa (NMNZ) provided critical specimens. This research was supported by the Bingham Oceanographic Fund maintained by the Peabody Museum of Natural History, Yale University.</t>
  </si>
  <si>
    <t>AMER SOC ICHTHYOLOGISTS &amp; HERPETOLOGISTS</t>
  </si>
  <si>
    <t>MIAMI</t>
  </si>
  <si>
    <t>MAUREEN DONNELLY, SECRETARY FLORIDA INT UNIV BIOLOGICAL SCIENCES, 11200 SW 8TH STREET, MIAMI, FL 33199 USA</t>
  </si>
  <si>
    <t>2766-1512</t>
  </si>
  <si>
    <t>2766-1520</t>
  </si>
  <si>
    <t>ICHTHYOL HERPETOL</t>
  </si>
  <si>
    <t>Ichthyol. Herpetol.</t>
  </si>
  <si>
    <t>10.1643/i2021126</t>
  </si>
  <si>
    <t>8B5EQ</t>
  </si>
  <si>
    <t>WOS:000916946200002</t>
  </si>
  <si>
    <t>Ganyushkin, DA; Konkova, OS; Chistyakov, KV; Bantcev, DV; Terekhov, AV; Kunaeva, EP; Kurochkin, YN; Andreeva, TA; Volkova, DD</t>
  </si>
  <si>
    <t>Ganyushkin, D. A.; Konkova, O. S.; Chistyakov, K. V.; Bantcev, D. V.; Terekhov, A. V.; Kunaeva, E. P.; Kurochkin, Yu. N.; Andreeva, T. A.; Volkova, D. D.</t>
  </si>
  <si>
    <t>Shrinkage of Glaciers in Eastern Altai (Shapshal Center) after the Little Ice Age Maximum</t>
  </si>
  <si>
    <t>WATER RESOURCES</t>
  </si>
  <si>
    <t>small glaciers; dynamics of glaciers; Little Ice Age; Altai-Sayan mountain region; Shapshal ridge</t>
  </si>
  <si>
    <t>GLACIERIZATION; FLUCTUATIONS; TOPOGRAPHY; CLIMATE</t>
  </si>
  <si>
    <t>Glaciers of the little-studied Shapshal Glaciation Center in Eastern Altai during the Little Ice Age maximum have been reconstructed and the pattern of their subsequent reduction has been analyzed. The shrinkage of the largest glacier on the Shapshal Ridge has been considered in detail based on five time slices from 1955 to 2019. The mass balance index of the glacier and time of its climate response have been calculated.</t>
  </si>
  <si>
    <t>[Ganyushkin, D. A.; Konkova, O. S.; Chistyakov, K. V.; Bantcev, D. V.; Kunaeva, E. P.; Kurochkin, Yu. N.; Andreeva, T. A.; Volkova, D. D.] St Petersburg State Univ, St Petersburg 199034, Russia; [Terekhov, A. V.] Arctic &amp; Antarctic Res Inst, St Petersburg 199397, Russia; [Terekhov, A. V.] Russian Acad Sci, Inst Limnol, St Petersburg 196105, Russia; [Kunaeva, E. P.] Pushkin Leningrad State Univ, St Petersburg 196605, Russia</t>
  </si>
  <si>
    <t>Saint Petersburg State University; Arctic &amp; Antarctic Research Institute; Russian Academy of Sciences; St. Petersburg Scientific Centre of the Russian Academy of Sciences; St. Petersburg Federal Research Center of the Russian Academy of Sciences</t>
  </si>
  <si>
    <t>Ganyushkin, DA (corresponding author), St Petersburg State Univ, St Petersburg 199034, Russia.</t>
  </si>
  <si>
    <t>d.ganyushkin@spbu.ru</t>
  </si>
  <si>
    <t>Chistyakov, Kirill V/M-8489-2013; Ganyushkin, Dmitry/M-8516-2013; Андреева, Татьяна/HNR-1939-2023; Bantcev, Dmitrii/AAK-2319-2020</t>
  </si>
  <si>
    <t>Ganyushkin, Dmitry/0000-0001-6109-8652; Андреева, Татьяна/0000-0002-5699-8389; Kurochkin, Yurii/0000-0002-9139-5604</t>
  </si>
  <si>
    <t>Russian Foundation for Basic Research [19-05-00535A]</t>
  </si>
  <si>
    <t>The study was supported by the Russian Foundation for Basic Research, project no. 19-05-00535A Natural Disasters and Landscape Transformation in Southeastern Altai and Northwestern Mongolia during the Period from the Last Glaciation Maximum.</t>
  </si>
  <si>
    <t>0097-8078</t>
  </si>
  <si>
    <t>1608-344X</t>
  </si>
  <si>
    <t>WATER RESOUR+</t>
  </si>
  <si>
    <t>Water Resour.</t>
  </si>
  <si>
    <t>S37</t>
  </si>
  <si>
    <t>S54</t>
  </si>
  <si>
    <t>10.1134/S0097807822070041</t>
  </si>
  <si>
    <t>Water Resources</t>
  </si>
  <si>
    <t>8H5QV</t>
  </si>
  <si>
    <t>WOS:000921088800004</t>
  </si>
  <si>
    <t>Lavrentiev, II; Kutuzov, SS; Mikhalenko, VN; Sudakova, MS; Kozachek, AV</t>
  </si>
  <si>
    <t>Lavrentiev, I. I.; Kutuzov, S. S.; Mikhalenko, V. N.; Sudakova, M. S.; Kozachek, A. V.</t>
  </si>
  <si>
    <t>Spatial and Temporal Variations of Snow Accumulation on the Western Elbrus Plateau, the Central Caucasus</t>
  </si>
  <si>
    <t>Elbrus; high-frequency radar survey; snow accumulation; ice core</t>
  </si>
  <si>
    <t>GROUND-PENETRATING RADAR; ICE CORES; THICKNESS; VARIABILITY; SVALBARD</t>
  </si>
  <si>
    <t>The data of ground-based high-frequency radar survey on the Western Elbrus plateau (Central Caucasus) in the summer of 2017 showed that snow accumulation in the summit area is characterized by great variability and also has seasonal differences. Analysis of the accumulation fields showed that less snow accumulates in the middle part of the plateau than in the eastern and western parts, and that its distribution over the plateau area is similar. In the warm period of the year, snow accumulation is on average higher than in the cold period, occurs more uniformly over the plateau area, and its distribution is more stable from year to year.</t>
  </si>
  <si>
    <t>[Lavrentiev, I. I.; Kutuzov, S. S.; Mikhalenko, V. N.] Russian Acad Sci, Inst Geog, Moscow 119017, Russia; [Sudakova, M. S.] Moscow MV Lomonosov State Univ, Moscow 119991, Russia; [Kozachek, A. V.] Arctic &amp; Antarctic Res Inst, St Petersburg 199397, Russia</t>
  </si>
  <si>
    <t>Russian Academy of Sciences; Institute of Geography, Russian Academy of Sciences; Lomonosov Moscow State University; Arctic &amp; Antarctic Research Institute</t>
  </si>
  <si>
    <t>Lavrentiev, II (corresponding author), Russian Acad Sci, Inst Geog, Moscow 119017, Russia.</t>
  </si>
  <si>
    <t>lavrentiev@igras.ru</t>
  </si>
  <si>
    <t>Kutuzov, Stanislav/A-2775-2013</t>
  </si>
  <si>
    <t>Kutuzov, Stanislav/0000-0003-2007-0922; Mikhalenko, Vladimir/0000-0001-6097-9861</t>
  </si>
  <si>
    <t>S1</t>
  </si>
  <si>
    <t>S11</t>
  </si>
  <si>
    <t>10.1134/S0097807822070090</t>
  </si>
  <si>
    <t>WOS:000921088800001</t>
  </si>
  <si>
    <t>Hughes, KA; Cavanagh, RD; Convey, P</t>
  </si>
  <si>
    <t>Hughes, Kevin A.; Cavanagh, Rachel D.; Convey, Peter</t>
  </si>
  <si>
    <t>Advancing Antarctic climate change policy: upcoming opportunities for scientists and policymakers to work together</t>
  </si>
  <si>
    <t>MANAGEMENT; ECOSYSTEM</t>
  </si>
  <si>
    <t>Climate change is increasingly affecting Antarctica and the rest of the world. Urgent policy responses are needed to mitigate its associated impacts. Engagement of the Antarctic Treaty Consultative Meeting (ATCM), Commission for the Conservation of Antarctic Marine Living Resources (CCAMLR) and Committee for Environmental Protection (CEP) with the issue of climate change has culminated in several important meetings planned for 2023/2024. Researchers play a crucial role in the provision of the best available science to inform action by Antarctic policymakers, and the Scientific Committee on Antarctic Research (SCAR) clearly will play an important role in representing the Antarctic science community and delivering the latest science into the upcoming meetings. However, recognizing the ATCM's call for Parties and other stakeholders to bring experts to its meeting to support the work and with acknowledgement by CCAMLR and CEP of the value of including a range of scientific experts, we highlight the opportunity for and importance of researchers engaging proactively to offer further bespoke scientific support. Given the urgency of addressing climate change in Antarctica and beyond, every effort is needed from researchers and policymakers to work together to facilitate the necessary policy responses at both the national and international level.</t>
  </si>
  <si>
    <t>[Hughes, Kevin A.; Cavanagh, Rachel D.; Convey, Peter] NERC, British Antarctic Survey, High Cross,Madingley Rd, Cambridge CB30ET, Cambs, England; [Convey, Peter] Univ Johannesburg, Dept Zool, Auckland Pk, ZA-2006 Johannesburg, South Africa</t>
  </si>
  <si>
    <t>Hughes, KA (corresponding author), NERC, British Antarctic Survey, High Cross,Madingley Rd, Cambridge CB30ET, Cambs, England.</t>
  </si>
  <si>
    <t>Hughes, Kevin/JVZ-0793-2024; Convey, Peter/AAV-5728-2020</t>
  </si>
  <si>
    <t>Convey, Peter/0000-0001-8497-9903</t>
  </si>
  <si>
    <t>NERC</t>
  </si>
  <si>
    <t>NERC(UK Research &amp; Innovation (UKRI)Natural Environment Research Council (NERC))</t>
  </si>
  <si>
    <t>This editorial reflects the opinions of the authors alone. KAH, RDC, and PC are supported by NERC core funding to the BAS Environment Office, 'Ecosystems' Programme and 'Biodiversity, Evolution and Adaptation' Team, respectively. This article is a contribution to the Human Impacts and Sustainability' research theme of the SCAR Scientific Research Programme (SRP) 'Integrated Science to Inform Antarctic and Southern Ocean Conservation' (Ant-ICON) and Theme 5 of the SCAR SRP 'Near-term Variability and Prediction of the Antarctic Climate System' (AntClimNOW). We thank Birgit Njastad for helpful comments on an early draft of the article.</t>
  </si>
  <si>
    <t>10.1017/S095410202200044X</t>
  </si>
  <si>
    <t>WOS:000917214100001</t>
  </si>
  <si>
    <t>Tallada, S; Hall, G; Barich, D; Morgan-Kiss, RM; Slonczewski, JL</t>
  </si>
  <si>
    <t>Tallada, Sheetal; Hall, Grant; Barich, Daniel; Morgan-Kiss, Rachael M. M.; Slonczewski, Joan L. L.</t>
  </si>
  <si>
    <t>Antibiotic resistance genes and taxa analysis from mat and planktonic microbiomes of Antarctic perennial ice-covered Lake Fryxell and Lake Bonney</t>
  </si>
  <si>
    <t>microbial mat; Rhodoferax; Taylor Valley</t>
  </si>
  <si>
    <t>MCMURDO DRY VALLEYS; WATER COLUMN; POLAR NIGHT; DIVERSITY; COMMUNITY; BACTERIA; EXPRESSION; RESISTOME; INSIGHTS; ECOLOGY</t>
  </si>
  <si>
    <t>The perennial ice-covered lakes of the Antarctic McMurdo Dry Valleys harbour oligotrophic microbial communities that are separated geographically from other aquatic systems. Their microbiomes include planktonic microbes as well as lift-off mat communities that emerge from the ice. We used the ShortBRED protein family profiler to quantify the antibiotic resistance genes (ARGs) from metagenomes of lift-off mats emerging from ice and from filtered water samples of Lake Fryxell and Lake Bonney. The overall proportion of ARG hits was similar to that found in temperate-zone rural ponds with moderate human inputs. Specific ARGs showed distinct distributions for the two lakes and for mat vs planktonic sources. Metagenomic taxa distributions showed that mat phototrophs consisted mainly of cyanobacteria or Betaproteobacteria, whereas the water column phototrophs were mainly protists. An enrichment culture of the Betaproteobacterium Rhodoferax antarcticus from a Lake Fryxell mat sample showed an unusual mat-forming phenotype not previously reported for this species. Its genome showed no ARGs associated with Betaproteobacteria but had ARGs consistent with a minor Pseudomonas component. The Antarctic lake mats and water showed specific ARGs distinctive to the mat and water sources, but overall ARG levels were similar to those of temperate water bodies with moderate human inputs.</t>
  </si>
  <si>
    <t>[Tallada, Sheetal; Hall, Grant; Barich, Daniel; Slonczewski, Joan L. L.] Kenyon Coll, Dept Biol, Gambier, OH 43022 USA; [Morgan-Kiss, Rachael M. M.] Miami Univ, Dept Microbiol, Oxford, OH 45056 USA</t>
  </si>
  <si>
    <t>University System of Ohio; Kenyon College; University System of Ohio; Miami University</t>
  </si>
  <si>
    <t>Slonczewski, JL (corresponding author), Kenyon Coll, Dept Biol, Gambier, OH 43022 USA.</t>
  </si>
  <si>
    <t>slonczewski@kenyon.edu</t>
  </si>
  <si>
    <t>Tallada, Sheetal/JVP-0505-2024</t>
  </si>
  <si>
    <t>Hall, Grant/0009-0006-5089-717X</t>
  </si>
  <si>
    <t>PII S0954102022000360</t>
  </si>
  <si>
    <t>10.1017/S0954102022000360</t>
  </si>
  <si>
    <t>WOS:000917214100002</t>
  </si>
  <si>
    <t>Chen, JJ; Swart, NC; Cheng, XH</t>
  </si>
  <si>
    <t>Chen, Jia-Jia; Swart, Neil C.; Cheng, Xuhua</t>
  </si>
  <si>
    <t>Processes Controlling the Southern Ocean Temperature Change</t>
  </si>
  <si>
    <t>JOURNAL OF CLIMATE</t>
  </si>
  <si>
    <t>Southern Ocean; Ocean dynamics; Atmosphere-ocean interaction; Climate change; Climate models</t>
  </si>
  <si>
    <t>ANTARCTIC CIRCUMPOLAR CURRENT; HEAT UPTAKE; CLIMATE; MODEL; OZONE; REDISTRIBUTION; ATTRIBUTION; CIRCULATION; STORAGE; TRENDS</t>
  </si>
  <si>
    <t>Observations show that since the 1950s, the subsurface Southern Ocean has been rapidly warming in the south and cooling in the north. However, what drives these opposing latitudinal patterns of change is not well understood. By analyzing the outputs of atmosphere-ocean general circulation models, we examine and quantify the processes controlling the temperature change in the Southern Ocean. We find that subsurface cooling in the north results from the combined effect of weak warming driven by greenhouse gases and cooling forced by aerosols. Contrary to previous work, we find that the influence of stratospheric ozone forcing is small and unnecessary to explain the observed patterns. Analysis of heat budget diagnostics shows that ocean heat content change between 400 and 1200 m in the Southern Ocean is primarily driven by slight imbalances between the large and opposing changes in residual mean advection and isopycnal diffusion. We show that while surface heat flux anomalies are the main contributor to the warming in the Southern Ocean, changes in wind stress are also required to produce the observed pattern of temperature change. These results highlight the importance of ocean dynamics in subsurface ocean heat content change. The counterbalancing effects of aerosols and greenhouse gases on ocean heat content change in the Southern Ocean will change with aerosols declining in the future, while our results suggest that changes in stratospheric ozone forcing will have only a minor effect on future patterns of Southern Ocean thermohaline structure.</t>
  </si>
  <si>
    <t>[Chen, Jia-Jia; Cheng, Xuhua] Hohai Univ, Coll Oceanog, Nanjing, Peoples R China; [Chen, Jia-Jia; Swart, Neil C.] Univ Victoria, Victoria, BC, Canada; [Swart, Neil C.] Environm &amp; Climate Change Canada, Canadian Ctr Climate Modelling &amp; Anal, Victoria, BC, Canada</t>
  </si>
  <si>
    <t>Hohai University; University of Victoria; Environment &amp; Climate Change Canada; Canadian Centre for Climate Modelling &amp; Analysis (CCCma)</t>
  </si>
  <si>
    <t>Cheng, XH (corresponding author), Hohai Univ, Coll Oceanog, Nanjing, Peoples R China.</t>
  </si>
  <si>
    <t>xuhuacheng@hhu.edu.cn</t>
  </si>
  <si>
    <t>CHEN, JIAJIA/GVS-7030-2022; Cheng, Xuhua/AAQ-6124-2020</t>
  </si>
  <si>
    <t>CHEN, JIAJIA/0000-0002-5438-0606; Cheng, Xuhua/0000-0001-6815-1970</t>
  </si>
  <si>
    <t>National Key R&amp;D Program of China [2018YFA0605702]; National Natural Science Foundation of China [41876002, 41876224]; China Scholarship Council [202006710090]</t>
  </si>
  <si>
    <t>National Key R&amp;D Program of China; National Natural Science Foundation of China(National Natural Science Foundation of China (NSFC)); China Scholarship Council(China Scholarship Council)</t>
  </si>
  <si>
    <t>This work was funded by the National Key R&amp;D Program of China (2018YFA0605702) and the National Natural Science Foundation of China (41876002 and 41876224). J.-J. Chen was also supported by the scholarship from China Scholarship Council (Grant 202006710090). J.-J. Chen gratefully acknowledges the University of Victoria for providing a safe and quality working environment in the face of COVID-19. We acknowledge the group from the Canadian Centre for Climate Modelling and Analysis (CCCma) for producing and providing CanESM5 large ensemble output. We thank the climate modeling groups for developing and making their model output available, the Earth System Grid Federation (ESGF) for archiving the data and providing access, and the multiple funding agencies who support CMIP6 and ESGF.</t>
  </si>
  <si>
    <t>0894-8755</t>
  </si>
  <si>
    <t>1520-0442</t>
  </si>
  <si>
    <t>J CLIMATE</t>
  </si>
  <si>
    <t>J. Clim.</t>
  </si>
  <si>
    <t>10.1175/JCLI-D-22-0111.1</t>
  </si>
  <si>
    <t>7W3AZ</t>
  </si>
  <si>
    <t>WOS:000913386700012</t>
  </si>
  <si>
    <t>Pacheco, LI; Teso, V; Pastorino, G</t>
  </si>
  <si>
    <t>Ivan Pacheco, Leonel; Teso, Valeria; Pastorino, Guido</t>
  </si>
  <si>
    <t>TAXONOMY AND BIOGEOGRAPHY OF BIVALVES OF THE GENUS CUSPIDARIA NARDO, 1840, FROM THE SOUTHERN SOUTHWESTERN ATLANTIC DEEP SEA</t>
  </si>
  <si>
    <t>MALACOLOGIA</t>
  </si>
  <si>
    <t>Bivalvia; taxonomy; MPA MPA Namuncura/Burdwood Bank; Mar del Plata Submarine Canyon; morphometrics; biogeography</t>
  </si>
  <si>
    <t>BATHYMETRIC ZONATION; MOLLUSCA-BIVALVIA; SHETLAND ISLANDS; MARINE BIVALVES; OCEAN; BIODIVERSITY; GASTROPODS; SHELF; SHAPE; ANOMALODESMATA</t>
  </si>
  <si>
    <t>In this paper, a taxonomic review of the bivalves of the genus Cuspidaria Nardo, 1840 from the southern southwestern Atlantic is conducted. Specimens deposited in malacological collections and samples collected onboard the R/V Puerto Deseado off Mar del Plata (similar to 36 degrees S) and MPA Namuncura/Burdwood Bank area (similar to 54 degrees S), between 200 and 3,000 m depth, are the focus of this revision. The specimens were analyzed through conchological and anatomical features. The geographic and bathymetric distributions for each species are provided and possible factors determining biogeographic patterns are discussed. As a result, Cuspidaria infirma n. sp., Cuspidaria cancellata n. sp., Cuspidaria namuncura n. sp., and Cuspidaria cf. kerguelensis (Smith, 1885), are described. In addition, Cuspidaria exigua (Jeffreys, 1876), Cuspidaria bicarinata Jeffreys, 1882, Cuspidaria platensis (Smith, 1885), Cuspidaria tenella Smith, 1907, Cuspidaria infelix Thiele, 1912, and Cuspidaria barnardi Knudsen, 1970 are redescribed after the study of new specimens. Elliptic Fourier analyses were performed for each side of the shell to delimit species objectively using their shape. Results showed a clear differentiation on both valves among species. Cuspidaria bicarinata and Cuspidaria exigua, both North Atlantic species, were recorded for the first time in the southwestern Atlantic, and Cuspidaria infelix and Cuspidaria tenella, both Antarctic/sub-Antarctic species, expanded their distribution northwards. Two cluster analyses, for species and areas respectively, revealed a vertical zonation, separating species into two different groups highly corresponding to deep-sea water mass distributions.</t>
  </si>
  <si>
    <t>[Ivan Pacheco, Leonel; Teso, Valeria; Pastorino, Guido] Museo Argentino Ciencias Nat Bernardino Rivadavi, Lab Ecosistemas Costeros Plataforma &amp; Mar Profund, Ave Angel Gallardo 470,C1405DJR, Buenos Aires, DF, Argentina</t>
  </si>
  <si>
    <t>Museo Argentino de Ciencias Naturales Bernardino Rivadavia (MACN)</t>
  </si>
  <si>
    <t>Teso, V (corresponding author), Museo Argentino Ciencias Nat Bernardino Rivadavi, Lab Ecosistemas Costeros Plataforma &amp; Mar Profund, Ave Angel Gallardo 470,C1405DJR, Buenos Aires, DF, Argentina.</t>
  </si>
  <si>
    <t>valeriateso@gmail.com</t>
  </si>
  <si>
    <t>Consejo Nacional de Investigaciones Cientificas y Tecnicas (CONICET) of Argentina; Agencia Nacional de Promocion Cientifica y Tecnologica [PICT 1127, PICT 0211, PICT 1309]; Consejo Nacional de Investigaciones Cientificas y Tecnicas [PIP 0022]; Asociacion Malacologica Argentina; PADI Foundation [2021-68560]; Burdwood Bank [Law 26.875]</t>
  </si>
  <si>
    <t>Consejo Nacional de Investigaciones Cientificas y Tecnicas (CONICET) of Argentina(Consejo Nacional de Investigaciones Cientificas y Tecnicas (CONICET)); Agencia Nacional de Promocion Cientifica y Tecnologica(ANPCyTSpanish Government); Consejo Nacional de Investigaciones Cientificas y Tecnicas(Consejo Nacional de Investigaciones Cientificas y Tecnicas (CONICET)); Asociacion Malacologica Argentina; PADI Foundation; Burdwood Bank</t>
  </si>
  <si>
    <t>The following people aided us in this research: Ellen Strong (USNM), Andreia Salvador (NHMUK), Tom White (NHMUK), Christine Zorn (ZMB), Bo Delling (NRM), Anna Persson (NRM), Martin Sorensen (NHMD), Tom Schiotte (NHMD), Torsten Hugo Struck (NHMO), Ann-Helen Ronning (NHMO), Karsten Sund (NHMO), Oscar Galvez Herrera (MNHNC), Adam Baldinger (MCZ), Alejandro Tablado (MACN), Gustavo Darrigran (MLP), Monica Tassara (MLP), Hugo Merlo (MLP), and Jennifer Trimble (MCZ). We are grateful to the members of the Laboratorio de Ecosistemas Costeros, Plataforma y Mar Profundo from the MACN that collaborated in the collection of the samples. We also appreciate the comments and suggestions from the reviewers and the editor for the improvement of our manuscript. We thank several colleagues that provided bibliography: Anna Holmes, Fabrizio MarcondesMachado, Katrin Linse, Matias Urcola, and Pavel Kijashko. This work is the contribution no. 62 to the Area Marina Protegida Namuncura (Ley 26.875). We acknowledge Consejo Nacional de Investigaciones Cientificas y Tecnicas (CONICET) of Argentina, to which GP and VT belong as members of the Carrera del Investigador Cientifico y Tecnico, with LP as a fellow. This contribution was supported by the Agencia Nacional de Promocion Cientifica y Tecnologica (PICT 1127, PICT 0211, and PICT 1309), Consejo Nacional de Investigaciones Cientificas y Tecnicas (PIP 0022), Asociacion Malacologica Argentina (J. J. Parodiz Grant, Ph.D. student 2020), and PADI Foundation (2021-68560). Scientific surveys at the Burdwood Bank were funded through the National Law 26.875 of creation of the MPA Namuncura.</t>
  </si>
  <si>
    <t>INST MALACOL</t>
  </si>
  <si>
    <t>ANN ARBOR</t>
  </si>
  <si>
    <t>2415 SOUTH CIRCLE DR, ANN ARBOR, MI 48103 USA</t>
  </si>
  <si>
    <t>0076-2997</t>
  </si>
  <si>
    <t>2168-9075</t>
  </si>
  <si>
    <t>Malacologia</t>
  </si>
  <si>
    <t>1-2</t>
  </si>
  <si>
    <t>7K7UD</t>
  </si>
  <si>
    <t>WOS:000905482500009</t>
  </si>
  <si>
    <t>Kharitonov, SP; Tretyakov, AV; Mishchenko, AL; Konyukhov, NB; Dmitriev, AE; Artemyeva, SM; Pilipenko, GY</t>
  </si>
  <si>
    <t>Kharitonov, S. P.; Tretyakov, A. V.; Mishchenko, A. L.; Konyukhov, N. B.; Dmitriev, A. E.; Artemyeva, S. M.; Pilipenko, G. Yu.</t>
  </si>
  <si>
    <t>Observations on Marine Mammals and Seabirds in the Antarctic: Ecological Fingerprints of Seaside Distributions during the 79th Voyage of the R/V Akademik Mstislav Keldysh</t>
  </si>
  <si>
    <t>seaside wildlife; ecology; spatial distribution</t>
  </si>
  <si>
    <t>FORAGING BEHAVIOR; ATLANTIC SECTOR; VARIABILITY; ECOSYSTEM; OCEAN; SEA</t>
  </si>
  <si>
    <t>A survey of the expedition on the R/V Akademik Mstislav Keldysh in the waters south of the southernmost tip of Argentina, in the Drake Passage, as well as in the vicinities of the Antarctic Peninsula, the Scotia Sea, and the northern part of the Weddell Sea, was undertaken during two trips: January 16-February 6 (hereafter, January) and February 8-March 3 (hereafter, February), 2020. We propose a new method for analyzing the results of ecological studies and, based on this method, present new information on the ecology and spatial distribution of marine mammals and seabirds of the Antarctic. A number of marine mammal and seabird species showed similar ecological fingerprints, indicating their similar spatial distributions and the same relations to the environmental conditions regardless of their systematic position. The fin whale, the humpback whale, the snow petrel, the Adelie penguin, the Antarctic petrel, and the southern fulmar showed similar specific patterns of ecological fingerprints in January, showing the association of these species to the sea areas with icebergs and/or cut ice. In February, the allocation of the whale species to icy areas weakened what was mirrored in their ecological fingerprints, while all the above-mentioned bird species still preserved this association. The ecological fingerprints clearly circumscribe the broadness of the abiotic ecological niche occupied by individual species or species clusters. Ecological fingerprints are capable of showing changes in species distribution areas in certain periods (the southern royal albatross), in the strategy of the area usage patterns (the Antarctic fur seal), as well as in other ecological features, including those not yet considered.</t>
  </si>
  <si>
    <t>[Kharitonov, S. P.; Tretyakov, A. V.; Mishchenko, A. L.; Konyukhov, N. B.; Dmitriev, A. E.] Russian Acad Sci, Severtsov Inst Ecol &amp; Evolut, Moscow 119071, Russia; [Artemyeva, S. M.] Moscow MV Lomonosov State Univ, Zool Museum, Moscow 125009, Russia; [Pilipenko, G. Yu.] Moscow MV Lomonosov State Univ, Fac Geog, Moscow 119991, Russia</t>
  </si>
  <si>
    <t>Russian Academy of Sciences; Saratov Scientific Center of the Russian Academy of Sciences; Severtsov Institute of Ecology &amp; Evolution; Lomonosov Moscow State University; Lomonosov Moscow State University</t>
  </si>
  <si>
    <t>Kharitonov, SP (corresponding author), Russian Acad Sci, Severtsov Inst Ecol &amp; Evolut, Moscow 119071, Russia.</t>
  </si>
  <si>
    <t>serpkh@gmail.com</t>
  </si>
  <si>
    <t>Kharitonov, Sergey P./A-4697-2016; Konyukhov, Nikolay/AEH-8344-2022</t>
  </si>
  <si>
    <t>10.1134/S1062359022080088</t>
  </si>
  <si>
    <t>7Y3NZ</t>
  </si>
  <si>
    <t>WOS:000914791700021</t>
  </si>
  <si>
    <t>Kim, CM; Jang, H; Hong, EM; Lee, JH; Park, HH</t>
  </si>
  <si>
    <t>Kim, Chang Min; Jang, Hyunseok; Hong, Eunmi; Lee, Jun Hyuck; Park, Hyun Ho</t>
  </si>
  <si>
    <t>Structure of fish TRAF4 and its implication in TRAF4-mediated immune cell and platelet signaling</t>
  </si>
  <si>
    <t>FISH &amp; SHELLFISH IMMUNOLOGY</t>
  </si>
  <si>
    <t>Cold adaptivity; Crystal structure; Innate immunity; Protein -protein interaction; TRAF4</t>
  </si>
  <si>
    <t>MOLECULAR-DYNAMICS; ADAPTATION; ENZYMES; FLEXIBILITY; FAMILY; COMMON; BETA; TOOL</t>
  </si>
  <si>
    <t>Due to an increasing interest in immunity and signal transduction in teleost fish, important key signaling mol-ecules associated with the immune response, including TRAF molecules, have been recently cloned and char-acterized. To better understand the role of TRAF4 in fish immune signaling and compare it with the human system, our study cloned the TRAF4 gene from the Antarctic yellowbelly rockcod Notothenia coriiceps (ncTRAF4) and purified the protein. Here, we report the first crystal structure of teleost fish TRAF4. Based on biochemical characterization, our findings elucidated the mechanisms through which signaling molecules gain cold adap-tivity. Additionally, we identified a platelet receptor GPIb beta homolog in N. coriiceps (ncGPIb beta) and found that the RRFERLFKEARRTS region of this homolog directly binds to ncTRAF4, indicating that ncTRAF4 also recognizes the RLXA motif for receptor interactions and further TARF4-mediated cellular signaling. Collectively, our findings provide novel insights into the mechanisms of TRAF4-mediated immune cell and platelet signaling in fish and the structural flexibility-mediated cold adaptiveness of signaling molecules.</t>
  </si>
  <si>
    <t>[Kim, Chang Min; Jang, Hyunseok; Park, Hyun Ho] Chung Ang Univ, Coll Pharm, Seoul 06974, South Korea; [Jang, Hyunseok; Park, Hyun Ho] Chung Ang Univ, Grad Sch, Dept Global Innovat Drugs, Seoul 06974, South Korea; [Hong, Eunmi] Daegu Gyeongbuk Med Innovat Fdn, New Drug Dev Ctr, Daegu 41061, South Korea; [Lee, Jun Hyuck] Korea Polar Res Inst, Unit Res Pract Applicat, Incheon 21990, South Korea</t>
  </si>
  <si>
    <t>Chung Ang University; Chung Ang University; Korea Polar Research Institute (KOPRI)</t>
  </si>
  <si>
    <t>Park, HH (corresponding author), Chung Ang Univ, Coll Pharm, Seoul 06974, South Korea.</t>
  </si>
  <si>
    <t>xrayleox@cau.ac.kr</t>
  </si>
  <si>
    <t>National Research Foundation (NRF) of Korea - Ministry of Science, Information and Communication Technology, and Future Planning of the Korean Government [NRF-2017M3A9D8062960, NRF- 2021R1A2C3003331]; Ministry of Oceans and Fisheries, Korea [PM21030]</t>
  </si>
  <si>
    <t>National Research Foundation (NRF) of Korea - Ministry of Science, Information and Communication Technology, and Future Planning of the Korean Government; Ministry of Oceans and Fisheries, Korea</t>
  </si>
  <si>
    <t>We would like to thank the beamline PLS-5C staff at the Pohang Light Source (Pohang, Korea) for their assistance in X-ray diffraction data collection. This study was supported by the National Research Foun- dation (NRF) of Korea, which is funded by the Ministry of Science, In- formation and Communication Technology, and Future Planning of the Korean Government (NRF-2017M3A9D8062960 and NRF- 2021R1A2C3003331) . This research was a part of the project titled Development of potential antibiotic compounds using polar organism resources (KOPRI Grant PM21030) , funded by the Ministry of Oceans and Fisheries, Korea.</t>
  </si>
  <si>
    <t>1050-4648</t>
  </si>
  <si>
    <t>1095-9947</t>
  </si>
  <si>
    <t>FISH SHELLFISH IMMUN</t>
  </si>
  <si>
    <t>Fish Shellfish Immunol.</t>
  </si>
  <si>
    <t>10.1016/j.fsi.2022.108462</t>
  </si>
  <si>
    <t>Fisheries; Immunology; Marine &amp; Freshwater Biology; Veterinary Sciences</t>
  </si>
  <si>
    <t>7V9TO</t>
  </si>
  <si>
    <t>WOS:000913156100006</t>
  </si>
  <si>
    <t>Liu, S; Hernández-Molina, FJ; Yang, CP; Zhang, CM; Huang, XX; Yin, SR; García, M; Van Rooij, D; Wang, C; Zhuo, HT; Chen, H; Lei, YP; Lin, ZX; Luo, KW; Su, M</t>
  </si>
  <si>
    <t>Liu, Shan; Hernandez-Molina, F. Javier; Yang, Chupeng; Zhang, Cuimei; Huang, Xiaoxia; Yin, Shaoru; Garcia, Marga; Van Rooij, David; Wang, Ce; Zhuo, Haiteng; Chen, Hui; Lei, Yaping; Lin, Zhixuan; Luo, Kunwen; Su, Ming</t>
  </si>
  <si>
    <t>Oceanographic consequences of the Bransfield Strait (Antarctica) opening</t>
  </si>
  <si>
    <t>WEDDELL SEA; SEDIMENTARY PROCESSES; ICE-SHEET; PENINSULA; MARGIN; EVOLUTION; BASIN; WATER; DEEP; STRATIGRAPHY</t>
  </si>
  <si>
    <t>The Bransfield Strait (Antarctica) is an important region for evaluating changes in Weddell Sea shelf waters on geological time scales because of its restricted connections to the surrounding ocean. However, the detailed oceanographic consequences of the opening of the strait remain unclear. We present bottom-current-related sedimentary features in the Bransfield Strait and examine the impact of the strait's opening on deep-water circulation. Our findings show that the ocean circulation started to resemble that of the present day after a period of volcanic activity, possibly around the Middle Pleistocene. Coeval changes in Bransfield Strait morphology and an increase in seafloor irregularities due to the formation of volcanic chains finally determined new pathways for the Bransfield deep and bottom waters, enhanced due to the new climatic scenario of 100 k.y. cycles. The fact that modernlike oceanic circulation occurred only during previous interglacial periods demonstrates the significant impact of 100 k.y. climate cycles on the thermohaline changes of Antarctic deep waters. Hence, establishing a modern-day circulation model would enable researchers to assess paleoproductivity and local upwelling that have profoundly influenced the marine ecosystem of the Antarctic Peninsula after the Middle Pleistocene.</t>
  </si>
  <si>
    <t>[Liu, Shan; Wang, Ce; Zhuo, Haiteng; Chen, Hui; Lei, Yaping; Lin, Zhixuan; Luo, Kunwen; Su, Ming] Sun Yat Sen Univ, Sch Marine Sci, Zhuhai 519083, Peoples R China; [Liu, Shan; Wang, Ce; Zhuo, Haiteng; Chen, Hui; Lei, Yaping; Su, Ming] Southern Marine Sci &amp; Engn Guangdong Lab Zhuhai, Zhuhai 519000, Peoples R China; [Hernandez-Molina, F. Javier] Royal Holloway Univ London, Dept Earth Sci, Egham TW20 0EX, Surrey, England; [Yang, Chupeng] China Geol Survey, Minist Nat Resources, Guangzhou Marine Geol Survey, Guangzhou 510760, Peoples R China; [Zhang, Cuimei] Chinese Acad Sci, Innovat Acad South China Sea Ecol &amp; Environm Engn, South China Sea Inst Oceanol, Key Lab Ocean &amp; Marginal Sea Geol, Guangzhou 510301, Peoples R China; [Huang, Xiaoxia] Chinese Acad Sci, Inst Deep Sea Sci &amp; Engn, Sanya 572000, Peoples R China; [Yin, Shaoru] State Ocean Adm, Minist Nat Resources, Inst Oceanog 2, Key Lab Submarine Geosci, Hangzhou 310012, Peoples R China; [Garcia, Marga] Spanish Inst Oceanog, Ctr Cadiz, Muelle Pesquero S-N, Cadiz 11006, Spain; [Van Rooij, David] Univ Ghent, Dept Geol, Campus Sterre Bldg S8,Krijgslaan 281, B-9000 Ghent, Belgium</t>
  </si>
  <si>
    <t>Sun Yat Sen University; Southern Marine Science &amp; Engineering Guangdong Laboratory; Southern Marine Science &amp; Engineering Guangdong Laboratory (Zhuhai); University of London; Royal Holloway University London; China Geological Survey; Guangzhou Marine Geological Survey; Ministry of Natural Resources of the People's Republic of China; Chinese Academy of Sciences; South China Sea Institute of Oceanology, CAS; Chinese Academy of Sciences; Institute of Deep-Sea Science &amp; Engineering, CAS; Ministry of Natural Resources of the People's Republic of China; Spanish Institute of Oceanography; Ghent University</t>
  </si>
  <si>
    <t>Su, M (corresponding author), Sun Yat Sen Univ, Sch Marine Sci, Zhuhai 519083, Peoples R China.;Su, M (corresponding author), Southern Marine Sci &amp; Engn Guangdong Lab Zhuhai, Zhuhai 519000, Peoples R China.;Yang, CP (corresponding author), China Geol Survey, Minist Nat Resources, Guangzhou Marine Geol Survey, Guangzhou 510760, Peoples R China.</t>
  </si>
  <si>
    <t>Gmgs_yang@foxmail.com; suming3@mail.sysu.edu.cn</t>
  </si>
  <si>
    <t>Liu, Shan/HOH-7673-2023; tong, li/KDO-7821-2024; Wang, Zixi/KEI-0077-2024; Zhuo, Haiteng/JGM-8422-2023; Garcia, Marga/L-7410-2014; Van Rooij, David/A-7938-2014</t>
  </si>
  <si>
    <t>Garcia, Marga/0000-0003-2632-6132; Van Rooij, David/0000-0003-3633-3344; Wang, Ce/0000-0002-9098-4212; Huang, Xiaoxia/0000-0002-9978-5404; Liu, Shan/0000-0001-5086-9642; Luo, Kunwen/0000-0003-2047-728X</t>
  </si>
  <si>
    <t>China Postdoctoral Science Foundation [202069]; Marine Geological Survey Project of the China Geological Survey [DD20190577]; [CTM 2012-39599-C03]; [CGL2016-80445-R]; [CTM2016-75129-C3-1-R]; [REN2001-1734 C03-01/M]</t>
  </si>
  <si>
    <t>China Postdoctoral Science Foundation(China Postdoctoral Science Foundation); Marine Geological Survey Project of the China Geological Survey; ; ; ;</t>
  </si>
  <si>
    <t>This study was supported by the China Postdoctoral Science Foundation (grant 202069) and the Marine Geological Survey Project of the China Geological Survey (grant DD20190577). This study was conducted in collaboration with The Drifters Research Group of the Royal Holloway University of London (UK) and supported by projects CTM 2012-39599-C03, CGL2016-80445-R, and CTM2016-75129-C3-1-R (REN2001-1734 C03-01/M). We thank the Antarctic Seismic Data Library System (http://sdls.ogs.trieste.it) for providing the seismic data. We thank the editor, anonymous reviewers, and Julia Wellner, who helped to improve the originally submitted version of this paper.</t>
  </si>
  <si>
    <t>10.1130/G50389.1</t>
  </si>
  <si>
    <t>7T4UY</t>
  </si>
  <si>
    <t>WOS:000911443000015</t>
  </si>
  <si>
    <t>Ferderer, A; Chase, Z; Kennedy, F; Schulz, KG; Bach, LT</t>
  </si>
  <si>
    <t>Ferderer, Aaron; Chase, Zanna; Kennedy, Fraser; Schulz, Kai G.; Bach, Lennart T.</t>
  </si>
  <si>
    <t>Assessing the influence of ocean alkalinity enhancement on a coastalphytoplankton community</t>
  </si>
  <si>
    <t>TRANSPARENT EXOPOLYMER PARTICLES; MICROMONAS-PUSILLA BENEFITS; IRON FERTILIZATION; INORGANIC CARBON; CO2; ACIDIFICATION; PH; PHYTOPLANKTON; PLANKTON; GROWTH</t>
  </si>
  <si>
    <t>Ocean alkalinity enhancement (OAE) is a proposed method to counteract climate change by increasing the alkalinity of the surface ocean and thus the chemical storage capacity of seawater for atmospheric CO2. The impact of OAE on marine ecosystems, including phytoplankton communities which make up the base of the marine food web, is largely unknown. To investigate the influence of OAE on phytoplankton communities, we enclosed a natural plankton community from coastal Tasmania for 22 d in nine microcosms during a spring bloom. Microcosms were split into three groups, (1) the unperturbed control, (2) the unequilibrated treatment where alkalinity was increased (+495 &amp; PLUSMN; 5.2 mu mol kg-1) but seawater CO2 was not in equilibrium with atmospheric CO2, and (3) the equilibrated treatment where alkalinity was increased (+500 &amp; PLUSMN; 3.2 mu mol kg-1) and seawater CO2 was in equilibrium with atmospheric CO2. Both treatments have the capacity to increase the inorganic carbon sink of seawater by 21 %. We found that simulated OAE had significant but generally moderate effects on various groups in the phytoplankton community and on heterotrophic bacteria. More pronounced effects were observed for the diatom community where silicic acid drawdown and biogenic silica build-up were reduced at increased alkalinity. Observed changes in phytoplankton communities affected the temporal trends of key biogeochemical parameters such as the organic matter carbon-to-nitrogen ratio. Interestingly, the unequilibrated treatment did not have a noticeably larger impact on the phytoplankton (and heterotrophic bacteria) community than the equilibrated treatment, even though the changes in carbonate chemistry conditions were much more severe. This was particularly evident from the occurrence and peak of the phytoplankton spring bloom during the experiment, which was not noticeably different from the control. Altogether, the inadvertent effects of increased alkalinity on the coastal phytoplankton communities appear to be rather limited relative to the enormous climatic benefit of increasing the inorganic carbon sink of seawater by 21 %. We note, however, that more detailed and widespread investigations of plankton community responses to OAE are required to confirm or dismiss this first impression.</t>
  </si>
  <si>
    <t>[Ferderer, Aaron; Chase, Zanna; Kennedy, Fraser; Bach, Lennart T.] Univ Tasmania, Inst Marine &amp; Antarctic Studies, Ecol &amp; Biodivers, Hobart, Tas, Australia; [Schulz, Kai G.] Southern Cross Univ, Ctr Coastal Biogeochem, Sch Environm Sci &amp; Engn, Lismore, NSW, Australia</t>
  </si>
  <si>
    <t>University of Tasmania; Southern Cross University</t>
  </si>
  <si>
    <t>Ferderer, A (corresponding author), Univ Tasmania, Inst Marine &amp; Antarctic Studies, Ecol &amp; Biodivers, Hobart, Tas, Australia.</t>
  </si>
  <si>
    <t>aaron.ferderer@utas.edu.au</t>
  </si>
  <si>
    <t>Chase, Zanna/E-9232-2013; Schulz, Kai/Q-5608-2017</t>
  </si>
  <si>
    <t>Chase, Zanna/0000-0001-5060-779X; Kennedy, Fraser/0000-0003-1796-0764; Schulz, Kai/0000-0002-8481-4639; Bach, Lennart/0000-0003-0202-3671; Ferderer, Aaron/0000-0002-2191-515X</t>
  </si>
  <si>
    <t>Australian Research Council [FT200100846]; Australian Government Research Training Program (RTP) scholarship; Australian Research Council [FT200100846] Funding Source: Australian Research Council</t>
  </si>
  <si>
    <t>Australian Research Council(Australian Research Council); Australian Government Research Training Program (RTP) scholarship(Australian GovernmentDepartment of Industry, Innovation and Science); Australian Research Council(Australian Research Council)</t>
  </si>
  <si>
    <t>We would like to thank Sandrin Feig, Thomas Rodemann, and Terry Pinfold for support on scanning electron microscopy, particulate organic matter, and flow cytometry measurements. This research was funded by a Future Fellowship (FT200100846) by the Australian Research Council awarded to LTB. This research was also conducted while Aaron Ferderer was in receipt of an Australian Government Research Training Program (RTP) scholarship.</t>
  </si>
  <si>
    <t>10.5194/bg-19-5375-2022</t>
  </si>
  <si>
    <t>7V0ND</t>
  </si>
  <si>
    <t>WOS:000912518300001</t>
  </si>
  <si>
    <t>Orlov, AM; Mishin, AV; Artemenkov, DV; Murzina, SA</t>
  </si>
  <si>
    <t>Orlov, A. M.; Mishin, A., V; Artemenkov, D., V; Murzina, S. A.</t>
  </si>
  <si>
    <t>Length-Weight Characteristics of Some Pelagic Fishes in the High Latitudes of Atlantic Sector of the Southern Ocean</t>
  </si>
  <si>
    <t>JOURNAL OF ICHTHYOLOGY</t>
  </si>
  <si>
    <t>the Antarctic deepsea smelt Bathylagus antarcticus; Antarctic silverfish Pleuragramma antarcticum; Antarctic lanternfish Electrona antarctica; Brauer's lanternfish Gymnoscoplus braueri; size composition; length-weight relationship; Antarctica; Antarctic Polar Front; Antarctic Convergence</t>
  </si>
  <si>
    <t>MESOPELAGIC FISH; FEEDING ECOLOGY; MYCTOPHID FISH; SCOTIA SEA; ANTARCTIC SILVERFISH; ELECTRONA-ANTARCTICA; POPULATION BIOLOGY; WEDDELL SEA; ABUNDANCE; DIET</t>
  </si>
  <si>
    <t>Mesopelagic fish, having colossal biomass remain poorly understood although playing an important ecological role in the ecosystems of the World Ocean and participating in the transfer of energy and organic matter between different trophic levels. Antarctic silverfish Pleuragramma antarcticum is a key species of the pelagial of the high-latitude Antarctic zone. New data on the size composition and length-weight relationships are presented for four species of the most abundant pelagic fish (the Antarctic deepsea smelt Bathylagus antarcticus, Antarctic silverfish Pleuragramma antarcticum, Antarctic lanternfish Electrona antarctica, and Brauer's lanternfish Gymnoscoplus braueri) from the waters of the Atlantic Sector of the Southern Ocean southwards off the Antarctic Convergence. These data may be used in studying their growth, calculating individual population parameters, and in population studies.</t>
  </si>
  <si>
    <t>[Orlov, A. M.; Mishin, A., V; Murzina, S. A.] Russian Acad Sci, Shirshov Inst Oceanol, Moscow, Russia; [Orlov, A. M.] Russian Acad Sci IEE RAS, Severtsov Inst Ecol &amp; Evolut, Moscow, Russia; [Artemenkov, D., V] Russian Fed Res Inst Fisheries &amp; Oceanog VNIRO, Moscow, Russia; [Murzina, S. A.] Russian Acad Sci, Karelian Res Ctr, Inst Biol, Petrozavodsk, Russia</t>
  </si>
  <si>
    <t>Russian Academy of Sciences; Shirshov Institute of Oceanology; Russian Academy of Sciences; Saratov Scientific Center of the Russian Academy of Sciences; Severtsov Institute of Ecology &amp; Evolution; Research lnstitute of Fisheries &amp; Oceanography; Russian Academy of Sciences; Karelian Research Centre of the Russian Academy of Sciences; Institute of Biology of Karelian Research Centre RAS</t>
  </si>
  <si>
    <t>Orlov, AM (corresponding author), Russian Acad Sci, Shirshov Inst Oceanol, Moscow, Russia.;Orlov, AM (corresponding author), Russian Acad Sci IEE RAS, Severtsov Inst Ecol &amp; Evolut, Moscow, Russia.</t>
  </si>
  <si>
    <t>orlov@vniro.ru</t>
  </si>
  <si>
    <t>Murzina, Svetlana A./A-7624-2014; Artemenkov, Dmitriy V/C-5501-2017; Orlov, Alexei M./E-2036-2012</t>
  </si>
  <si>
    <t>Orlov, Alexei M./0000-0002-0877-2553</t>
  </si>
  <si>
    <t>State Task of the Ministry of Science and Higher Education of the Russian Federation; [FMWE 2022-0001]</t>
  </si>
  <si>
    <t>State Task of the Ministry of Science and Higher Education of the Russian Federation;</t>
  </si>
  <si>
    <t>The work is carried out within the framework of the State Task of the Ministry of Science and Higher Education of the Russian Federation (no. FMWE 2022-0001).</t>
  </si>
  <si>
    <t>0032-9452</t>
  </si>
  <si>
    <t>1555-6425</t>
  </si>
  <si>
    <t>J ICHTHYOL+</t>
  </si>
  <si>
    <t>J. Ichthyol.</t>
  </si>
  <si>
    <t>10.1134/S0032945222060194</t>
  </si>
  <si>
    <t>Fisheries; Zoology</t>
  </si>
  <si>
    <t>7L0XM</t>
  </si>
  <si>
    <t>WOS:000905699400011</t>
  </si>
  <si>
    <t>Wallington, H; Hendry, K; Perkins, R; Yallop, M; Arndt, S</t>
  </si>
  <si>
    <t>Wallington, Holly; Hendry, Katharine; Perkins, Rupert; Yallop, Marian; Arndt, Sandra</t>
  </si>
  <si>
    <t>Benthic diatoms modify riverine silicon export to a marine zone in a hypertidal estuarine environment</t>
  </si>
  <si>
    <t>BIOGEOCHEMISTRY</t>
  </si>
  <si>
    <t>Silicon; Biogenic silica; Severn estuary; Biofilms</t>
  </si>
  <si>
    <t>BIOGENIC SILICA; SEVERN ESTUARY; BIOGEOCHEMICAL CYCLE; ISOTOPE COMPOSITION; SEDIMENT STABILITY; SALINITY GRADIENT; DISSOLVED SILICON; SCHELDE ESTUARY; CHESAPEAKE BAY; WORLD OCEAN</t>
  </si>
  <si>
    <t>Riverine dissolved silicon (DSi) and biogenic silica (BSi) are modulated along the estuarine gradient by several biotic and abiotic processes governed by physical forcings. An important area controlling silicon transport in alluvial estuaries with large intertidal mudflats is the benthic diatom-dominated biofilm system. Here, the hypertidal Severn Estuary, UK, has been used as a case study to improve our understanding of silicon transport in these benthic-dominated systems. We present the first time-series dataset of Si concentrations in the Severn. River and tidal hydrodynamics drove spatio-temporal changes in DSi. The longitudinal profile of DSi followed the classical view of dilution with downstream transport. Despite low riverine supply of BSi and low siliceous-phytoplankton production, relatively high BSi concentrations were measured in the Severn Estuary (maximum of 14.9 mg/L), which accounted for over 70% of the total bioavailable silicon present and were characterised by isotopically heavy waters (delta Si-30 of + 0.9 to + 1.1 &amp; PTSTHOUSND;). Benthic biofilms (microphytobenthos) on the intertidal mudflats contained significant biomass (measured as chlorophyll a concentration with a maximum of 116.8 &amp; PLUSMN; 16.2 mu g/g dw. sed) with high productivity, driven by their photoprotective adaptions to these harsh intertidal environments, contributing to isotopically heavy mudflat water (delta Si-30 of + 1.19 to + 2.03 &amp; PTSTHOUSND;), and resulting in high benthic BSi content in the spring (0.74 &amp; PLUSMN; 0.03%) and summer (0.76 &amp; PLUSMN; 0.05%). The fast-flowing tidal currents resulted in high bottom shear stress which likely exceeded the erosion thresholds of the biofilms, transporting the sediment-BSi matrix into the water column. Suspended particulate matter (SPM) and BSi remained tightly coupled in the estuarine water column (bioflocculation), and experienced the series of erosion-deposition events, burial/dissolution and export out of the estuary. Our novel observations improve understanding of the complex processes governing Si transport in hypertidal, benthic-dominated estuaries, and highlights the importance of tightly coupled benthic-pelagic systems in influencing the terrestrial silicon export to a marine zone.</t>
  </si>
  <si>
    <t>[Wallington, Holly; Hendry, Katharine] Univ Bristol, Sch Earth Sci, Bristol BS8 1RJ, England; [Hendry, Katharine] NERC, British Antarctic Survey, Cambridge CB3 0ET, England; [Perkins, Rupert] Cardiff Univ, Sch Earth &amp; Ocean Sci, Cardiff CF10 3AT, Wales; [Yallop, Marian] Univ Bristol, Sch Biol Sci, Bristol BS8 1TQ, England; [Arndt, Sandra] Univ Libre Bruxelles, Dept Geosci Environm &amp; Soc DGES, BGeosys, Brussels, Belgium</t>
  </si>
  <si>
    <t>University of Bristol; UK Research &amp; Innovation (UKRI); Natural Environment Research Council (NERC); NERC British Antarctic Survey; Cardiff University; University of Bristol; Universite Libre de Bruxelles</t>
  </si>
  <si>
    <t>Hendry, K (corresponding author), Univ Bristol, Sch Earth Sci, Bristol BS8 1RJ, England.</t>
  </si>
  <si>
    <t>k.hendry@bristol.ac.uk</t>
  </si>
  <si>
    <t>Hendry, Katharine R/E-4793-2011; Arndt, Sandra/E-7639-2017; , Marian/JSL-4087-2023</t>
  </si>
  <si>
    <t>University of Bristol; University of Bristol</t>
  </si>
  <si>
    <t>This research was supported by the Tratman Scholarship at the University of Bristol.</t>
  </si>
  <si>
    <t>0168-2563</t>
  </si>
  <si>
    <t>1573-515X</t>
  </si>
  <si>
    <t>Biogeochemistry</t>
  </si>
  <si>
    <t>10.1007/s10533-022-00997-7</t>
  </si>
  <si>
    <t>Environmental Sciences; Geosciences, Multidisciplinary</t>
  </si>
  <si>
    <t>8G0UP</t>
  </si>
  <si>
    <t>WOS:000912625400001</t>
  </si>
  <si>
    <t>Fuligni, B</t>
  </si>
  <si>
    <t>Fuligni, Bruno</t>
  </si>
  <si>
    <t>French Southern and Antarctic lands</t>
  </si>
  <si>
    <t>HISTORIA</t>
  </si>
  <si>
    <t>SOPHIA PUBLICATIONS</t>
  </si>
  <si>
    <t>74 AV DU MAINE, PARIS, FRANCE</t>
  </si>
  <si>
    <t>1270-0835</t>
  </si>
  <si>
    <t>Historia</t>
  </si>
  <si>
    <t>6Y3MX</t>
  </si>
  <si>
    <t>WOS:000897003200014</t>
  </si>
  <si>
    <t>Xiao, C; Wu, YL; Yan, JG; Harada, Y; Zhang, Y; Li, F</t>
  </si>
  <si>
    <t>Xiao, Chi; Wu, Yunlong; Yan, Jianguo; Harada, Yuji; Zhang, Yi; Li, Fei</t>
  </si>
  <si>
    <t>Comparison of the Effects of Different Viscoelastic and Temperature Models on the Theoretical Tidal Response of the Moon</t>
  </si>
  <si>
    <t>JOURNAL OF GEOPHYSICAL RESEARCH-PLANETS</t>
  </si>
  <si>
    <t>Moon; viscoelastic model; solid tide; internal structure</t>
  </si>
  <si>
    <t>DEEP LUNAR INTERIOR; INTERNAL STRUCTURE; MANTLE; CONSTRAINTS; VISCOSITY; GRAIL; EVOLUTION; ILMENITE; OLIVINE; ORIGIN</t>
  </si>
  <si>
    <t>The existence of an attenuating layer that is partially molten at the bottom of the lunar mantle has long been debated, mainly because different viscoelastic models yield varying interpretations. Through a combination of different viscoelastic and temperature models, we study the theoretical tidal response of the Moon. As viscoelastic models, we consider the Maxwell, Burgers, Andrade, and Sundberg-Cooper model, where the Burgers and Andrade models each comprise two different scenarios. Determining which viscoelastic model is most suitable for the Moon is difficult since more than one combination of viscoelastic and temperature models satisfies the observed period dependence of the lunar tidal quality factor Q. Further inversion reveals that most viscoelastic models potentially satisfy the monthly observations of the Moon; however, only the Maxwell and Andrade models satisfy the period-dependent Q while remaining consistent with the observed tidal Love numbers k(2) and h(2). We ultimately suggest that the Andrade model with beta = mu(alpha-1)eta(-alpha), where alpha and beta are the empirical parameters, mu is unrelaxed shear modulus, and eta is viscosity, is more suitable for the Moon because the Maxwell model underestimates the mantle viscosity and the viscous dissipation at short periods. Based on our model assumptions and the currently available observations, a partially molten layer with a grain size on the order of 10-100 mu m, in which the temperature changes drastically may exist at the bottom of the lunar mantle.</t>
  </si>
  <si>
    <t>[Xiao, Chi] China Earthquake Adm, Inst Seismol, Lab Earthquake Geodesy, Wuhan, Peoples R China; [Xiao, Chi] Natl Observat &amp; Res Stn, Wuhan Gravitat &amp; Solid Earth Tides, Wuhan, Peoples R China; [Wu, Yunlong; Zhang, Yi] China Univ Geosci, Sch Geog &amp; Informat Engn, Wuhan, Peoples R China; [Wu, Yunlong; Zhang, Yi] China Univ Geosci, Key Lab Geol Survey, Evaluat Minist Educ, Wuhan, Peoples R China; [Yan, Jianguo; Li, Fei] Wuhan Univ, State Key Lab Informat Engn Surveying, Mapping &amp; Remote Sensing, Wuhan, Peoples R China; [Harada, Yuji] Macau Univ Sci &amp; Technol, Fac Innovat Engn, Dept Engn Sci, Macau, Peoples R China; [Li, Fei] Wuhan Univ, Chinese Antarctic Ctr Surveying &amp; Mapping, Wuhan, Peoples R China</t>
  </si>
  <si>
    <t>China Earthquake Administration; China University of Geosciences; China University of Geosciences; Wuhan University; Macau University of Science &amp; Technology; Wuhan University</t>
  </si>
  <si>
    <t>Wu, YL (corresponding author), China Univ Geosci, Sch Geog &amp; Informat Engn, Wuhan, Peoples R China.;Wu, YL (corresponding author), China Univ Geosci, Key Lab Geol Survey, Evaluat Minist Educ, Wuhan, Peoples R China.;Yan, JG (corresponding author), Wuhan Univ, State Key Lab Informat Engn Surveying, Mapping &amp; Remote Sensing, Wuhan, Peoples R China.</t>
  </si>
  <si>
    <t>wuyunlong@cug.edu.cn; jgyan@whu.edu.cn</t>
  </si>
  <si>
    <t>Xiao, Chi/AFD-1063-2022; LI, MINGZE/KEI-2317-2024; Yuan, Yu/KBQ-0606-2024; Harada, Yuji/K-2647-2017</t>
  </si>
  <si>
    <t>Harada, Yuji/0000-0001-5691-3851; Xiao, Chi/0000-0002-1589-0486; Yan, Jianguo/0000-0003-2612-4776</t>
  </si>
  <si>
    <t>National Scientific Foundation of China [42030110, 41974096, 41874010]; Open Fund of Wuhan, Gravitation and Solid Earth Tides, National Observation and Research Station [WHYWZ202105]; Macau Science and Technology Development Fund [0020/2021/A1]; China National Space Administration [D020303]; National Natural Science Foundation of China [12173106]</t>
  </si>
  <si>
    <t>National Scientific Foundation of China(National Natural Science Foundation of China (NSFC)); Open Fund of Wuhan, Gravitation and Solid Earth Tides, National Observation and Research Station; Macau Science and Technology Development Fund; China National Space Administration; National Natural Science Foundation of China(National Natural Science Foundation of China (NSFC))</t>
  </si>
  <si>
    <t>We sincerely appreciate the three reviewers (including Dr. Vishnu Viswanathan) and the editor for their constructive comments, which greatly improved our manuscript. C. Xiao, Y. Wu, J. Yan, F. Li, and Y, Zhang are supported by the National Scientific Foundation of China (42030110, 41974096, and 41874010), Open Fund of Wuhan, Gravitation and Solid Earth Tides, National Observation and Research Station (WHYWZ202105); Y. Harada is supported by the Macau Science and Technology Development Fund (0020/2021/A1), the China National Space Administration (D020303), and the National Natural Science Foundation of China (12173106).</t>
  </si>
  <si>
    <t>2169-9097</t>
  </si>
  <si>
    <t>2169-9100</t>
  </si>
  <si>
    <t>J GEOPHYS RES-PLANET</t>
  </si>
  <si>
    <t>J. Geophys. Res.-Planets</t>
  </si>
  <si>
    <t>10.1029/2022JE007215</t>
  </si>
  <si>
    <t>7O9PG</t>
  </si>
  <si>
    <t>WOS:000908346300024</t>
  </si>
  <si>
    <t>Glendinning, S; Fitzgibbon, QP; Smith, GG; Ventura, T</t>
  </si>
  <si>
    <t>Glendinning, Susan; Fitzgibbon, Quinn P.; Smith, Gregory G.; Ventura, Tomer</t>
  </si>
  <si>
    <t>Unravelling the neuropeptidome of the ornate spiny lobster Panulirus ornatus: A focus on peptide hormones and their processing enzymes expressed in the reproductive tissues</t>
  </si>
  <si>
    <t>GENERAL AND COMPARATIVE ENDOCRINOLOGY</t>
  </si>
  <si>
    <t>Adipokinetic hormone; corazonin-like peptide; Neuropeptide; Decapod; Prohormone convertase</t>
  </si>
  <si>
    <t>CRUSTACEAN HYPERGLYCEMIC HORMONE; STOMATOGASTRIC NERVOUS-SYSTEM; GONAD-INHIBITING HORMONE; INSECT NEUROPEPTIDE; ANDROGENIC GLAND; SIFAMIDE; FAMILY; CORAZONIN; ORCOKININ; CRAYFISH</t>
  </si>
  <si>
    <t>Neuropeptides are commonly produced in the neural tissues yet can have effects on far-reaching targets, with varied biological responses. We describe here the neuropeptidome of the ornate spiny lobster, Panulirus ornatus, a species of emerging importance to closed-system aquaculture, with a focus on peptide hormones produced by the reproductive tissues.Transcripts for a precursor to one neuropeptide, adipokinetic hormone/corazonin-related peptide (ACP) were identified in high numbers in the sperm duct of adult spiny lobsters suggesting a role for ACP in the reproduction of this species. Neuropeptide production in the sperm duct may be linked with physiological control of sper-matophore production in the male, or alternatively may function in signalling to the female.The enzymes which process nascent neuropeptide precursors into their mature, active forms have seldom been studied in decapods, and never before at the multi-tissue level. We have identified transcripts for multiple members of the proprotein convertase subtisilin/kexin family in the ornate spiny lobster, with some enzymes showing specificity to certain tissues. In addition, other enzyme transcripts involved with neuropeptide pro-cessing are identified along with their tissue and life stage expression patterns.</t>
  </si>
  <si>
    <t>[Glendinning, Susan; Ventura, Tomer] Univ Sunshine Coast, Ctr Bioinnovat, Maroochydore, Qld, Australia; [Glendinning, Susan; Ventura, Tomer] Univ Sunshine Coast, Sch Sci &amp; Engn, Maroochydore, Qld, Australia; [Fitzgibbon, Quinn P.; Smith, Gregory G.] Univ Tasmania, Inst Marine &amp; Antarctic Studies IMAS, Private Bag 49, Hobart, Tas 7001, Australia</t>
  </si>
  <si>
    <t>University of the Sunshine Coast; University of the Sunshine Coast; University of Tasmania</t>
  </si>
  <si>
    <t>Glendinning, S (corresponding author), Univ Sunshine Coast, Ctr Bioinnovat, Maroochydore, Qld, Australia.;Glendinning, S (corresponding author), Univ Sunshine Coast, Sch Sci &amp; Engn, Maroochydore, Qld, Australia.</t>
  </si>
  <si>
    <t>sglendinning@usc.edu.au</t>
  </si>
  <si>
    <t>Ventura, T./H-9832-2019; Glendinning, Susan/IAM-1838-2023</t>
  </si>
  <si>
    <t>Ventura, T./0000-0002-0777-2367; Glendinning, Susan/0000-0002-1843-8954; Fitzgibbon, Quinn/0000-0002-1104-3052</t>
  </si>
  <si>
    <t>Australian Government; Australian Research Council Industrial Transformation Research Hub [IH190100014]; Australian Research Council [IH190100014] Funding Source: Australian Research Council</t>
  </si>
  <si>
    <t>Australian Government(Australian Government); Australian Research Council Industrial Transformation Research Hub(Australian Research Council); Australian Research Council(Australian Research Council)</t>
  </si>
  <si>
    <t>This work was supported by the Australian Government with funding from the Australian Research Council (http:// www.arc.gov.au/) Industrial Transformation Research Hub (project number IH190100014) . The views expressed herein are those of the authors and are not necessarily those of the Australian Government or Australian Research Council.</t>
  </si>
  <si>
    <t>0016-6480</t>
  </si>
  <si>
    <t>1095-6840</t>
  </si>
  <si>
    <t>GEN COMP ENDOCR</t>
  </si>
  <si>
    <t>Gen. Comp. Endocrinol.</t>
  </si>
  <si>
    <t>10.1016/j.ygcen.2022.114183</t>
  </si>
  <si>
    <t>Endocrinology &amp; Metabolism; Zoology</t>
  </si>
  <si>
    <t>7M8BV</t>
  </si>
  <si>
    <t>WOS:000906877700003</t>
  </si>
  <si>
    <t>Dinh, KV; Konestabo, HS; Borgå, K; Hylland, K; Macaulay, SJ; Jackson, MC; Verheyen, J; Stoks, R</t>
  </si>
  <si>
    <t>Dinh, Khuong, V; Konestabo, Heidi Sjursen; Borga, Katrine; Hylland, Ketil; Macaulay, Samuel J.; Jackson, Michelle C.; Verheyen, Julie; Stoks, Robby</t>
  </si>
  <si>
    <t>Interactive Effects of Warming and Pollutants on Marine and Freshwater Invertebrates</t>
  </si>
  <si>
    <t>CURRENT POLLUTION REPORTS</t>
  </si>
  <si>
    <t>Aquatic insects; Climate change; Contemporary evolution; Copepods; Pesticides; Synergistic effects</t>
  </si>
  <si>
    <t>CLIMATE-CHANGE; PESTICIDE EXPOSURE; RAPID EVOLUTION; TEMPERATURE; TOXICITY; BIODIVERSITY; ZOOPLANKTON; STRESSORS; DAPHNIA; ADAPTATION</t>
  </si>
  <si>
    <t>Purpose of Review Global warming and pollution are among the five major causes of global biodiversity loss, particularly in aquatic invertebrates which are highly diverse but understudied. In this review, we highlight advancements in current environmental studies investigating the interactive effects between warming and contaminants in freshwater and marine invertebrates. We not only focused on temperate regions but also synthesized information on the less studied Arctic/Antarctic and tropical regions.Recent Findings In general, the same combination of warming and contaminants may result in either additive or non -additive interactive effects depending on taxa, the response variable, life stage, genotype, exposure level, duration and order of exposure, and the number of exposed generations. For traditional contaminants such as metals and pesticides, combined effects with warming at the individual level were generally synergistic. Growing evidence suggests that multigenerational exposure can shift the interaction between warming and contaminants toward antagonism, while contemporary evolution may change the interaction type.ummary Our synthesis highlights the importance of temporal aspects in shaping interaction type, including order of expo -sure, ontogenetic effects, transgenerational effects, and evolution. The combination of laboratory experiments (to advance mechanistic understanding) and outdoor mesocosm studies or field observations (to increase realism) is needed to obtain comprehensive assessments of interactive effects of warming and pollutants from genes to ecosystems.</t>
  </si>
  <si>
    <t>[Dinh, Khuong, V; Konestabo, Heidi Sjursen; Borga, Katrine; Hylland, Ketil] Univ Oslo, Dept Biosci, Sect Aquat Biol &amp; Toxicol, Blindernvn 31, N-0371 Blindernvn, Norway; [Konestabo, Heidi Sjursen] Univ Oslo, Sci Lib, Moltke Moes Vei 35, N-0316 Oslo, Norway; [Macaulay, Samuel J.; Jackson, Michelle C.] Univ Oxford, Dept Biol, Mansfield Rd 11a, Oxford OX1 3SZ, England; [Verheyen, Julie; Stoks, Robby] Univ Leuven, Lab Evolutionary Stress Ecol &amp; Ecotoxicol, Charles Deberiotstr 32, B-3000 Louvain, Belgium</t>
  </si>
  <si>
    <t>University of Oslo; University of Oslo; University of Oxford; KU Leuven</t>
  </si>
  <si>
    <t>Dinh, KV (corresponding author), Univ Oslo, Dept Biosci, Sect Aquat Biol &amp; Toxicol, Blindernvn 31, N-0371 Blindernvn, Norway.</t>
  </si>
  <si>
    <t>van.k.dinh@ibv.uio.no</t>
  </si>
  <si>
    <t>Konestabo, Heidi S/F-9424-2011; Dinh, Khuong Van/K-4017-2013</t>
  </si>
  <si>
    <t>Dinh, Khuong Van/0000-0003-0766-9148; Stoks, Robby/0000-0003-4130-0459; Verheyen, Julie/0000-0001-7496-5137</t>
  </si>
  <si>
    <t>University of Oslo; Nansen Legacy and Researcher Project for Young Talents of Research Council of Norway [276730, 325334]; UK's Natural Environment Research Council [NE/V001396/1]; Fund for Scientific Research Flanders (FWO); KU Leuven [C16/17/002]; NERC [NE/V001396/1] Funding Source: UKRI</t>
  </si>
  <si>
    <t>University of Oslo; Nansen Legacy and Researcher Project for Young Talents of Research Council of Norway; UK's Natural Environment Research Council(UK Research &amp; Innovation (UKRI)Natural Environment Research Council (NERC)); Fund for Scientific Research Flanders (FWO)(FWO); KU Leuven(KU Leuven); NERC(UK Research &amp; Innovation (UKRI)Natural Environment Research Council (NERC))</t>
  </si>
  <si>
    <t>Open access funding provided by University of Oslo (incl Oslo University Hospital). K.V.D., K.B., and K.H. received grants from The Nansen Legacy (RCN#276730) and Researcher Project for Young Talents (RCN#325334) of the Research Council of Norway. S.J.M. and M.C.J received funding from UK's Natural Environment Research Council (NE/V001396/1). R.S. was supported by grants from the Fund for Scientific Research Flanders (FWO) and KU Leuven C1 grant C16/17/002.</t>
  </si>
  <si>
    <t>2198-6592</t>
  </si>
  <si>
    <t>CURR POLLUT REP</t>
  </si>
  <si>
    <t>Curr. Pollut. Rep.</t>
  </si>
  <si>
    <t>10.1007/s40726-022-00245-4</t>
  </si>
  <si>
    <t>Environmental Sciences; Public, Environmental &amp; Occupational Health</t>
  </si>
  <si>
    <t>Environmental Sciences &amp; Ecology; Public, Environmental &amp; Occupational Health</t>
  </si>
  <si>
    <t>7P6VE</t>
  </si>
  <si>
    <t>WOS:000908839800003</t>
  </si>
  <si>
    <t>Llambi, LD; Gamez, LE; Pelayo, R; Azocar, CJ; Torres, JE; Marquez, NJ; Berdugo, MB; Cuesta, F; Ramirez, LA</t>
  </si>
  <si>
    <t>Llambi, Luis D. D.; Gamez, Luis E. E.; Pelayo, Roxibell; Azocar, Carmen J. J.; Torres, Jesus E.; Marquez, Nelson J. J.; Berdugo, Monica B. B.; Cuesta, Francisco; Ramirez, Lirey A. A.</t>
  </si>
  <si>
    <t>Species, growth form, and biogeographic diversity of summit vegetation along an elevation gradient in the tropical Andes: a baseline for climate change monitoring</t>
  </si>
  <si>
    <t>JOURNAL OF MOUNTAIN SCIENCE</t>
  </si>
  <si>
    <t>Alpine vegetation; Biogeography; Elevation gradient; Functional diversity; Paramo; Soil organic matter; Temperature; Tropical Andes</t>
  </si>
  <si>
    <t>SOIL PROPERTIES; ALTITUDINAL GRADIENT; MOUNTAIN SUMMITS; RANGE SHIFTS; LIFE-FORMS; PATTERNS; PLANTS; RICHNESS; CLASSIFICATION; SUCCESSION</t>
  </si>
  <si>
    <t>Tropical alpine ecosystems exhibit outstanding plant diversity and endemism while being particularly sensitive to the impacts of climate change. Although understanding spatiotemporal changes in plant species composition, richness and community structure along tropical alpine altitudinal gradients is of primary importance, both the functional and historical/biogeographic dimensions of vegetation diversity remain largely unexplored. We used Generalized Linear Models and multivariate analyses to assess changes in species, growth forms, and biogeographic groups richness and abundance, in response to habitat variables along an elevation gradient in seven summits (3800 to 4600 m asl) in the Venezuelan Andes, studied using the standardized approach of the GLORIA-Andes monitoring network. The habitat variables assessed were soil temperature (-10 cm), soil organic matter, slope inclination, and substrate cover. We found 113 species, representing 72 genera, 32 families, 13 growth forms, and seven biogeographic origins, that included 25% of endemic elements. We observed richer vegetation, both in terms of species and growth forms, in summits with higher soil temperatures and higher SOM content, as well as higher biogeographic origin richness with increasing soil temperatures. The presence of holarctic elements increased toward higher elevations, while the occurrence of austral antarctic elements increased toward lower elevations. Our results indicate that biogeographic and functional approaches to vegetation diversity capture well the effect of abiotic filtering on community structuring in these tropical alpine environments. These findings constitute an important baseline for monitoring vegetation dynamics linked to climate change in the Venezuelan Andes by highlighting the functional and historical perspective on vegetation analyses, in contrast with more traditional approaches, based only on taxonomic species diversity.</t>
  </si>
  <si>
    <t>[Llambi, Luis D. D.; Pelayo, Roxibell; Torres, Jesus E.; Marquez, Nelson J. J.; Ramirez, Lirey A. A.] Univ Los Andes, Inst Environm &amp; Ecol Sci ICAE, Merida 5101, Venezuela; [Llambi, Luis D. D.] Consorcium Susteinable Dev Andean Ecoreg CONDESAN, Calle German Aleman E12-123, Quito 170504, Ecuador; [Gamez, Luis E. E.] Univ Los Andes, Lab Dendrol Environm &amp; Forestry Fac, Merida 5101, Venezuela; [Berdugo, Monica B. B.; Ramirez, Lirey A. A.] Univ Marburg, Fac Geog, Ecol Plant Geog, Deutschhausstr 10, D-35032 Marburg, Germany; Univ Las Amer, Grp Biodivers, Environm &amp; Hlth Res BIOMAS, Quito 170125, Ecuador</t>
  </si>
  <si>
    <t>University of Los Andes Venezuela; University of Los Andes Venezuela; Philipps University Marburg; Universidad de Las Americas - Ecuador</t>
  </si>
  <si>
    <t>Ramirez, LA (corresponding author), Univ Los Andes, Inst Environm &amp; Ecol Sci ICAE, Merida 5101, Venezuela.;Ramirez, LA (corresponding author), Univ Marburg, Fac Geog, Ecol Plant Geog, Deutschhausstr 10, D-35032 Marburg, Germany.</t>
  </si>
  <si>
    <t>lireyaysen@gmail.com</t>
  </si>
  <si>
    <t>Berdugo, Monica B./AAR-3887-2020</t>
  </si>
  <si>
    <t>Berdugo, Monica B./0000-0002-2419-4925; Llambi, Luis Daniel/0000-0002-2031-810X; Ramirez, Lirey/0000-0003-1560-7078; Cuesta, Francisco/0000-0002-5150-073X</t>
  </si>
  <si>
    <t>Adaptation at Altitude Program (CONDESAN-SDC)</t>
  </si>
  <si>
    <t>We want to thank the financial support to the GLORIA-Andes network in Venezuela of CONDESAN and the Swiss Development Agency (SDC). The present synthesis analysis was financed by the Adaptation at Altitude Program (CONDESAN-SDC). We also want to thank the institutional support of ICAE and the MER Herbarium at ULA and INPARQUES and the detailed and insightful comments provided by the referees, which we are sure have contributed to improve the manuscript. The following researchers have actively participated during these years in field work, laboratory analyses, taxonomic identification, generation of maps and other key activities: Teresa Schwarzkopf, Eulogio Chacon, Manuel Fernandez, Zulay Mendez, Julia K. Smith, Andrea Bueno, Magdalena Gerhardt, Benito Briceno, Alejandra Melfo, Cherry Rojas, Mariana Cardenas, Rafael Pacheco, Mayanin Rodriguez, Ciro Soto, John Parra, Maryam Sanchez, Gerardo Rodriguez, Susana Rodriguez, Victor Palomares, Anderson Albarran, Dominique Bednareck, Favian Vega and Gabriel Guirigay. Finally, we want to thank the kind support during field work in Gavidia of Leopoldo Ponte, the Torres Family and Manuel Moreno.</t>
  </si>
  <si>
    <t>1672-6316</t>
  </si>
  <si>
    <t>1993-0321</t>
  </si>
  <si>
    <t>J MT SCI-ENGL</t>
  </si>
  <si>
    <t>J Mt. Sci.</t>
  </si>
  <si>
    <t>10.1007/s11629-022-7473-8</t>
  </si>
  <si>
    <t>6Z9LY</t>
  </si>
  <si>
    <t>WOS:000898090200007</t>
  </si>
  <si>
    <t>Golikov, AV; Ceia, FR; Hoving, HJT; Queirós, JP; Sabirov, RM; Blicher, ME; Larionova, AM; Walkusz, W; Zakharov, D; Xavier, JC</t>
  </si>
  <si>
    <t>Golikov, Alexey, V; Ceia, Filipe R.; Hoving, Hendrik J. T.; Queiros, Jose P.; Sabirov, Rushan M.; Blicher, Martin E.; Larionova, Anna M.; Walkusz, Wojciech; Zakharov, Denis, V; Xavier, Jose C.</t>
  </si>
  <si>
    <t>Life History of the Arctic Squid Gonatus fabricii (Cephalopoda: Oegopsida) Reconstructed by Analysis of Individual Ontogenetic Stable Isotopic Trajectories</t>
  </si>
  <si>
    <t>deep-sea; ecology; delta C-13; delta N-15; mixing model; isotopic niche; allometric equation; generalist; specialist; beaks</t>
  </si>
  <si>
    <t>TROPHIC POSITION; NITROGEN DELTA-N-15; CARBON DELTA-C-13; DOSIDICUS-GIGAS; FOOD-WEB; OCTOPUS-VULGARIS; INCLUDING GIANT; WEST GREENLAND; ECOLOGY; BEAKS</t>
  </si>
  <si>
    <t>Cephalopods are important in Arctic marine ecosystems as predators and prey, but knowl-edge of their life cycles is poor. Consequently, they are under-represented in the Arctic ecosystems assessment models. One important parameter is the change in ecological role (habitat and diet) associated with individual ontogenies. Here, the life history of Gonatus fabricii, the most abundant Arctic cephalopod, is reconstructed by the analysis of individual ontogenetic trajectories of stable isotopes (delta C-13 and delta N-15) in archival hard body structures. This approach allows the prediction of the exact mantle length (ML) and mass when the species changes its ecological role. Our results show that the life history of G. fabricii is divided into four stages, each having a distinct ecology: (1) epipelagic squid (ML &lt; 20 mm), preying mostly on copepods; (2) epi-and occasionally mesopelagic squid (ML 20-50 mm), preying on larger crustaceans, fish, and cephalopods; (3) meso-and bathypelagic squid (ML &gt; 50 mm), preying mainly on fish and cephalopods; and (4) non-feeding bathypelagic gelatinous females (ML &gt; 200 mm). Existing Arctic ecosystem models do not reflect the different ecological roles of G. fabricii correctly, and the novel data provided here are a necessary baseline for Arctic ecosystem modelling and forecasting.</t>
  </si>
  <si>
    <t>[Golikov, Alexey, V; Hoving, Hendrik J. T.] GEOMAR Helmholtz Ctr Ocean Res Kiel, D-24105 Kiel, Germany; [Ceia, Filipe R.; Queiros, Jose P.; Xavier, Jose C.] Univ Coimbra, MARE Marine &amp; Environm Sci Ctr, Dept Life Sci, ARNET Aquat Res Network, P-3000456 Coimbra, Portugal; [Queiros, Jose P.; Xavier, Jose C.] British Antarctic Survey, Nat Environm Res Council, Cambridge CB3 0ET, England; [Sabirov, Rushan M.; Larionova, Anna M.] Kazan Fed Univ, Dept Zool, Kazan 420008, Russia; [Blicher, Martin E.] NIRAS AS, DK-8000 Aarhus, Denmark; [Blicher, Martin E.] Greenland Inst Nat Resources, Greenland Climate Res Ctr, Nuuk 3900, Greenland; [Walkusz, Wojciech] Fisheries &amp; Oceans Canada, Winnipeg, MB R3T 2N6, Canada; [Zakharov, Denis, V] Russian Acad Sci, Lab Marine Res, Zool Inst, St Petersburg 199034, Russia</t>
  </si>
  <si>
    <t>Helmholtz Association; GEOMAR Helmholtz Center for Ocean Research Kiel; Universidade de Coimbra; UK Research &amp; Innovation (UKRI); Natural Environment Research Council (NERC); NERC British Antarctic Survey; Kazan Federal University; Greenland Institute of Natural Resources; Fisheries &amp; Oceans Canada; Russian Academy of Sciences; Zoological Institute of the Russian Academy of Sciences</t>
  </si>
  <si>
    <t>Golikov, AV (corresponding author), GEOMAR Helmholtz Ctr Ocean Res Kiel, D-24105 Kiel, Germany.</t>
  </si>
  <si>
    <t>golikov.ksu@gmail.com</t>
  </si>
  <si>
    <t>Golikov, Alexey/T-3504-2019; Ceia, Filipe R./A-2196-2012</t>
  </si>
  <si>
    <t>Golikov, Alexey/0000-0002-1596-2857; Ceia, Filipe R./0000-0002-5470-5183; /0000-0002-9621-6660; Zakharov, Denis/0000-0002-0885-3249; Queiros, Jose Pedro/0000-0003-2763-2529; Larionova, Anna/0000-0002-4130-6191</t>
  </si>
  <si>
    <t>European Union [101065960]; Greenland Institute of Natural Resources, North Atlantic Cooperation [510-151]; Sustainable Fisheries Greenland; Ministry for Research in Greenland (IKIIN); Environmental Protection Agency (Dancea) of the Ministry of Environment and Food of Denmark [mst-112-00272]; Deutsche Forschungsgemeinschaft [HO 5569/2-1]; Fundacao para a Ciencia e Tecnologia (FCT; Portugal); FCT [DL57/2016 (DL57/2016/CP1370/CT90)]; European Social Fund (POPH; EU); FSE [SFRH/BD/144320/2019]; Government of Canada; [UID/MAR/04292/2020]; Marie Curie Actions (MSCA) [101065960] Funding Source: Marie Curie Actions (MSCA)</t>
  </si>
  <si>
    <t>European Union(European Union (EU)); Greenland Institute of Natural Resources, North Atlantic Cooperation; Sustainable Fisheries Greenland; Ministry for Research in Greenland (IKIIN); Environmental Protection Agency (Dancea) of the Ministry of Environment and Food of Denmark; Deutsche Forschungsgemeinschaft(German Research Foundation (DFG)); Fundacao para a Ciencia e Tecnologia (FCT; Portugal)(Fundacao para a Ciencia e a Tecnologia (FCT)); FCT(Fundacao para a Ciencia e a Tecnologia (FCT)); European Social Fund (POPH; EU); FSE(European Social Fund (ESF)); Government of Canada(CGIAR); ; Marie Curie Actions (MSCA)(Marie Curie Actions)</t>
  </si>
  <si>
    <t>This project has received funding from the European Union's Horizon 2020 research and innovation program under the Marie Sklodowska-Curie grant agreement No 101065960. Additionally: this project is part of Initiating North Atlantic Benthos Monitoring, INAMon, which was financially supported by the Greenland Institute of Natural Resources, North Atlantic Cooperation (nora.fo; J. nr. 510-151), Sustainable Fisheries Greenland, the Ministry for Research in Greenland (IKIIN) and the Environmental Protection Agency (Dancea) of the Ministry of Environment and Food of Denmark (J. nr. mst-112-00272); this project is also part of the Danish Presidency project in Nordic Council of Ministers, mapping seabed biodiversity and vulnerability in the Arctic and North Atlantic; and this project is also co-sponsored by the strategic project UID/MAR/04292/2020, granted to MARE. H.J.T.H. Thanks the Deutsche Forschungsgemeinschaft for financial support under the grant HO 5569/2-1 that supports the Emmy Noether Junior Research Group of H.J.T.H; J.C.X. acknowledges the financial support received from Fundacao para a Ciencia e Tecnologia (FCT; Portugal); F.R.C. acknowledges the financial support via the transitory norm contract DL57/2016 (DL57/2016/CP1370/CT90) from FCT and the European Social Fund (POPH; EU); J.P.Q. acknowledges the financial support via an FCT PhD Scholarship co-financed by FSE (SFRH/BD/144320/2019) and the Government of Canada's contribution to the material collection in the Davis Strait through the Fisheries and Oceans funding for multispecies survey in NAFO Divs. Finally, 0A and OB are acknowledged. The funding sources had no involvement with the conduct of the research and preparation of the article.</t>
  </si>
  <si>
    <t>10.3390/ani12243548</t>
  </si>
  <si>
    <t>7F9ZM</t>
  </si>
  <si>
    <t>WOS:000902196300001</t>
  </si>
  <si>
    <t>Ayassou, K; Pazmiño, A; Sabi, K; Bazureau, A; Godin-Beekmann, S</t>
  </si>
  <si>
    <t>Ayassou, Koffi; Pazmino, Andrea; Sabi, Kokou; Bazureau, Ariane; Godin-Beekmann, Sophie</t>
  </si>
  <si>
    <t>Evolution of Ozone above Togo during the 1979-2020 Period</t>
  </si>
  <si>
    <t>ozone; MLR; Togo; MSR-2; total column ozone; trend</t>
  </si>
  <si>
    <t>MULTI SENSOR REANALYSIS; NINO-SOUTHERN-OSCILLATION; ANTARCTIC OZONE; TRENDS; VARIABILITY; CHLORINE</t>
  </si>
  <si>
    <t>The objective of this paper is to estimate the trend of the Total Ozone Column (TOC) over Togo. A Multi-Sensor Reanalysis-2 (MSR-2) of the TOC over the entire territory of Togo was used. A Multiple Linear Regression (MLR) method has been applied to retrieve the interannual contributions of different forcings and the long-term variability. It was found that the Annual Oscillation (AnO), the Quasi Biennial Oscillation at 30 mb (QBO30), the Solar Flux (SF), and the El Nino-Southern Oscillation (ENSO) has a statistically significant influence on the interannual variability of the TOC. The strongest contribution (22 +/- 1.4 DU) is allocated to the AnO while the weakest (&lt;1 DU) is attributed to the Semi-Annual Oscillations (SAnO). Before the peak year of the Equivalent Effective Stratospheric Chlorine (EESC) in the tropics in 1997, the trend is negative (-0.3% +/- 0.9% per decade) and is not statistically significant. After the peak year, a statistically significant positive trend is observed. The trend of the TOC is 0.6% +/- 0.2% per decade. The monthly TOC trend over Togo is positive and statistically significant during the rainy season (particularly during the monsoon period) except in April, unlike during the harmattan period (DJF), where the trend is not significant.</t>
  </si>
  <si>
    <t>[Ayassou, Koffi; Pazmino, Andrea; Bazureau, Ariane] UVSQ Univ Paris Saclay, LATMOS, CNRS, F-78280 Guyancourt, France; [Ayassou, Koffi; Sabi, Kokou] Univ Lome, LCA, BP 1515, Lome, Togo; [Godin-Beekmann, Sophie] Sorbonne Univ, CNRS, LATMOS, F-75005 Paris, France</t>
  </si>
  <si>
    <t>Universite Paris Saclay; Centre National de la Recherche Scientifique (CNRS); Sorbonne Universite; University of Lome; Sorbonne Universite; Universite Paris Saclay; Centre National de la Recherche Scientifique (CNRS)</t>
  </si>
  <si>
    <t>Ayassou, K (corresponding author), UVSQ Univ Paris Saclay, LATMOS, CNRS, F-78280 Guyancourt, France.;Ayassou, K (corresponding author), Univ Lome, LCA, BP 1515, Lome, Togo.</t>
  </si>
  <si>
    <t>koffi.ayassou@latmos.ipsl.fr</t>
  </si>
  <si>
    <t>SABI, Kokou/HLP-6520-2023</t>
  </si>
  <si>
    <t>SABI, Kokou/0000-0002-1610-4766</t>
  </si>
  <si>
    <t>CAMS27/Copernicus; Campus France SCAC Scholarship</t>
  </si>
  <si>
    <t>The APC was funded by CAMS27/Copernicus. K.A. has been a beneficiary of the 6 months Campus France SCAC Scholarship.</t>
  </si>
  <si>
    <t>10.3390/atmos13122066</t>
  </si>
  <si>
    <t>7G0AR</t>
  </si>
  <si>
    <t>WOS:000902199400001</t>
  </si>
  <si>
    <t>Bärfuss, K; Dirksen, R; Schmithüsen, H; Bretschneider, L; Pätzold, F; Bollmann, S; Panten, P; Rausch, T; Lampert, A</t>
  </si>
  <si>
    <t>Barfuss, Konrad; Dirksen, Ruud; Schmithuesen, Holger; Bretschneider, Lutz; Paetzold, Falk; Bollmann, Sven; Panten, Philippe; Rausch, Thomas; Lampert, Astrid</t>
  </si>
  <si>
    <t>Drone-Based Atmospheric Soundings Up to an Altitude of 10 km-Technical Approach towards Operations</t>
  </si>
  <si>
    <t>DRONES</t>
  </si>
  <si>
    <t>unmanned aerial system; UAS; drone; atmospheric measurements; vertical profiles; NWP; radio soundings; aircraft-based observations; weather forecast; high altitude</t>
  </si>
  <si>
    <t>AIRCRAFT SYSTEMS; RADIOSONDE; IMPACT</t>
  </si>
  <si>
    <t>Currently, the main in situ upper air database for numerical weather prediction relies on radiosonde and aircraft-based information. Typically, radiosondes are launched at specific sites daily, up to four times per day, and data are distributed worldwide via the GTS net. Aircraft observations are limited to frequent flight routes, and vertical profiles are provided in the vicinity of large cities. However, there are large areas with few radiosonde launches, in particular above the oceans and in the polar areas. In this article, the development and technical details of the unmanned aerial system LUCA (Lightweight Unmanned high Ceiling Aerial system) are described. LUCA has the potential to complement radiosonde and aircraft-based observations up to 10 km in altitude. The system ascends and descends (by electrical power) in spiral trajectories and returns to the launching site. This article discusses the requirements for obtaining high data availability under mid-European and Antarctic conditions, with highly automated take-offs and landings under high surface winds, the capacity to deal with icing, and the ability to operate under high wind speeds. The article presents technical solutions for the design and construction of the system and demonstrates its potential.</t>
  </si>
  <si>
    <t>[Barfuss, Konrad; Bretschneider, Lutz; Paetzold, Falk; Bollmann, Sven; Panten, Philippe; Rausch, Thomas; Lampert, Astrid] Tech Univ Carolo Wilhelmina Braunschweig, Inst Flight Guidance, D-38108 Braunschweig, Germany; [Dirksen, Ruud] Meteorol Observatorium Lindenberg, Deutsch Wetterdienst, D-15848 Tauche, Germany; [Schmithuesen, Holger] Helmholtz Ctr Polar &amp; Marine Res, Alfred Wegener Inst, D-27570 Bremerhaven, Germany</t>
  </si>
  <si>
    <t>Braunschweig University of Technology; Helmholtz Association; Alfred Wegener Institute, Helmholtz Centre for Polar &amp; Marine Research</t>
  </si>
  <si>
    <t>Bärfuss, K (corresponding author), Tech Univ Carolo Wilhelmina Braunschweig, Inst Flight Guidance, D-38108 Braunschweig, Germany.</t>
  </si>
  <si>
    <t>k.baerfuss@tu-braunschweig.de</t>
  </si>
  <si>
    <t>Barfuss, Konrad/0000-0001-5130-5494; Patzold, Falk/0000-0003-2126-8367; Bretschneider, Lutz/0000-0002-5384-6128; Bollmann, Sven/0000-0002-7898-0809</t>
  </si>
  <si>
    <t>Modernity Fund (mFUND) of the Federal Ministry of Transport and Digital Infrastructure (BMVI); [19F2072A]</t>
  </si>
  <si>
    <t>Modernity Fund (mFUND) of the Federal Ministry of Transport and Digital Infrastructure (BMVI);</t>
  </si>
  <si>
    <t>The project AEROMET_UAV was funded by the Modernity Fund (mFUND) of the Federal Ministry of Transport and Digital Infrastructure (BMVI) under grant 19F2072A.</t>
  </si>
  <si>
    <t>2504-446X</t>
  </si>
  <si>
    <t>DRONES-BASEL</t>
  </si>
  <si>
    <t>Drones-Basel</t>
  </si>
  <si>
    <t>10.3390/drones6120404</t>
  </si>
  <si>
    <t>7G5QX</t>
  </si>
  <si>
    <t>WOS:000902579700001</t>
  </si>
  <si>
    <t>Zenteno-Devaud, L; Aguirre-Martinez, GV; Andrade, C; Cárdenas, L; Pardo, LM; González, HE; Garrido, I</t>
  </si>
  <si>
    <t>Zenteno-Devaud, Lisette; Aguirre-Martinez, Gabriela, V; Andrade, Claudia; Cardenas, Leyla; Miguel Pardo, Luis; Gonzalez, Humberto E.; Garrido, Ignacio</t>
  </si>
  <si>
    <t>Feeding Ecology of Odontaster validus under Different Environmental Conditions in the West Antarctic Peninsula</t>
  </si>
  <si>
    <t>trophic ecology; stable isotope analysis; Antarctic Peninsula; sea star; global warming; Antarctic benthic communities</t>
  </si>
  <si>
    <t>STABLE-ISOTOPE RATIOS; KING GEORGE ISLAND; PARTICULATE MATTER; BENTHIC COMMUNITY; MARIAN COVE; SEA; ICE; STABILITY; CARBON; NICHE</t>
  </si>
  <si>
    <t>Simple Summary Even though researchers have previously examined the diet of O. validus, the feeding ecology of this species of sea star is still poorly understood. To address this issue, we used a multifaceted approach to investigate the diet of O. validus from three systems with marked environmental differences of the northern Antarctic Peninsula. The results showed a significant divergence of O. validus delta N-15-delta C-13 values among regions, suggesting a habitat-specific foraging behavior and confirming the ability of this species to switch resource utilization across differing habitat compositions, which may be a key survival response in the face of environmental change. To study how Odontaster validus can influence the spatial structure of Antarctic benthic communities and how they respond to disturbance, it is necessary to assess potential dietary shifts in different habitats. We investigated the diets of O. validus from Maxwell Bay and South Bay in the West Antarctic Peninsula. A multifaceted approach was applied including in situ observations of cardiac stomach everted contents, isotopic niche, and trophic diversity metrics. Results confirm the flexible foraging strategy of this species under markedly different environmental conditions, suggesting plasticity in resource use. The data also showed evidence of isotopic niche expansion, high delta N-15 values, and Nacella concinna as a common food item for individuals inhabiting a site with low seasonal sea ice (Ardley Cove), which could have significant ecological implications such as new trophic linkages within the Antarctic benthic community. These results highlight the importance of considering trophic changes of key species to their environment as multiple ecological factors can vary as a function of climatic conditions.</t>
  </si>
  <si>
    <t>[Zenteno-Devaud, Lisette] Univ Catolica Santisima Concepcion, Fac Ciencias, Dept Ecol, Concepcion 4081112, Chile; [Aguirre-Martinez, Gabriela, V] Univ Arturo Prat, Fac Ciencias Salud, Quim &amp; Farm, Iquique 1110939, Chile; [Andrade, Claudia] Univ Magallanes, Inst Patagonia, Lab Ecol Func, Punta Arenas 6210738, Chile; [Cardenas, Leyla; Miguel Pardo, Luis; Gonzalez, Humberto E.] Univ Austral Chile, Fac Ciencias, Valdivia 5110566, Chile; [Cardenas, Leyla; Miguel Pardo, Luis; Gonzalez, Humberto E.; Garrido, Ignacio] Univ Austral Chile, Ctr FONDAP Invest Dinam Ecosistemas Marinos Altas, Valdivia 5110566, Chile; [Garrido, Ignacio] Univ Austral Chile, Fac Ciencias, Lab Costero Recursos Acuat Calfuco LCRAC, Valdivia 5110566, Chile; [Garrido, Ignacio] Univ Laval, Dept Biol, Quebec Ocean, Quebec City, PQ G1V 0A6, Canada</t>
  </si>
  <si>
    <t>Universidad Catolica de la Santisima Concepcion; Universidad Arturo Prat; Universidad de Magallanes; Universidad Austral de Chile; Universidad Austral de Chile; Universidad Austral de Chile; Laval University</t>
  </si>
  <si>
    <t>Zenteno-Devaud, L (corresponding author), Univ Catolica Santisima Concepcion, Fac Ciencias, Dept Ecol, Concepcion 4081112, Chile.;Aguirre-Martinez, GV (corresponding author), Univ Arturo Prat, Fac Ciencias Salud, Quim &amp; Farm, Iquique 1110939, Chile.</t>
  </si>
  <si>
    <t>lisette.zenteno@gmail.com; gaguirre@unap.cl</t>
  </si>
  <si>
    <t>González, Humberto E./A-4039-2008; Zenteno-Devaud, Lisette/HGB-2633-2022; Pardo, L M/A-3178-2008; Aguirre-Martínez, Gabriela/I-6294-2019</t>
  </si>
  <si>
    <t>Zenteno-Devaud, Lisette/0000-0002-1619-911X; Aguirre-Martínez, Gabriela/0000-0002-0981-7434; Pardo, Luis Miguel/0000-0002-8179-5057</t>
  </si>
  <si>
    <t>FONDAP-IDEAL; FONDECYT [15150003]; Korea Polar Research Institutes (KOPRI) [11180466, 3190455]; Agencia Nacional de Investigacion y Desarrollo (ANID); [72160109]</t>
  </si>
  <si>
    <t>FONDAP-IDEAL; FONDECYT(Comision Nacional de Investigacion Cientifica y Tecnologica (CONICYT)CONICYT FONDECYT); Korea Polar Research Institutes (KOPRI)(Korea Polar Research Institute of Marine Research Placement (KOPRI)); Agencia Nacional de Investigacion y Desarrollo (ANID);</t>
  </si>
  <si>
    <t>This research was supported by the projects FONDAP-IDEAL No 15150003, FONDECYT No 11180466, FONDECYT No 3190455 and, the Korea Polar Research Institutes (KOPRI) under the project and invitation of CHAMP 2050 of Dr. In-Young Ahn to C.A. I.G. was financially supported by doctoral scholarship #72160109 (Becas Chile) granted by the Agencia Nacional de Investigacion y Desarrollo (ANID).</t>
  </si>
  <si>
    <t>10.3390/biology11121723</t>
  </si>
  <si>
    <t>7G0QP</t>
  </si>
  <si>
    <t>WOS:000902240800001</t>
  </si>
  <si>
    <t>Schüttler, E; Jiménez, JE</t>
  </si>
  <si>
    <t>Schuttler, Elke; Jimenez, Jaime E.</t>
  </si>
  <si>
    <t>Are Tourists Facilitators of the Movement of Free-Ranging Dogs?</t>
  </si>
  <si>
    <t>camera-trapping; Canis lupus familiaris; Chile; companion animal; invasive predator; protected area; questionnaire; South America; wildlife management</t>
  </si>
  <si>
    <t>DOMESTIC DOGS; CANIS-FAMILIARIS; PROTECTED AREAS; NATIONAL-PARK; WILDLIFE; BEHAVIOR; CONSERVATION; PERCEPTIONS; COMPETITION; POPULATION</t>
  </si>
  <si>
    <t>Simple Summary Free-ranging dogs are of major conservation concern worldwide as they negatively affect wildlife. This is particularly true for the Global South, where dogs even roam free in and around protected areas. Whether tourists who visit those biodiversity-rich areas play a role in facilitating the access of dogs to nature is largely unknown. Using a combined approach of questionnaires with tourists and camera-traps along trekking trails in the Chilean Cape Horn Biosphere Reserve, this study demonstrates that free-ranging dogs indeed followed tourists-even on several day trips-into protected areas. Although scientists and governmental agencies are aware of the problem and responsible pet ownership strategies are beginning to be implemented, the tourism sector must be explicitly integrated into wildlife conservation management strategies. Awareness campaigns promoting the confinement of dogs should be urgently implemented among tourism operators, hostel owners, and the tourists themselves-not only on behalf of wildlife but also to guarantee the attractiveness of green tourism destinations. Dogs are the most abundant carnivores on earth and, as such, negatively impact wildlife. Free-ranging dogs roam in many protected areas, which in turn are often tourist destinations. Whether tourists influence their roaming is largely unexplored but highly relevant to wildlife conservation. To address this question, we obtained (i) 81 completed questionnaires from tourists on their experience with free-ranging dogs in the remote Cape Horn Biosphere Reserve, Chile, and (ii) photographs of three camera-traps placed next to trekking trails (n = 87 trap days). A third of the participants were followed by dogs for up to four days, and 39% saw free-ranging dogs on their hikes, but neither feeding dogs nor fear of them had any influence on whether tourists were followed by dogs. Camera-traps yielded 53 independent dog sequences, recorded 32 individuals plus 14 unidentified dogs, of which only one was leashed, with a frequency of one dog every 28(th) person. In 17% of 53 sequences, dogs were photographed together with hikers carrying large backpacks for several-day trips. We conclude that tourists are facilitators for the movement of dogs and highlight the importance of the engagement of the tourism sector in wildlife conservation in and close to protected areas.</t>
  </si>
  <si>
    <t>[Schuttler, Elke] Univ Magallanes, Sub Antarctic Biocultural Conservat Program, Teniente Munoz 166, Puerto Williams 6350000, Chile; [Schuttler, Elke] Cape Horn Int Ctr CHIC, OHiggins 310, Puerto Williams 6350000, Chile; [Jimenez, Jaime E.] Univ North Texas, Dept Biol Sci, 1155 Union Circle 305220, Denton, TX 76203 USA; [Jimenez, Jaime E.] Univ North Texas, Adv Environm Res Inst AERI, 1155 Union Circle 305220, Denton, TX 76203 USA</t>
  </si>
  <si>
    <t>Universidad de Magallanes; University of North Texas System; University of North Texas Denton; University of North Texas System; University of North Texas Denton</t>
  </si>
  <si>
    <t>Schüttler, E (corresponding author), Univ Magallanes, Sub Antarctic Biocultural Conservat Program, Teniente Munoz 166, Puerto Williams 6350000, Chile.;Schüttler, E (corresponding author), Cape Horn Int Ctr CHIC, OHiggins 310, Puerto Williams 6350000, Chile.</t>
  </si>
  <si>
    <t>elke.schuttler@umag.cl</t>
  </si>
  <si>
    <t>Schuttler, Elke/0000-0001-9143-6237</t>
  </si>
  <si>
    <t>10.3390/ani12243564</t>
  </si>
  <si>
    <t>7D2IC</t>
  </si>
  <si>
    <t>WOS:000900319800001</t>
  </si>
  <si>
    <t>Newsham, KK; Danielsen, BK; Biersma, EM; Elberling, B; Hillyard, G; Kumari, P; Priemé, A; Woo, C; Yamamoto, N</t>
  </si>
  <si>
    <t>Newsham, Kevin K.; Danielsen, Birgitte Kortegaard; Biersma, Elisabeth Machteld; Elberling, Bo; Hillyard, Guy; Kumari, Priyanka; Prieme, Anders; Woo, Cheolwoon; Yamamoto, Naomichi</t>
  </si>
  <si>
    <t>Rapid Response to Experimental Warming of a Microbial Community Inhabiting High Arctic Patterned Ground Soil</t>
  </si>
  <si>
    <t>carbon dioxide (CO2); climate change; cryoturbation; frost boils; greenhouse gases; methane (CH4); non-sorted circles; soil bacteria; soil fungi; Svalbard</t>
  </si>
  <si>
    <t>BACTERIAL COMMUNITY; SAPROTROPHIC FUNGI; METHANE OXIDATION; ACTIVE LAYER; CO2 FLUXES; SP NOV.; TUNDRA; CARBON; ECOSYSTEM; NITROGEN</t>
  </si>
  <si>
    <t>Simple Summary Surface temperatures in the Arctic are rising more rapidly than elsewhere on Earth. Precipitation patterns in the region are also altering, with an increased incidence of heavy rainfall. However, the effects of warming and increased water availability on soil microbes-which have pivotal roles in nutrient cycling and greenhouse gas exchange-inhabiting the sparsely vegetated patterned ground soils that are widespread across the High Arctic are not well understood. Here, we warmed patterned ground soils on Svalbard with open top chambers and irrigated the soils twice each summer. After four years, a 1 degrees C rise in summertime near-surface soil temperature affected the exchange of the greenhouse gases carbon dioxide (CO2) and methane (CH4), with warmed soils emitting 44% more CO2, and consuming 78% more CH4, than soils that were not warmed. Warming also increased soil bacterial abundance by 32%, and, of the 40 most abundant bacterial taxa, led to both reductions and increases in the relative abundances of four taxa. Irrigation did not influence the measured variables. At the current rate of summertime warming in soils on Svalbard (0.8 degrees C per decade), we anticipate that these effects will become apparent in the natural environment by approximately the mid 2030s. The influence of climate change on microbial communities inhabiting the sparsely vegetated patterned ground soils that are widespread across the High Arctic is poorly understood. Here, in a four-year experiment on Svalbard, we warmed patterned ground soil with open top chambers and biannually irrigated the soil to predict the responses of its microbial community to rising temperatures and precipitation. A 1 degrees C rise in summertime soil temperature caused 44% and 78% increases in CO2 efflux and CH4 consumption, respectively, and a 32% increase in the frequency of bacterial 16S ribosomal RNA genes. Bacterial alpha diversity was unaffected by the treatments, but, of the 40 most frequent bacterial taxa, warming caused 44-45% reductions in the relative abundances of a Sphingomonas sp. and Ferruginibacter sp. and 33-91% increases in those of a Phenylobacterium sp. and a member of the Acetobacteraceae. Warming did not influence the frequency of fungal internal transcribed spacer 2 copies, and irrigation had no effects on the measured variables. Our study suggests rapid changes to the activities and abundances of microbes, and particularly bacteria, in High Arctic patterned ground soils as they warm. At current rates of soil warming on Svalbard (0.8 degrees C per decade), we anticipate that similar effects to those reported here will manifest themselves in the natural environment by approximately the mid 2030s.</t>
  </si>
  <si>
    <t>[Newsham, Kevin K.; Biersma, Elisabeth Machteld; Hillyard, Guy] British Antarctic Survey, NERC, Madingley Rd, Cambridge CB3 OET, England; [Danielsen, Birgitte Kortegaard; Elberling, Bo; Prieme, Anders] Univ Copenhagen, Ctr Permafrost, Dept Geosci &amp; Nat Resource Management, Oster Volgade 10, DK-1350 Copenhagen, Denmark; [Kumari, Priyanka; Woo, Cheolwoon; Yamamoto, Naomichi] Seoul Natl Univ, Grad Sch Publ Hlth, Dept Environm Hlth Sci, Seoul 08826, South Korea; [Prieme, Anders] Univ Copenhagen, Dept Biol, Univ Pk 15, DK-2100 Copenhagen, Denmark; [Biersma, Elisabeth Machteld] Univ Copenhagen, Nat Hist Museum Denmark, Oster Farimagsgade 5, DK-1353 Copenhagen, Denmark</t>
  </si>
  <si>
    <t>UK Research &amp; Innovation (UKRI); Natural Environment Research Council (NERC); NERC British Antarctic Survey; University of Copenhagen; Seoul National University (SNU); University of Copenhagen; University of Copenhagen</t>
  </si>
  <si>
    <t>Newsham, KK (corresponding author), British Antarctic Survey, NERC, Madingley Rd, Cambridge CB3 OET, England.</t>
  </si>
  <si>
    <t>kne@bas.ac.uk</t>
  </si>
  <si>
    <t>Woo, Cheolwoon/O-8127-2019; Biersma, Elisabeth Machteld/JKI-1084-2023; Kumari, Priyanka/KCY-0528-2024; Yamamoto, Naomichi/D-4099-2014; Elberling, Bo/M-4000-2014</t>
  </si>
  <si>
    <t>Woo, Cheolwoon/0000-0002-8582-1064; Yamamoto, Naomichi/0000-0002-5969-5500; Newsham, Kevin/0000-0002-9108-0936; Biersma, Elisabeth Machteld/0000-0002-9877-2177; Elberling, Bo/0000-0002-6023-885X</t>
  </si>
  <si>
    <t>[RiS 6921]</t>
  </si>
  <si>
    <t>K.K.N., E.M.B. and G.H. were supported by the UK Natural Environment Research Council through core funding to the British Antarctic Survey, B.K.D., B.E. and A.P. were funded by the Danish National Research Foundation (CENPERM DNRF100) and P.K., C.W. and N.Y. were supported by Seoul National University.</t>
  </si>
  <si>
    <t>10.3390/biology11121819</t>
  </si>
  <si>
    <t>7D5CA</t>
  </si>
  <si>
    <t>WOS:000900507100001</t>
  </si>
  <si>
    <t>Mirzoeva, N; Polyakova, T; Samyshev, E; Churilova, T; Mukhanov, V; Melnik, A; Proskurnin, V; Sakhon, E; Skorokhod, E; Chuzhikova-Proskurnina, O; Chudinovskih, E; Minkina, N; Moiseeva, N; Melnikov, V; Paraskiv, A; Melnik, L; Efimova, T</t>
  </si>
  <si>
    <t>Mirzoeva, Natalia; Polyakova, Tatiana; Samyshev, Ernest; Churilova, Tatiana; Mukhanov, Vladimir; Melnik, Alexandr; Proskurnin, Vladislav; Sakhon, Evgeny; Skorokhod, Elena; Chuzhikova-Proskurnina, Olga; Chudinovskih, Elena; Minkina, Natalia; Moiseeva, Natalia; Melnikov, Victor; Paraskiv, Artem; Melnik, Lidia; Efimova, Tatiana</t>
  </si>
  <si>
    <t>Current Assessment of Water Quality and Biota Characteristics of the Pelagic Ecosystem of the Atlantic Sector of Antarctica: The Multidisciplinary Studies by the Institute of Biology of the Southern Seas</t>
  </si>
  <si>
    <t>WATER</t>
  </si>
  <si>
    <t>Euphausia superba; Salpa thompsoni; mesoparasitic copepods; bacterioplankton; bioluminescence; chlorophyll a; optically active components; trace elements; heavy metals; Atlantic sector of the Antarctic</t>
  </si>
  <si>
    <t>LIGHT-ABSORPTION; OCEAN; PHYTOPLANKTON; CHLOROPHYLL; BACTERIOPLANKTON; MOLYBDENUM; BACTERIA; COPEPODA; FISHES; KRILL</t>
  </si>
  <si>
    <t>Comprehensive studies of the ecosystem of the Atlantic sector of the Antarctic were carried out in the period between 2020 and 2022, during the 79th and 87th sea expeditions on the R/V Akademik Mstislav Keldysh. Concentrations of soluble forms of 15 trace elements, except Mo, in surface waters of the Southern Ocean were matched the lower limit of their background concentrations in oceanic waters. A high spatial variability of chlorophyll a-an indicator of phytoplankton biomass, which is the main food object of the Antarctic krill-was revealed. In the Bransfield Strait, the abundance of bacterioplankton exhibited a weak relationship with water temperature and a pronounced dependence on chlorophyll fluorescence. It was determined, by using the bioluminescence method, that the largest concentrations of larvae and juveniles of krill were noted in the Bransfield Strait, on the shelf of the Antarctic Peninsula. Against the background of a decline in krill abundance in recent years, there has been an intensive development of Salpa thompsoni, the main food competitor of krill. New data on the distribution of mesoparasitic copepods on endemic fish of the Southern Ocean were also obtained, and their pathogenic effect on the body of fish hosts has been revealed.</t>
  </si>
  <si>
    <t>[Mirzoeva, Natalia; Polyakova, Tatiana; Samyshev, Ernest; Churilova, Tatiana; Mukhanov, Vladimir; Melnik, Alexandr; Proskurnin, Vladislav; Sakhon, Evgeny; Skorokhod, Elena; Chuzhikova-Proskurnina, Olga; Chudinovskih, Elena; Minkina, Natalia; Moiseeva, Natalia; Melnikov, Victor; Paraskiv, Artem; Melnik, Lidia; Efimova, Tatiana] Russian Acad Sci, A O Kovalevsky Inst Biol Southern Seas IBSS, Sevastopol 299011, Russia</t>
  </si>
  <si>
    <t>Mirzoeva, N (corresponding author), Russian Acad Sci, A O Kovalevsky Inst Biol Southern Seas IBSS, Sevastopol 299011, Russia.</t>
  </si>
  <si>
    <t>natmirz@mail.ru</t>
  </si>
  <si>
    <t>Chuzhikova-Proskurnina, Olga Dmitrievna/HSG-1391-2023; Efimova, Tatiana/X-1355-2019; Skorokhod, Elena Yu./A-6831-2019; Melnik, Alexsandr/X-1393-2019; Melnik, Aleksandr/AAG-8113-2021; Mukhanov, Vladimir S./H-4760-2014; Proskurnin, Vladislav/H-4611-2018; Churilova, Tanya Ya./O-8437-2016; Paraskiv, Artem/K-1314-2018; Victor, Melnikov/N-9219-2014</t>
  </si>
  <si>
    <t>Chuzhikova-Proskurnina, Olga Dmitrievna/0000-0002-4518-2624; Efimova, Tatiana/0000-0003-3908-4160; Skorokhod, Elena Yu./0000-0002-3057-3964; Melnik, Alexsandr/0000-0002-4371-384X; Melnik, Aleksandr/0000-0002-4371-384X; Proskurnin, Vladislav/0000-0002-2176-9228; Paraskiv, Artem/0000-0001-9874-5382; Sakhon, Evgenii/0000-0002-0145-3883; Natalia, Minkina/0000-0003-3311-9801; Victor, Melnikov/0000-0001-6856-0467; Polakova, Tat'ana/0000-0002-0071-1801</t>
  </si>
  <si>
    <t>2073-4441</t>
  </si>
  <si>
    <t>WATER-SUI</t>
  </si>
  <si>
    <t>Water</t>
  </si>
  <si>
    <t>10.3390/w14244103</t>
  </si>
  <si>
    <t>Environmental Sciences; Water Resources</t>
  </si>
  <si>
    <t>Environmental Sciences &amp; Ecology; Water Resources</t>
  </si>
  <si>
    <t>7G9KQ</t>
  </si>
  <si>
    <t>WOS:000902833800001</t>
  </si>
  <si>
    <t>Maturana, CS; Biersma, EM; Díaz, A; González-Wevar, C; Contador, T; Convey, P; Jackson, JA; Poulin, E</t>
  </si>
  <si>
    <t>Maturana, Claudia S.; Biersma, Elisabeth M.; Diaz, Angie; Gonzalez-Wevar, Claudio; Contador, Tamara; Convey, Peter; Jackson, Jennifer A.; Poulin, Elie</t>
  </si>
  <si>
    <t>Survivors and colonizers: Contrasting biogeographic histories reconciled in the Antarctic freshwater copepod Boeckella poppei</t>
  </si>
  <si>
    <t>Antarctic-Magellan connection; centropagidae; last glacial maximum; monopolization hypothesis; phylogeography; refugia</t>
  </si>
  <si>
    <t>LAST GLACIAL MAXIMUM; SOUTHERN-OCEAN; ENVIRONMENTAL-CHANGES; POPULATION-GENETICS; EAST ANTARCTICA; LARSEMANN HILLS; SIGNY ISLAND; RESTING EGGS; DISPERSAL; EVOLUTIONARY</t>
  </si>
  <si>
    <t>Two main hypotheses have been proposed to explain the contemporary distribution of Antarctic terrestrial biota. We assess whether the current distribution of maritime Antarctic populations of the freshwater copepod Boeckella poppei is the result of (1) a post-Last Glacial Maximum (LGM) colonization, or whether (2) the species survived in regional glacial refugia throughout the LGM and earlier glaciations. Using 438 specimens from 34 different sampling sites across Southern South America, South Georgia, South Orkney Islands, South Shetland Islands, and the Antarctic Peninsula, we analyzed mitochondrial and nuclear sequences to uncover patterns of genetic diversity and population structure. We also performed median-joining haplotype network, phylogenetic reconstruction, and divergence time analyses. Finally, we evaluated past demographic changes and historical scenarios using the Approximate Bayesian Computation (ABC) method. Our data support the existence of two clades with different and contrasting biogeographic histories. The first clade has been present in maritime Antarctica since at least the mid-Pleistocene, with the South Orkney Islands the most likely refugial area. The second clade has a broader distribution including southern South America, South Georgia, South Shetland Islands, and the Antarctic Peninsula. The ABC method identified long-distance dispersal (LDD) colonization event(s) from southern South America to South Georgia and the maritime Antarctic after the LGM deglaciation, supporting more recent colonization of Antarctic locations. The current Antarctic and sub-Antarctic distribution of B. poppei is likely derived from two independent biogeographic events. The combination of both (1) post-LGM colonization from southern South America and (2) longer-term persistence in in situ regional refugia throughout glacial periods challenges current understanding of the biogeographic history of Antarctic freshwater biota. Re-colonization of ice-impacted Antarctic areas would have occurred following a LDD and Establishment model, pointing to the existence of possible post-dispersal barriers, despite widely assumed high passive dispersal capacity in freshwater invertebrates.</t>
  </si>
  <si>
    <t>[Maturana, Claudia S.; Diaz, Angie; Gonzalez-Wevar, Claudio; Poulin, Elie] Inst Ecol &amp; Biodivers IEB, Santiago, Chile; [Maturana, Claudia S.; Contador, Tamara; Convey, Peter] Cape Horn Int Ctr CHIC, Puerto Williams, Chile; [Maturana, Claudia S.; Diaz, Angie; Gonzalez-Wevar, Claudio; Contador, Tamara; Convey, Peter; Poulin, Elie] Millennium Inst Biodivers Antarctic &amp; Subantarcti, Santiago, Chile; [Maturana, Claudia S.; Biersma, Elisabeth M.; Convey, Peter; Jackson, Jennifer A.] NERC, British Antarctic Survey BAS, Cambridge, England; [Biersma, Elisabeth M.] Univ Copenhagen, Nat Hist Museum Denmark, Copenhagen, Denmark; [Diaz, Angie] Univ Concepcion, Dept Zool, Concepcion, Chile; [Gonzalez-Wevar, Claudio] Univ Austral Chile, Fac Ciencias, Ctr FONDAP IDEAL, Inst Ciencias Marinas &amp; Limnol ICML, Valdivia, Chile; [Contador, Tamara] Univ Magallanes, Lab Estudios Dulceacuicolas Wankara, Programa Conservac Biocultural Subantartica, Punta Arenas, Chile; [Convey, Peter] Univ Johannesburg, Dept Zool, Johannesburg, South Africa</t>
  </si>
  <si>
    <t>UK Research &amp; Innovation (UKRI); Natural Environment Research Council (NERC); NERC British Antarctic Survey; University of Copenhagen; Universidad de Concepcion; Universidad Austral de Chile; Universidad de Magallanes; University of Johannesburg</t>
  </si>
  <si>
    <t>Maturana, CS (corresponding author), Cape Horn Int Ctr CHIC, Puerto Williams, Chile.;Maturana, CS (corresponding author), Millennium Inst Biodivers Antarctic &amp; Subantarcti, Santiago, Chile.;Maturana, CS (corresponding author), NERC, British Antarctic Survey BAS, Cambridge, England.</t>
  </si>
  <si>
    <t>claudiamaturana@uchile.cl</t>
  </si>
  <si>
    <t>Maturana, Claudia/JOK-7975-2023; Jackson, Jennifer A/E-7997-2013; Biersma, Elisabeth Machteld/JKI-1084-2023; Convey, Peter/AAV-5728-2020; Poulin, Elie/C-2654-2012; Diaz, Angie/I-8033-2016; Contador, Tamara/Q-1914-2018</t>
  </si>
  <si>
    <t>Maturana, Claudia/0000-0002-4427-8093; Convey, Peter/0000-0001-8497-9903; Poulin, Elie/0000-0001-7736-0969; Diaz, Angie/0000-0003-4944-588X; Jackson, Jennifer/0000-0003-4158-1924; Contador, Tamara/0000-0002-0250-9877; Biersma, Elisabeth Machteld/0000-0002-9877-2177</t>
  </si>
  <si>
    <t>ANID-Millennium Science Initiative Program [ICN2021_002]; ANID/BASAL from Cape Horn International Centre (CHIC) [FB210018]; Institute of Ecology and Biodiversity (IEB) [ANID ACE210006]; BAS 'Ecosystems' and 'Biodiversity, Evolution and Adaptation' [3210063]</t>
  </si>
  <si>
    <t>ANID-Millennium Science Initiative Program; ANID/BASAL from Cape Horn International Centre (CHIC); Institute of Ecology and Biodiversity (IEB); BAS 'Ecosystems' and 'Biodiversity, Evolution and Adaptation'</t>
  </si>
  <si>
    <t>This work was funded by ANID-Millennium Science Initiative Program-ICN2021_002, ANID/BASAL FB210018 from Cape Horn International Centre (CHIC), and Grant ANID ACE210006 from the Institute of Ecology and Biodiversity (IEB). Postdoctoral grant 3210063 to CSM and NERC core funding to the BAS 'Ecosystems' and 'Biodiversity, Evolution and Adaptation'</t>
  </si>
  <si>
    <t>10.3389/fevo.2022.1012852</t>
  </si>
  <si>
    <t>7A4JE</t>
  </si>
  <si>
    <t>WOS:000898423800001</t>
  </si>
  <si>
    <t>Monticelli, LS; Caruso, G; Azzaro, F; Azzaro, M; Ferla, RL; Maimone, G; Povero, P; Cosenza, A; Zaccone, R</t>
  </si>
  <si>
    <t>Monticelli, Luis Salvador; Caruso, Gabriella; Azzaro, Filippo; Azzaro, Maurizio; Ferla, Rosabruna La; Maimone, Giovanna; Povero, Paolo; Cosenza, Alessandro; Zaccone, Renata</t>
  </si>
  <si>
    <t>Microbial Parameters as Predictors of Heterotrophic Prokaryotic Production in the Ross Sea Epipelagic Waters (Antarctica) during the Austral Summer</t>
  </si>
  <si>
    <t>JOURNAL OF MARINE SCIENCE AND ENGINEERING</t>
  </si>
  <si>
    <t>microbial parameters; epipelagic layer; heterotrophic prokaryotic production; Antarctica; Ross Sea</t>
  </si>
  <si>
    <t>DISSOLVED ORGANIC-MATTER; BACTERIAL ABUNDANCE; PROTEIN-SYNTHESIS; VICTORIA LAND; MARINE; VARIABILITY; PHYTOPLANKTON; DYNAMICS; RELEASE; BIOMASS</t>
  </si>
  <si>
    <t>A regression-based approach was used to test the suitability of a range of parameters, including total prokaryotic cell abundance and biomass, as lipopolysaccharide (LPS) content, and exoenzymatic activities (leucine aminopeptidase, LAP, beta-glucosidase, ss-G, and alkaline phosphatase, AP) as predictors of heterotrophic prokaryotic production (HPP) in the Ross Sea epipelagic waters. A close association between HPP and protein hydrolysis mediated by enzymatic activity (LAP), and to a lower significance level with the other variables, was recorded. Three multiple regression equations were developed from two microbial datasets collected during middle austral summer periods. All showed a good predictive ability for HPP, and this was further validated through a comparison between the predicted and the observed HPP values. The obtained regression equations proved to represent a promising example of empirical models for further predictive studies in the Ross Sea where-through the incorporation of additional microbiological and environmental parameters-the developed models could find a practical application to cover the entire austral summer period.</t>
  </si>
  <si>
    <t>[Monticelli, Luis Salvador] Inst Coastal Marine Environm CNR IAMC, Natl Res Council, Spianata S Raineri 86, I-98122 Messina, Italy; [Caruso, Gabriella; Azzaro, Filippo; Azzaro, Maurizio; Ferla, Rosabruna La; Maimone, Giovanna; Cosenza, Alessandro; Zaccone, Renata] Inst Polar Sci CNR ISP, Natl Res Council, Spianata S Raineri 86, I-98122 Messina, Italy; [Povero, Paolo] Univ Genoa, Dept Earth, Environm &amp; Life Sci DISTAV, Corso Europa 26, I-16132 Genoa, Italy</t>
  </si>
  <si>
    <t>Consiglio Nazionale delle Ricerche (CNR); L'Istituto per l'Ambiente Marino Costiero (IAMC-CNR); Consiglio Nazionale delle Ricerche (CNR); Istituto di Scienze Polari (ISP-CNR); University of Genoa</t>
  </si>
  <si>
    <t>Caruso, G (corresponding author), Inst Polar Sci CNR ISP, Natl Res Council, Spianata S Raineri 86, I-98122 Messina, Italy.</t>
  </si>
  <si>
    <t>azzaro, Maurizio/AAE-6784-2019; Caruso, Gabriella/F-5450-2013</t>
  </si>
  <si>
    <t>azzaro, Maurizio/0000-0001-7885-2340; Caruso, Gabriella/0000-0002-3819-5486; la ferla, rosabruna/0000-0003-1029-7349</t>
  </si>
  <si>
    <t>Italian Ministry for Scientific Research within the Antarctic Research Programme (PNRA) [8.5/1999-2001]</t>
  </si>
  <si>
    <t>Italian Ministry for Scientific Research within the Antarctic Research Programme (PNRA)</t>
  </si>
  <si>
    <t>This research was funded by the Italian Ministry for Scientific Research within the Antarctic Research Programme (PNRA) within the project 8.5/1999-2001 XV Italian Expedition and within The Victoria Land coastal ecosystems: Structure and distribution along a latitudinal gradient project (XVIII Expedition), implemented by the Italian, United States and New Zealand polar programs.</t>
  </si>
  <si>
    <t>2077-1312</t>
  </si>
  <si>
    <t>J MAR SCI ENG</t>
  </si>
  <si>
    <t>J. Mar. Sci. Eng.</t>
  </si>
  <si>
    <t>10.3390/jmse10121812</t>
  </si>
  <si>
    <t>Engineering, Marine; Engineering, Ocean; Oceanography</t>
  </si>
  <si>
    <t>7G6YD</t>
  </si>
  <si>
    <t>WOS:000902666100001</t>
  </si>
  <si>
    <t>Aulicino, G; Wadhams, P</t>
  </si>
  <si>
    <t>Aulicino, Giuseppe; Wadhams, Peter</t>
  </si>
  <si>
    <t>Editorial for the Special Issue Remote Sensing of the Polar Oceans</t>
  </si>
  <si>
    <t>polar oceans; sea ice; sea surface salinity; icebergs and ice tongues; melt ponds; air-sea fluxes; chlorophyll-a</t>
  </si>
  <si>
    <t>SEA-ICE CONCENTRATION; TEMPERATURE; VARIABILITY</t>
  </si>
  <si>
    <t>This Special Issue gathers papers reporting research on various aspects of the use of satellites for monitoring polar oceans. It includes contributions presenting improvements in the retrieval of sea ice concentration, extent and area, and concerning error information; the interannual and decadal variability of sea surface temperature and sea ice concentration in the Barents Sea; validation and comparison of Arctic salinity products; melt pond retrieval applying a Linear Polar algorithm to Landsat data; the characterization of surface layer freshening from sea surface salinity and coloured detrital matter in the Kara and Laptev Seas; multi-sensor estimations of chlorophyll-a concentrations in the Western Antarctic Peninsula; and enhanced techniques for detection and monitoring of glacier dynamics and iceberg paths.</t>
  </si>
  <si>
    <t>[Aulicino, Giuseppe] Univ Napoli Parthenope, Dept Sci &amp; Technol, I-80143 Naples, Italy; [Wadhams, Peter] Univ Politecn Marche, Dept Life &amp; Environm Sci, I-60131 Ancona, Italy</t>
  </si>
  <si>
    <t>Parthenope University Naples; Marche Polytechnic University</t>
  </si>
  <si>
    <t>Aulicino, G (corresponding author), Univ Napoli Parthenope, Dept Sci &amp; Technol, I-80143 Naples, Italy.</t>
  </si>
  <si>
    <t>giuseppe.aulicino@uniparthenope.it</t>
  </si>
  <si>
    <t>Aulicino, Giuseppe/0000-0001-6406-8715</t>
  </si>
  <si>
    <t>Italian National Programme for Research in Antarctica (PNRA) Sea ice-Wave Interaction Monitoring for Marginal Ice NaviGation (SWIMMING) project; [PNRA_00298]</t>
  </si>
  <si>
    <t>Italian National Programme for Research in Antarctica (PNRA) Sea ice-Wave Interaction Monitoring for Marginal Ice NaviGation (SWIMMING) project;</t>
  </si>
  <si>
    <t>This Special Issue was realized thanks to support from the Italian National Programme for Research in Antarctica (PNRA) Sea ice-Wave Interaction Monitoring for Marginal Ice NaviGation (SWIMMING) project (access grant PNRA_00298).</t>
  </si>
  <si>
    <t>10.3390/rs14246195</t>
  </si>
  <si>
    <t>7J4PZ</t>
  </si>
  <si>
    <t>WOS:000904565300001</t>
  </si>
  <si>
    <t>Milojevic, T; Cramm, MA; Hubert, CRJ; Westall, F</t>
  </si>
  <si>
    <t>Milojevic, Tetyana; Cramm, Margaret Anne; Hubert, Casey R. J.; Westall, Frances</t>
  </si>
  <si>
    <t>Freezing Thermophiles: From One Temperature Extreme to Another</t>
  </si>
  <si>
    <t>thermophiles; low temperature; cold environments</t>
  </si>
  <si>
    <t>SUBGLACIAL LAKE VOSTOK; SP-NOV REPRESENTS; GEN. NOV.; METALLOSPHAERA-SEDULA; BACTERIAL DIVERSITY; HYPERTHERMOPHILIC MICROORGANISMS; INTERPLANETARY TRANSFER; PYROCOCCUS-ABYSSI; ORGANIC-MATTER; GALE CRATER</t>
  </si>
  <si>
    <t>New detections of thermophiles in psychrobiotic (i.e., bearing cold-tolerant life forms) marine and terrestrial habitats including Arctic marine sediments, Antarctic accretion ice, permafrost, and elsewhere are continually being reported. These microorganisms present great opportunities for microbial ecologists to examine biogeographical processes for spore-formers and non-spore-formers alike, including dispersal histories connecting warm and cold biospheres. In this review, we examine different examples of thermophiles in cryobiotic locations, and highlight exploration of thermophiles at cold temperatures under laboratory conditions. The survival of thermophiles in psychrobiotic environments provokes novel considerations of physiological and molecular mechanisms underlying natural cryopreservation of microorganisms. Cultures of thermophiles maintained at low temperature may serve as a non-sporulating laboratory model for further exploration of metabolic potential of thermophiles at psychrobiotic temperatures, as well as for elucidating molecular mechanisms behind natural preservation and adaptation to psychrobiotic environments. These investigations are highly relevant for the search for life on other cold and icy planets in the Solar System, such as Mars, Europa and Enceladus.</t>
  </si>
  <si>
    <t>[Milojevic, Tetyana] Univ Orleans, CNRS Ctr Biophys Mol, Exobiol Grp, Rue Charles Sadron, F-45071 Orleans 2, France; [Cramm, Margaret Anne; Hubert, Casey R. J.] Univ Calgary, Dept Biol Sci, Geomicrobiol Grp, Univ Dr NW 2500, Calgary, AB T2N 1N4, Canada; [Westall, Frances] CNRS Ctr Biophys Mol, Exobiol Grp, Rue Charles Sadron, F-45071 Orleans 2, France; [Cramm, Margaret Anne] Queen Mary Univ London, Sch Geog, Mile End Rd, London E1 4NS, England</t>
  </si>
  <si>
    <t>Universite de Orleans; University of Calgary; University of London; Queen Mary University London</t>
  </si>
  <si>
    <t>Milojevic, T (corresponding author), Univ Orleans, CNRS Ctr Biophys Mol, Exobiol Grp, Rue Charles Sadron, F-45071 Orleans 2, France.</t>
  </si>
  <si>
    <t>tetyana.milojevic@cnrs-orleans.fr</t>
  </si>
  <si>
    <t>Cramm, Margaret/0000-0003-3530-5560; Milojevic, Tetyana/0000-0001-8415-1890</t>
  </si>
  <si>
    <t>European Research Council [101001311]; Austrian Science Foundation (FWF Elise-Richter Research fellowship) [V333]; MDPI; European Research Council (ERC) [101001311] Funding Source: European Research Council (ERC); Austrian Science Fund (FWF) [V333] Funding Source: Austrian Science Fund (FWF)</t>
  </si>
  <si>
    <t>European Research Council(European Research Council (ERC)); Austrian Science Foundation (FWF Elise-Richter Research fellowship)(Austrian Science Fund (FWF)); MDPI; European Research Council (ERC)(European Research Council (ERC)Spanish Government); Austrian Science Fund (FWF)(Austrian Science Fund (FWF))</t>
  </si>
  <si>
    <t>This research was funded by European Research Council, grant number ERC-2020-COG-ERC, CONSOLIDATOR GRANT 101001311 and the Austrian Science Foundation (FWF Elise-Richter Research fellowship V333). The APC was funded by MDPI.</t>
  </si>
  <si>
    <t>10.3390/microorganisms10122417</t>
  </si>
  <si>
    <t>7J0UP</t>
  </si>
  <si>
    <t>WOS:000904302900001</t>
  </si>
  <si>
    <t>Jiang, WJ; Liu, ER; Kong, X; Shi, SS; Liu, JJ</t>
  </si>
  <si>
    <t>Jiang, Weijie; Liu, Erxiao; Kong, Xing; Shi, Shengsheng; Liu, Jianjun</t>
  </si>
  <si>
    <t>Zhongshan HF Radar Elevation Calibration Based on Ground Backscatter Echoes</t>
  </si>
  <si>
    <t>ELECTRONICS</t>
  </si>
  <si>
    <t>elevation calibration; Zhongshan radar; interferometer measurements; RMSE</t>
  </si>
  <si>
    <t>METEOR ECHOES; SUPERDARN; MESOSPHERE</t>
  </si>
  <si>
    <t>The super dual auroral radar network (SuperDARN) is an important tool in the remote sensing of ionospheric potential convection in middle and high latitudes, and also a major source of elevation data detection. A reliable elevation angle helps estimate the propagation paths of high-frequency radio signals between scattering spots and radars, which is crucial for determining high-frequency radar target geolocation. The SuperDARN radar uses interferometry to estimate the elevation of the returned signal. However, elevation data are still underutilized owing to the difficulties of phase difference calibration induced by the propagation time delay between two arrays. This paper statistically analyzes the distribution features of the group range-elevation angle and group range-virtual height before and after calibration using elevation data from the ground backscatter echoes of the Zhongshan SuperDARN radar, calculating the root mean square error (RMSE) of the virtual height; the results show that the RMSE after calibration is mostly reduced to within 54% of that before calibration. Furthermore, we validate the calibration factor based on the primary phase data. The data from 2013 to 2015 indicate that this technique can be efficiently used to estimate the daily calibration factor. Finally, we present the statistical distribution of the calibration factor, which provides technical support for the calibration of elevation data in the future.</t>
  </si>
  <si>
    <t>[Jiang, Weijie; Liu, Erxiao; Kong, Xing; Shi, Shengsheng] Hangzhou Dianzi Univ, Coll Commun Engn, Hangzhou 310018, Peoples R China; [Jiang, Weijie; Liu, Erxiao] Chinese Acad Sci, State Key Lab Space Weather, Beijing 100190, Peoples R China; [Liu, Jianjun] Polar Res Inst China, MNR Key Lab Polar Sci, Shanghai 200136, Peoples R China; [Liu, Jianjun] Polar Res Inst China, Antarctic Zhongshan Natl Field Observat, Shanghai 200136, Peoples R China; [Liu, Jianjun] Polar Res Inst China, Res Stn Snow &amp; Ice, Space Special Environm &amp; Disasters, Shanghai 200136, Peoples R China</t>
  </si>
  <si>
    <t>Hangzhou Dianzi University; Chinese Academy of Sciences; Polar Research Institute of China; Polar Research Institute of China; Polar Research Institute of China</t>
  </si>
  <si>
    <t>Liu, ER (corresponding author), Chinese Acad Sci, State Key Lab Space Weather, Beijing 100190, Peoples R China.</t>
  </si>
  <si>
    <t>liuerxiao@hdu.edu.cn</t>
  </si>
  <si>
    <t>Jiang, Weijie/0000-0001-5636-6253; Liu, Jianjun/0000-0003-0465-6210</t>
  </si>
  <si>
    <t>Specialized Research Fund for State Key Laboratories</t>
  </si>
  <si>
    <t>Project is supported by the Specialized Research Fund for State Key Laboratories.</t>
  </si>
  <si>
    <t>2079-9292</t>
  </si>
  <si>
    <t>ELECTRONICS-SWITZ</t>
  </si>
  <si>
    <t>Electronics</t>
  </si>
  <si>
    <t>10.3390/electronics11244236</t>
  </si>
  <si>
    <t>Computer Science, Information Systems; Engineering, Electrical &amp; Electronic; Physics, Applied</t>
  </si>
  <si>
    <t>Computer Science; Engineering; Physics</t>
  </si>
  <si>
    <t>7G6VE</t>
  </si>
  <si>
    <t>WOS:000902658400001</t>
  </si>
  <si>
    <t>Gemal, EL; Green, TGA; Cary, SC; Colesie, C</t>
  </si>
  <si>
    <t>Gemal, Emma L.; Green, T. G. Allan; Cary, S. Craig; Colesie, Claudia</t>
  </si>
  <si>
    <t>High Resilience and Fast Acclimation Processes Allow the Antarctic Moss Bryum argenteum to Increase Its Carbon Gain in Warmer Growing Conditions</t>
  </si>
  <si>
    <t>Antarctica; climate change; mosses; non-vascular vegetation; acclimation; carbon gain; closed-top chamber experiment; Cape Hallett; resilience</t>
  </si>
  <si>
    <t>NORTHERN VICTORIA LAND; CLIMATE-CHANGE; CAPE HALLETT; COLD-ACCLIMATION; LEAF RESPIRATION; DESICCATION TOLERANCE; THERMAL-ACCLIMATION; GROWTH-RATES; B RADIATION; PLANT</t>
  </si>
  <si>
    <t>Simple Summary Temperatures are increasing globally, but polar regions (including Antarctica) are warming much faster than the rest of the globe. Increased temperatures in Antarctica can impact the distribution and performance of plants, the majority of which on this continent are mosses. This study aims to investigate whether Bryum argenteum var. muticum, a moss species found in Antarctica, is capable of acclimation (adjustment of its physiology, specifically photosynthesis and respiration) to increased temperatures. We used short-term warming experiments that mimicked heatwaves and compared them to seasonal rates of photosynthesis and respiration in order to better understand how resilient this important moss species is to climate change. We found that this moss can acclimate very quickly (within 7 days) by increasing its photosynthesis (carbon gain). This shows that B. argenteum is highly resilient, and it may potentially benefit from short- and long-term climatic changes. Climate warming in Antarctica involves major shifts in plant distribution and productivity. This study aims to unravel the plasticity and acclimation potential of Bryum argenteum var. muticum, a cosmopolitan moss species found in Antarctica. By comparing short-term, closed-top chamber warming experiments which mimic heatwaves, with in situ seasonal physiological rates from Cape Hallett, Northern Victoria Land, we provide insights into the general inherent resilience of this important Antarctic moss and into its adaptability to longer-term threats and stressors associated with climate change. Our findings show that B. argenteum can thermally acclimate to mitigate the effects of increased temperature under both seasonal changes and short-term pulse warming events. Following pulse warming, this species dramatically increased its carbon uptake, measured as net photosynthesis, while reductions in carbon losses, measured as dark respiration, were not observed. Rapid growth of new shoots may have confounded the effects on respiration. These results demonstrate the high physiological plasticity of this species, with acclimation occurring within only 7 days. We show that this Antarctic moss species appears to have a high level of resilience and that fast acclimation processes allow it to potentially benefit from both short-term and long-term climatic changes.</t>
  </si>
  <si>
    <t>[Gemal, Emma L.; Colesie, Claudia] Univ Edinburgh, Global Change Res Inst, Sch Geosci, Edinburgh EH9 3FE, Scotland; [Gemal, Emma L.] Stockholm Univ, Dept Phys Geog, SE-10691 Stockholm, Sweden; [Green, T. G. Allan; Cary, S. Craig] Univ Waikato, Int Ctr Terr Antarctic Res, Hamilton 3240, New Zealand; [Green, T. G. Allan] Univ Complutense, Fac Farm, Unidad Bot, E-28040 Madrid, Spain</t>
  </si>
  <si>
    <t>University of Edinburgh; Stockholm University; University of Waikato; Complutense University of Madrid</t>
  </si>
  <si>
    <t>Colesie, C (corresponding author), Univ Edinburgh, Global Change Res Inst, Sch Geosci, Edinburgh EH9 3FE, Scotland.</t>
  </si>
  <si>
    <t>claudia.colesie@ed.ac.uk</t>
  </si>
  <si>
    <t>Gemal, Emma/0000-0002-5514-5739</t>
  </si>
  <si>
    <t>New Zealand Ministry of Business, Innovation and Employment; New Zealand Antarctic Research Institute [UOWX1401]; Natural Environment Research Council UK (NERC) [NZARI 2016-2]; [NE/V000764/1]; NERC [NE/V000764/1] Funding Source: UKRI</t>
  </si>
  <si>
    <t>New Zealand Ministry of Business, Innovation and Employment(New Zealand Ministry of Business, Innovation and Employment (MBIE)); New Zealand Antarctic Research Institute; Natural Environment Research Council UK (NERC)(UK Research &amp; Innovation (UKRI)Natural Environment Research Council (NERC)); ; NERC(UK Research &amp; Innovation (UKRI)Natural Environment Research Council (NERC))</t>
  </si>
  <si>
    <t>This research was funded by the New Zealand Ministry of Business, Innovation and Employment, Catalyst award and UOWX1401; New Zealand Antarctic Research Institute, NZARI 2016-2; Natural Environment Research Council UK (NERC), NE/V000764/1.</t>
  </si>
  <si>
    <t>10.3390/biology11121773</t>
  </si>
  <si>
    <t>7G2JO</t>
  </si>
  <si>
    <t>WOS:000902357700001</t>
  </si>
  <si>
    <t>Xiao, LX</t>
  </si>
  <si>
    <t>Xiao, Linxia</t>
  </si>
  <si>
    <t>A Review: Meridianins and Meridianins Derivatives</t>
  </si>
  <si>
    <t>MOLECULES</t>
  </si>
  <si>
    <t>meridianins; indole alkaloids; biological activities; pharmacological applications; pharmacokinetic characters; chemical synthesis; prospects</t>
  </si>
  <si>
    <t>VITRO ANTIPROLIFERATIVE ACTIVITIES; ANTARCTIC COLONIAL ASCIDIANS; KINASE INHIBITORY POTENCIES; INDOLE ALKALOIDS; ANTIMALARIAL ACTIVITY; PHYSICAL DEFENSES; CONCISE SYNTHESES; NATURAL-PRODUCTS; PROTEIN-KINASES; APLIDIUM</t>
  </si>
  <si>
    <t>Meridianins are a family of indole alkaloids derived from Antarctic tunicates with extensive pharmacological activities. A series of meridianin derivatives had been synthesized by drug researchers. This article reviews the extraction and purification methods, biological activities and pharmacological applications, pharmacokinetic characters and chemical synthesis of meridianins and their derivatives. And prospects on discovering new bioactivities of meridianins and optimizing their structure for the improvement of the ADMET properties are provided.</t>
  </si>
  <si>
    <t>[Xiao, Linxia] Jiangsu Vocat Coll Med, Sch Pharmacol, Yancheng 224005, Peoples R China</t>
  </si>
  <si>
    <t>Jiangsu Vocational College of Medicine</t>
  </si>
  <si>
    <t>Xiao, LX (corresponding author), Jiangsu Vocat Coll Med, Sch Pharmacol, Yancheng 224005, Peoples R China.</t>
  </si>
  <si>
    <t>xiaolinxiaxlx@126.com</t>
  </si>
  <si>
    <t>Natural Science Foundation of the Jiangsu Higher Education Institutions of China; Medical Scientific Research Project of Jiangsu Provincial Commission of Health; [22KJD360002]; [Z2022073]</t>
  </si>
  <si>
    <t>Natural Science Foundation of the Jiangsu Higher Education Institutions of China(National Natural Science Foundation of China (NSFC)); Medical Scientific Research Project of Jiangsu Provincial Commission of Health; ;</t>
  </si>
  <si>
    <t>This study was supported by the Natural Science Foundation of the Jiangsu Higher Education Institutions of China (No. 22KJD360002) and Medical Scientific Research Project of Jiangsu Provincial Commission of Health (Z2022073).</t>
  </si>
  <si>
    <t>1420-3049</t>
  </si>
  <si>
    <t>Molecules</t>
  </si>
  <si>
    <t>10.3390/molecules27248714</t>
  </si>
  <si>
    <t>7G8US</t>
  </si>
  <si>
    <t>WOS:000902792400001</t>
  </si>
  <si>
    <t>Frinault, BAV; Christie, FDW; Fawcett, SE; Flynn, RF; Hutchinson, KA; Strevens, CMJM; Taylor, ML; Woodall, LC; Barnes, DKA</t>
  </si>
  <si>
    <t>Frinault, Betina A. V.; Christie, Frazer D. W.; Fawcett, Sarah E. E.; Flynn, Raquel F. F.; Hutchinson, Katherine A. A.; Montes Strevens, Chloe M. J.; Taylor, Michelle L. L.; Woodall, Lucy C. C.; Barnes, David K. A.</t>
  </si>
  <si>
    <t>Antarctic Seabed Assemblages in an Ice-Shelf-Adjacent Polynya, Western Weddell Sea</t>
  </si>
  <si>
    <t>climate change; ice shelf; continental shelf; coastal polynya; benthic assemblages; benthic biodiversity; functional groups; Larsen C Ice Shelf; Antarctica; Weddell Sea</t>
  </si>
  <si>
    <t>SHALLOW-WATER SITE; BENTHIC COMMUNITIES; ICEBERG DISTURBANCE; CLIMATE-CHANGE; BIODIVERSITY; PENINSULA; GROWTH; DIVERSITY; PATTERNS; IMPACT</t>
  </si>
  <si>
    <t>Ice shelves cover similar to 1.6 million km(2) of the Antarctic continental shelf and are sensitive indicators of climate change. With ice-shelf retreat, aphotic marine environments transform into new open-water spaces of photo-induced primary production and associated organic matter export to the benthos. Predicting how Antarctic seafloor assemblages may develop following ice-shelf loss requires knowledge of assemblages bordering the ice-shelf margins, which are relatively undocumented. This study investigated seafloor assemblages, by taxa and functional groups, in a coastal polynya adjacent to the Larsen C Ice Shelf front, western Weddell Sea. The study area is rarely accessed, at the frontline of climate change, and located within a CCAMLR-proposed international marine protected area. Four sites, similar to 1 to 16 km from the ice-shelf front, were explored for megabenthic assemblages, and potential environmental drivers of assemblage structures were assessed. Faunal density increased with distance from the ice shelf, with epifaunal deposit-feeders a surrogate for overall density trends. Faunal richness did not exhibit a significant pattern with distance from the ice shelf and was most variable at sites closest to the ice-shelf front. Faunal assemblages significantly differed in composition among sites, and those nearest to the ice shelf were the most dissimilar; however, ice-shelf proximity did not emerge as a significant driver of assemblage structure. Overall, the study found a biologically-diverse and complex seafloor environment close to an ice-shelf front and provides ecological baselines for monitoring benthic ecosystem responses to environmental change, supporting marine management.</t>
  </si>
  <si>
    <t>[Frinault, Betina A. V.; Montes Strevens, Chloe M. J.] Univ Oxford, Oxford Univ Ctr Environm, Sch Geog &amp; Environm, South Parks Rd, Oxford OX13QY, England; [Christie, Frazer D. W.] Univ Cambridge, Scott Polar Res Inst, Lensfield Rd, Cambridge CB2 1ER, England; [Fawcett, Sarah E. E.; Flynn, Raquel F. F.] Univ Cape Town, Dept Oceanog, ZA-7700 Cape Town, South Africa; [Fawcett, Sarah E. E.] Univ Cape Town, Marine &amp; Antarctic Res Ctr Innovat &amp; Sustainabil M, ZA-7700 Cape Town, South Africa; [Hutchinson, Katherine A. A.] Sorbonne Univ CNRS, LOCEAN Lab, IRD, MNHN, F-75005 Paris, France; [Taylor, Michelle L. L.] Univ Essex, Sch Life Sci, Wivenhoe Pk, Colchester CO43SQ, England; [Woodall, Lucy C. C.] Univ Oxford, Dept Biol, Mansfield Rd, Oxford OX13SZ, England; [Woodall, Lucy C. C.] Nekton Fdn, Begbroke Sci Pk, Oxford OX5 1PF, England; [Barnes, David K. A.] British Antarctic Survey, Madingley Rd, Cambridge CB3 0ET, England</t>
  </si>
  <si>
    <t>University of Oxford; University of Cambridge; University of Cape Town; University of Cape Town; Museum National d'Histoire Naturelle (MNHN); Institut de Recherche pour le Developpement (IRD); Sorbonne Universite; University of Essex; University of Oxford; UK Research &amp; Innovation (UKRI); Natural Environment Research Council (NERC); NERC British Antarctic Survey</t>
  </si>
  <si>
    <t>Frinault, BAV (corresponding author), Univ Oxford, Oxford Univ Ctr Environm, Sch Geog &amp; Environm, South Parks Rd, Oxford OX13QY, England.</t>
  </si>
  <si>
    <t>betina.frinault@ouce.ox.ac.uk</t>
  </si>
  <si>
    <t>; Taylor, Michelle/C-3918-2015</t>
  </si>
  <si>
    <t>Flynn, Raquel Francesca/0000-0003-3118-4474; Taylor, Michelle/0000-0001-7271-4385; woodall, lucy/0000-0001-7295-7184; Barnes, David/0000-0002-9076-7867; Hutchinson, Katherine/0000-0002-3472-8273; Fawcett, Sarah/0000-0002-0878-6496</t>
  </si>
  <si>
    <t>10.3390/biology11121705</t>
  </si>
  <si>
    <t>7D5VQ</t>
  </si>
  <si>
    <t>WOS:000900558200001</t>
  </si>
  <si>
    <t>Greco, S; Gaetano, AS; Furlanis, G; Capanni, F; Manfrin, C; Giulianini, PG; Santovito, G; Edomi, P; Pallavicini, A; Gerdol, M</t>
  </si>
  <si>
    <t>Greco, Samuele; Gaetano, Anastasia Serena; Furlanis, Gael; Capanni, Francesca; Manfrin, Chiara; Giulianini, Piero Giulio; Santovito, Gianfranco; Edomi, Paolo; Pallavicini, Alberto; Gerdol, Marco</t>
  </si>
  <si>
    <t>Gene Expression Profiling of Trematomus bernacchii in Response to Thermal and Stabling Stress</t>
  </si>
  <si>
    <t>Antarctica; Trematomus bernacchii; transcriptomics; heat stress; stabling stress; gene expression</t>
  </si>
  <si>
    <t>HEAT-SHOCK RESPONSE; ANTARCTIC FISH; GLUCOCORTICOID-RECEPTOR; PROTEIN; TEMPERATURE; COLD; TOLERANCE; EVOLUTION; PENINSULA; DATABASE</t>
  </si>
  <si>
    <t>The Antarctic continent is one of the most pristine environments on planet Earth, yet one of the most fragile and susceptible to the effects of the ongoing climate change. The overwhelming majority of the components of Antarctic marine trophic chain are stenotherm organisms, highly adapted to the extreme, but extremely stable, freezing temperatures of the Antarctic ocean, which have not changed significantly during the past fifteen million years. Notothenioid fishes are the most abundant representatives of ichthyofauna at these latitudes, being ubiquitously found in coastal areas across the entire continent. While different Antarctic fish species have been previously subjected to studies aimed at defining their range of thermal tolerance, or at studying the response to acute thermal stress, just a handful of authors have investigated the effects of the exposure to a moderate increase of temperature, falling within the expected forecasts for the next few decades in some areas of the Antarctica. Here, the emerald rockcod Trematomus bernacchii was used as a model species to investigate the effects of a 20-day long exposure to a +1.5 &amp; DEG;C increase in the brain, gills and skeletal muscle, using a RNA-sequencing approach. In parallel, the experimental design also allowed for assessing the impact of stabling (including acclimation, the handling of fishes and their confinement in tanks during the experimental phase) on gene expression profiling. The results of this study clearly identified the brain as the most susceptible tissue to heat stress, with evidence of a time-dependent response dominated by an alteration of immune response, protein synthesis and folding, and energy metabolism-related genes. While the gills displayed smaller but still significant alterations, the skeletal muscle was completely unaffected by the experimental conditions. The stabling conditions also had an important impact on gene expression profiles in the brain, suggesting the presence of significant alterations of the fish nervous system, possibly due to the confinement to tanks with limited water volume and of the restricted possibility of movement. Besides providing novel insights in the molecular mechanisms underlying thermal stress in notothenioids, these findings suggest that more attention should be dedicated to an improved design of the experiments carried out on Antarctic organism, due to their extreme susceptibility to the slightest environmental alterations.</t>
  </si>
  <si>
    <t>[Greco, Samuele; Furlanis, Gael; Manfrin, Chiara; Giulianini, Piero Giulio; Edomi, Paolo; Pallavicini, Alberto; Gerdol, Marco] Univ Trieste, Dept Life Sci, I-34127 Trieste, Italy; [Gaetano, Anastasia Serena] Univ Trieste, Dept Chem &amp; Pharmaceut Sci, I-34127 Trieste, Italy; [Capanni, Francesca] Univ Siena, Dept Phys Sci Earth &amp; Environm, I-53100 Siena, Italy; [Santovito, Gianfranco] Univ Padua, Dept Biol, I-35122 Padua, Italy</t>
  </si>
  <si>
    <t>University of Trieste; University of Trieste; University of Siena; University of Padua</t>
  </si>
  <si>
    <t>Gerdol, M (corresponding author), Univ Trieste, Dept Life Sci, I-34127 Trieste, Italy.</t>
  </si>
  <si>
    <t>mgerdol@units.it</t>
  </si>
  <si>
    <t>Gerdol, Marco/D-2115-2013; Santovito, Gianfranco/ABB-9484-2021; Pallavicini, Alberto/H-9281-2019; Capanni, Francesca/KCJ-6331-2024</t>
  </si>
  <si>
    <t>Gerdol, Marco/0000-0001-6411-0813; Santovito, Gianfranco/0000-0001-8260-7006; Pallavicini, Alberto/0000-0001-7174-4603; Capanni, Francesca/0000-0001-6543-7797; Gaetano, Anastasia Serena/0000-0003-0071-7696; Giulianini, Piero Giulio/0000-0001-5356-7754; Greco, Samuele/0000-0003-3435-2656</t>
  </si>
  <si>
    <t>Italian Program of Antarctic Research; [PNRA16_00099]; [PNRA16_00234]</t>
  </si>
  <si>
    <t>Italian Program of Antarctic Research; ;</t>
  </si>
  <si>
    <t>This work was funded by the Italian Program of Antarctic Research (Grant Nos. PNRA16_00099 and PNRA16_00234).</t>
  </si>
  <si>
    <t>10.3390/fishes7060387</t>
  </si>
  <si>
    <t>7G4QF</t>
  </si>
  <si>
    <t>WOS:000902510300001</t>
  </si>
  <si>
    <t>Pucciarelli, S; Sparvoli, D; Ballarini, P; Piersanti, A; Mozzicafreddo, M; Arregui, L; Miceli, C</t>
  </si>
  <si>
    <t>Pucciarelli, Sandra; Sparvoli, Daniela; Ballarini, Patrizia; Piersanti, Angela; Mozzicafreddo, Matteo; Arregui, Lucia; Miceli, Cristina</t>
  </si>
  <si>
    <t>Ciliate Microtubule Diversities: Insights from the EFBTU3 Tubulin in the Antarctic Ciliate Euplotes focardii</t>
  </si>
  <si>
    <t>tubulin function; microtubule diversities; gene-silencing; protozoa</t>
  </si>
  <si>
    <t>III BETA-TUBULIN; IN-VITRO; TETRAHYMENA-THERMOPHILA; TUMOR-CELLS; EXPRESSION; ALPHA; DYNAMICS; GENE; PROTOZOAN; SEQUENCE</t>
  </si>
  <si>
    <t>Protozoans of the Phylum Ciliophora (ciliates) assemble many diverse microtubular structures in a single cell throughout the life cycle, a feature that made them useful models to study microtubule complexity and the role of tubulin isotypes. In the Antarctic ciliate Euplotes focardii we identified five beta-tubulin isotypes by genome sequencing, named EFBTU1, EFBTU2, EFBTU3, EFBTU4 and EFBTU5. By using polyclonal antibodies directed against EFBTU2/EFBTU1 and EFBTU3, we show that the former isotypes appear to be involved in the formation of all microtubular structures and are particularly abundant in cilia, whereas the latter specifically localizes at the bases of cilia. By RNA interference (RNAi) technology, we silenced the EFBTU3 gene and provided evidence that this isotype has a relevant role in cilia regeneration upon deciliation and in cell division. These results support the long-standing concept that tubulin isotypes possess functional specificity in building diverse microtubular structures.</t>
  </si>
  <si>
    <t>[Pucciarelli, Sandra; Sparvoli, Daniela; Ballarini, Patrizia; Piersanti, Angela; Mozzicafreddo, Matteo; Miceli, Cristina] Univ Camerino, Sch Biosci &amp; Vet Med, Via Gentile 3da Varano, I-62032 Camerino, Italy; [Arregui, Lucia] Univ Complutense Madrid, Dept Genet, Unit Microbiol, Physiol &amp; Microbiol, Madrid 28040, Spain</t>
  </si>
  <si>
    <t>University of Camerino; Complutense University of Madrid</t>
  </si>
  <si>
    <t>Pucciarelli, S (corresponding author), Univ Camerino, Sch Biosci &amp; Vet Med, Via Gentile 3da Varano, I-62032 Camerino, Italy.</t>
  </si>
  <si>
    <t>sandra.pucciarelli@unicam.it</t>
  </si>
  <si>
    <t>Piersanti, Angela/0000-0003-2231-8936; Pucciarelli, Sandra/0000-0003-4178-2689; Miceli, Cristina/0000-0002-7829-8471; Mozzicafreddo, Matteo/0000-0001-9835-8446</t>
  </si>
  <si>
    <t>PNRA</t>
  </si>
  <si>
    <t>This work was supported by grants from the Italian Programma Nazionale di Ricerche in Antartide (PNRA) to C.M. (PNRA18_00133. 2020-2022.), P.S., D.S. and A.P. acknowledge the EU-COST (action BM1102) and the Gordon and Betty Moore Foundation (Microbiology initiative) for supporting part of this work.</t>
  </si>
  <si>
    <t>10.3390/microorganisms10122415</t>
  </si>
  <si>
    <t>7I2LD</t>
  </si>
  <si>
    <t>WOS:000903723800001</t>
  </si>
  <si>
    <t>Zapata-Hernández, G; Gorny, M; Montiel, A</t>
  </si>
  <si>
    <t>Zapata-Hernandez, German; Gorny, Matthias; Montiel, Americo</t>
  </si>
  <si>
    <t>Filling ecological gaps in Chilean Central Patagonia: Patterns of biodiversity and distribution of sublittoral benthic invertebrates from the Katalalixar National Reserve waters (∼48°S)</t>
  </si>
  <si>
    <t>marine biodiversity; sublittoral benthos; zoogeography; channels and fjords; chilean patagonia; remotely operate vehicle; species turnover</t>
  </si>
  <si>
    <t>MAGELLAN REGION; BIOGEOGRAPHICAL PATTERNS; COMMUNITY STRUCTURE; SURFACE SEDIMENTS; COMAU FJORD; R-PACKAGE; MARINE; ZOOGEOGRAPHY; ASSEMBLAGES; DIVERSITY</t>
  </si>
  <si>
    <t>Knowledge about the composition, diversity, and geographic distribution of marine species is important for successful conservation planning in the future. The ecological and zoogeographic patterns of benthic communities in Central Patagonia have been scarcely studied, due to the remoteness of the area combined with harsh weather conditions. During the past years, five scientific expeditions were executed in order to study the biodiversity, ecological, and biogeographical patterns of benthic invertebrates in the Katalalixar National Reserve (KNR) waters, Central Patagonia (similar to 48 degrees S). Our analyses comprised images from 26 video transects using a remotely operated vehicle, completed with biological sampling at four stations by means of SCUBA diving, covering a bathymetric range from 10 to 220 m depth. Stations covered the entire longitudinal range of the KNR, from inner channels to the Pacific Ocean. A total of 187 benthic invertebrate taxa were identified as OTUs (operational taxonomic units), with mollusks being the most conspicuous taxonomic group (18.7%), followed by sponges, echinoderms (16.6% each), and arthropods (14.4%). A higher OTU richness (42 to 51 OTUs) was observed in the central and western parts of the KNR waters. Analyses of the beta-diversity indicated a similar level of species turnover between shallow, intermediate, and deep strata, as well as an important turnover between different locations. Dissimilitudes in the assemblage structure of invertebrates were explained mainly by changes in substrate types and longitude. Most of the species (49%) found in the KNR waters showed a wide latitudinal distribution range along the Eastern South Pacific Ocean (ESP) and the Chilean Patagonia of fjords and channels (CPFC) (similar to 18 degrees S and similar to 56 degrees S), whereas 9.4% of the species have a wide distribution range between the CPFC and south of the Antarctic polar front (SAPF) (similar to 42 degrees S and similar to 65 degrees S). Since only 16.7% of the species identified in the KNR are distributed exclusively in CPFC waters, it may be considered a transition area for marine invertebrates. It is distributed between northern ESP and SAPF. Knowledge of species composition and distribution patterns along spatial and environmental gradients is essential for any sustainable management, monitoring, and future conservation plans to protect the fragile and diverse marine ecosystems of Chilean Patagonia.</t>
  </si>
  <si>
    <t>[Zapata-Hernandez, German] Univ Catolica Norte, Fac Ciencias Mar, Dept Biol Marina, Coquimbo, Chile; [Gorny, Matthias] Oceans Chile, Santiago, Chile; [Montiel, Americo] Univ Magallanes, Inst Patagonia, Lab Ecol Func, Punta Arenas, Chile</t>
  </si>
  <si>
    <t>Universidad Catolica del Norte; Universidad de Magallanes</t>
  </si>
  <si>
    <t>Zapata-Hernández, G (corresponding author), Univ Catolica Norte, Fac Ciencias Mar, Dept Biol Marina, Coquimbo, Chile.</t>
  </si>
  <si>
    <t>zapata.bm@gmail.com</t>
  </si>
  <si>
    <t>Zapata-Hernández, Germán/AGZ-0874-2022</t>
  </si>
  <si>
    <t>Zapata-Hernández, Germán/0000-0003-3245-9118</t>
  </si>
  <si>
    <t>Beca de Postdoctorado MINEDUC [UCN-19101]</t>
  </si>
  <si>
    <t>Beca de Postdoctorado MINEDUC</t>
  </si>
  <si>
    <t>Oceana financed the expedition to obtain the data and the exchange between the authors. Oceana complied with all authorizations to realize sampling and video transects during the expedition, including authorization to realize the investigation in the Katalalixar National Reserve. GZ-H was partially funded by Beca de Postdoctorado MINEDUC UCN-19101 No 02.</t>
  </si>
  <si>
    <t>10.3389/fmars.2022.951195</t>
  </si>
  <si>
    <t>6Y6DN</t>
  </si>
  <si>
    <t>WOS:000897183600001</t>
  </si>
  <si>
    <t>Carlig, E; Di Blasi, D; Pisano, E; Vacchi, M; Santovito, G; Ghigliotti, L</t>
  </si>
  <si>
    <t>Carlig, Erica; Di Blasi, Davide; Pisano, Eva; Vacchi, Marino; Santovito, Gianfranco; Ghigliotti, Laura</t>
  </si>
  <si>
    <t>Ecomorphological Differentiation of Feeding Structures within the Antarctic Fish Species Flock Trematominae (Notothenioidei) from Terra Nova Bay (Ross Sea)</t>
  </si>
  <si>
    <t>ecomorphology; geometric morphometrics; feeding modes; Trematomus; adaptation strategies; Ross Sea</t>
  </si>
  <si>
    <t>SCALLOP ADAMUSSIUM-COLBECKI; LATERAL-LINE; MORPHOLOGY; DIVERSIFICATION; PLASTICITY; DIVERSITY; RADIATION; ECOLOGY; BIOMECHANICS; EVOLUTION</t>
  </si>
  <si>
    <t>The Antarctic endemic fish genus Trematomus (Trematominae, Notothenioidei) includes 15 species very diverse in morphology, lifestyle and feeding ecology. Co-occurring on the continental shelf, they occupy different habitats and a wide range of ecological niches as the result of adaptive radiation during their evolutionary history. Ecomorphological differentiation is a key feature of adaptive radiations, with a general trend for specialization following divergence. Here, we investigated the trophic adaptive morphology and ecology of six Trematomus species from Terra Nova Bay (Ross Sea) through feeding apparatus metrics and geometric morphometrics. The suction index (SI), the mechanical advantage in jaw closing (MA), the relative surface of the adductor mandibulae muscle and nine morphological traits related to feeding structures were analysed. Head shape clearly differentiates the benthic (T. bernacchii, T. hansoni and T. pennellii) from the pelagic (T. eulepidotus and T. borchgrevinki) species. The position of the eyes and the orientation of the mouth also contribute to specific morphological differences and specialization. Interestingly, T. newnesi stands at an intermediate position and the mouth is clearly oriented upwards compared to the other congeneric species.</t>
  </si>
  <si>
    <t>[Carlig, Erica; Di Blasi, Davide; Pisano, Eva; Vacchi, Marino; Ghigliotti, Laura] Natl Res Council CNR Italy, Inst Study Anthrop Impacts &amp; Sustainabil Marine En, Via Marini 6, I-16149 Genoa, Italy; [Di Blasi, Davide] Natl Inst Marine Biol Ecol &amp; Biotechnol, Genoa Marine Ctr GMC, Dept Integrat Marine Ecol EMI, Stn Zool Anton Dohrn, Piazza Principe 4, I-16126 Genoa, Italy; [Santovito, Gianfranco] Univ Padua, Dept Biol, Via U Bassi 58-B, I-35100 Padua, Italy</t>
  </si>
  <si>
    <t>Stazione Zoologica Anton Dohrn di Napoli; University of Padua</t>
  </si>
  <si>
    <t>Carlig, E (corresponding author), Natl Res Council CNR Italy, Inst Study Anthrop Impacts &amp; Sustainabil Marine En, Via Marini 6, I-16149 Genoa, Italy.</t>
  </si>
  <si>
    <t>erica.carlig@ias.cnr.it</t>
  </si>
  <si>
    <t>Ghigliotti, Laura/AAN-6843-2021; Santovito, Gianfranco/ABB-9484-2021</t>
  </si>
  <si>
    <t>Ghigliotti, Laura/0000-0003-2139-1381; Santovito, Gianfranco/0000-0001-8260-7006; Carlig, Erica/0000-0002-8537-8971</t>
  </si>
  <si>
    <t>Italian National Programme for Antarctic Research (PNRA) [18_00106]</t>
  </si>
  <si>
    <t>Italian National Programme for Antarctic Research (PNRA)</t>
  </si>
  <si>
    <t>The study was supported by the Italian National Programme for Antarctic Research (PNRA) project 18_00106 Ecomorphological Analysis and development of virtual mobile models of buccal apparatus of notothenioid fish species (EMPHASIS).</t>
  </si>
  <si>
    <t>10.3390/jmse10121876</t>
  </si>
  <si>
    <t>7G5LE</t>
  </si>
  <si>
    <t>WOS:000902564800001</t>
  </si>
  <si>
    <t>Salyuk, PA; Mosharov, SA; Frey, DI; Kasyan, VV; Ponomarev, VI; Kalinina, OY; Morozov, EG; Latushkin, AA; Sapozhnikov, PV; Ostroumova, SA; Lipinskaya, NA; Budyansky, MV; Chukmasov, PV; Krechik, VA; Uleysky, MY; Fayman, PA; Mayor, AY; Mosharova, IV; Chernetsky, AD; Shkorba, SP; Shved, NA</t>
  </si>
  <si>
    <t>Salyuk, Pavel A.; Mosharov, Sergey A.; Frey, Dmitry I.; Kasyan, Valentina V.; Ponomarev, Vladimir I.; Kalinina, Olga Yu.; Morozov, Eugene G.; Latushkin, Alexander A.; Sapozhnikov, Philipp V.; Ostroumova, Sofia A.; Lipinskaya, Nadezhda A.; Budyansky, Maxim V.; Chukmasov, Pavel V.; Krechik, Viktor A.; Uleysky, Michael Yu.; Fayman, Pavel A.; Mayor, Alexander Yu.; Mosharova, Irina V.; Chernetsky, Anton D.; Shkorba, Svetlana P.; Shved, Nikita A.</t>
  </si>
  <si>
    <t>Physical and Biological Features of the Waters in the Outer Patagonian Shelf and the Malvinas Current</t>
  </si>
  <si>
    <t>Malvinas Current; submesoscale; water mass; Lagrangian analysis; upper mixed layer; euphotic layer; bio-optical; fluorescence; primary production; SADCP; CTD</t>
  </si>
  <si>
    <t>PHOTOSYNTHETIC ELECTRON-TRANSPORT; CHLOROPHYLL-A; PHYTOPLANKTON; OCEAN; DINOPHYCEAE; PERIDINIALES; ZOOPLANKTON; FRONTS; SEA; VARIABILITY</t>
  </si>
  <si>
    <t>The aim of this study is to trace how the fine-thermohaline and kinematic structure, formed over a section along 45.8 degrees S in the interaction zone of the outer Patagonian Shelf (PS) and Malvinas (Falkland) Current (MC) System waters, affect the spatial distribution of bio-optical characteristics, phyto/zooplankton, birds, and marine mammals. For the first time, simultaneous multidisciplinary observations at high spatial resolution (similar to 2.5 km) were performed in this region during the cruise of the R/V Akademic Mstislav Keldysh in February 2022. A fine structure of alternating upwelling and downwelling zones over the PS and slope was identified, which resulted from the interaction between the MC inshore branch (MCi), bottom topography, and wind. This interaction significantly affects all the physical, and optical characteristics analyzed in the work, as well as the biota of the region. It was found that the euphotic zone is larger in the downwelling zones than in the upwelling zones, and all spatially local maxima of phytoplankton photosynthetic efficiency are observed in the zones between upwelling and downwelling. Phytoplankton along the section were represented by 43 species. A total of 30 zooplankton species/taxa were identified. Three species of marine mammals and 11 species of birds were recorded in the study site. Most of the phytoplankton species list were formed by dinoflagellates, and picoplankton Prasinoderma colonial quantitatively dominated everywhere. Two floristic and three assemblage groups were distinguished among the analyzed phytoplankton communities. High phytoplankton biodiversity was observed above the PS and low above the PS edge and in the MCi core. Copepods mostly dominated in zooplankton. Subantarctic species/taxa of zooplankton concentrated in the nearshore waters of the PS, while Antarctic species/taxa were most abundant in the zone between the MCi and the MC offshore branch (MCo). The relative abundance of birds in the PS was several times higher than in the MCo. The minimum abundance of birds was in the MCi in the zone of the strongest upwelling identified above the PS edge.</t>
  </si>
  <si>
    <t>[Salyuk, Pavel A.; Ponomarev, Vladimir I.; Lipinskaya, Nadezhda A.; Budyansky, Maxim V.; Uleysky, Michael Yu.; Fayman, Pavel A.; Shkorba, Svetlana P.] Russian Acad Sci, VI Ilichev Pacific Oceanol Inst, Far Eastern Branch, Vladivostok 690041, Russia; [Mosharov, Sergey A.; Frey, Dmitry I.; Kalinina, Olga Yu.; Morozov, Eugene G.; Sapozhnikov, Philipp V.; Ostroumova, Sofia A.; Krechik, Viktor A.; Mosharova, Irina V.; Chernetsky, Anton D.] Russian Acad Sci, Shirshov Inst Oceanol, Moscow 117997, Russia; [Frey, Dmitry I.; Latushkin, Alexander A.] Russian Acad Sci, Marine Hydrophys Inst, Sevastopol 299011, Russia; [Kasyan, Valentina V.; Shved, Nikita A.] Russian Acad Sci, AV Zhirmunsky Natl Sci Ctr Marine Biol, Far Eastern Branch, Vladivostok 690041, Russia; [Ostroumova, Sofia A.] Russian State Hydrometeorol Univ, Oceanol &amp; Hydrol Inst, St Petersburg 195196, Russia; [Chukmasov, Pavel V.] Russian Acad Sci, AN Severtsov Inst Ecol &amp; Evolut, Moscow 119071, Russia; [Krechik, Viktor A.] Immanuel Kant Balt Fed Univ, Lab Marine Environm Management, Kaliningrad 236041, Russia; [Mayor, Alexander Yu.] Russian Acad Sci, Inst Automation &amp; Control Proc, Far Eastern Branch, Vladivostok 690041, Russia</t>
  </si>
  <si>
    <t>Ilichev Pacific Oceanological Institute; Russian Academy of Sciences; Russian Academy of Sciences; Shirshov Institute of Oceanology; Marine Hydrophysical Institute of RAS; Russian Academy of Sciences; Russian Academy of Sciences; National Scientific Center of Marine Biology, Far East Branch of the Russian Academy of Sciences; Russian State Hydrometeorological University; Russian Academy of Sciences; Saratov Scientific Center of the Russian Academy of Sciences; Severtsov Institute of Ecology &amp; Evolution; Immanuel Kant Baltic Federal University; Russian Academy of Sciences</t>
  </si>
  <si>
    <t>Salyuk, PA (corresponding author), Russian Acad Sci, VI Ilichev Pacific Oceanol Inst, Far Eastern Branch, Vladivostok 690041, Russia.</t>
  </si>
  <si>
    <t>pavel.salyuk@gmail.com</t>
  </si>
  <si>
    <t>Morozov, Eugene G/L-3023-2018; Budyansky, Maxim/AAL-3030-2020; Chernetsky, Anton/KHD-4758-2024; Lipinskaya, Nadezhda/AGE-0831-2022; Kalinina, Olga Yu/G-2512-2019; Krechik, Viktor/J-9941-2016; Mosharov, Sergey/O-2565-2013; Salyuk, Pavel/E-8592-2014; Uleysky, Michael/G-7178-2015; Kasyan, Valentina/E-6024-2016</t>
  </si>
  <si>
    <t>Chernetsky, Anton/0000-0002-3099-3416; Lipinskaya, Nadezhda/0000-0002-3177-4426; Krechik, Viktor/0000-0001-6440-060X; Mosharov, Sergey/0000-0002-0055-8982; Latushkin, Aleksandr/0000-0002-3412-7339; FAYMAN, PAVEL/0000-0003-4609-0163; Morozov, Eugene/0000-0002-0251-3454; Shved, Nikita/0000-0003-3203-4339; Frey, Dmitry/0000-0001-8141-9513; Salyuk, Pavel/0000-0002-3224-710X; Budyansky, Maxim/0000-0003-2291-6792; Krasnova, Vera/0000-0002-0042-2540; Uleysky, Michael/0000-0001-6499-1470; Kasyan, Valentina/0000-0002-2745-3961</t>
  </si>
  <si>
    <t>Russian State Tasks [FWMM-2022-0033, 0211-2021-008, 0211-2021-0007, FMWE-2022-0001, 122072000067-9, FNNN-2022-0001, FNNN-2021-0003, FFER-2019-0021, 0202-2021-0001]; Russian Science Foundation [21-77-20004]</t>
  </si>
  <si>
    <t>Russian State Tasks; Russian Science Foundation(Russian Science Foundation (RSF))</t>
  </si>
  <si>
    <t>This research was supported by the Russian State Tasks FWMM-2022-0033, 0211-2021-008 and 0211-2021-0007 (POI FEB RAS), FMWE-2022-0001 (IO RAS), 122072000067-9 (NSCMB FEB RAS), FNNN-2022-0001, FNNN-2021-0003 (MHI RAS), FFER-2019-0021 (IEE RAS), 0202-2021-0001 (IACP FEB RAS) and grant of the Russian Science Foundation 21-77-20004 (ship operations). Resources of the computing cluster of the POI FEB RAS were also involved.</t>
  </si>
  <si>
    <t>10.3390/w14233879</t>
  </si>
  <si>
    <t>6Y7CF</t>
  </si>
  <si>
    <t>WOS:000897248000001</t>
  </si>
  <si>
    <t>Rezvani, MH; Watson, CS; King, MA</t>
  </si>
  <si>
    <t>Rezvani, Mohammad-Hadi; Watson, Christopher S. S.; King, Matt A. A.</t>
  </si>
  <si>
    <t>Vertical deformation and residual altimeter systematic errors around continental Australia inferred from a Kalman-based approach</t>
  </si>
  <si>
    <t>JOURNAL OF GEODESY</t>
  </si>
  <si>
    <t>Vertical land motion; Altimeter systematic errors; Altimeter minus tide gauge; Australian region; Sea-level rise; Time-variability; Residual oceanographic signals</t>
  </si>
  <si>
    <t>SEA-LEVEL RISE; LAND MOTION; TIDE-GAUGE; SATELLITE ALTIMETRY; TIME-SERIES; MODEL; GPS; VARIABILITY; SURFACE; TRENDS</t>
  </si>
  <si>
    <t>We further developed a space-time Kalman approach to investigate time-fixed and time-variable signals in vertical land motion (VLM) and residual altimeter systematic errors around the Australian coast, through combining multi-mission absolute sea-level (ASL), relative sea-level from tide gauges (TGs) and Global Positioning System (GPS) height time series. Our results confirmed coastal subsidence in broad agreement with GPS velocities and unexplained by glacial isostatic adjustment alone. VLM determined at individual TGs differs from spatially interpolated GPS velocities by up to similar to 1.5 mm/year, yielding a similar to 40% reduction in RMSE of geographic ASL variability at TGs around Australia. Our mission-specific altimeter error estimates are small but significant (typically within similar to +/- 0.5-1.0 mm/year), with negligible effect on the average ASL rate. Our circum-Australia ASL rate is higher than previous results, suggesting an acceleration in the similar to 27-year time series. Analysis of the time-variability of altimeter errors confirmed stability for most missions except for Jason-2 with an anomaly reaching similar to 2.8 mm/year in the first similar to 3.5 years of operation, supported by analysis from the Bass Strait altimeter validation facility. Data predominantly from the reference missions and located well off narrow shelf regions was shown to bias results by as much as similar to 0.5 mm/year and highlights that residual oceanographic signals remain a fundamental limitation. Incorporating non-reference-mission measurements well on the shelf helped to mitigate this effect. Comparing stacked nonlinear VLM estimates and altimeter systematic errors with the El Nino-Southern Oscillation shows weak correlation and suggests our approach improves the ability to explore nonlinear localized signals and is suitable for other regional- and global-scale studies.</t>
  </si>
  <si>
    <t>[Rezvani, Mohammad-Hadi; Watson, Christopher S. S.; King, Matt A. A.] Univ Tasmania, Sch Geog Planning &amp; Spatial Sci, Hobart, Tas, Australia</t>
  </si>
  <si>
    <t>Rezvani, MH (corresponding author), Univ Tasmania, Sch Geog Planning &amp; Spatial Sci, Hobart, Tas, Australia.</t>
  </si>
  <si>
    <t>mohammadhadi.rezvani@utas.edu.au</t>
  </si>
  <si>
    <t>King, Matt/B-4622-2008</t>
  </si>
  <si>
    <t>King, Matt/0000-0001-5611-9498; Rezvani, Mohammadhadi/0000-0001-9754-2196; Watson, Christopher/0000-0002-7464-4592</t>
  </si>
  <si>
    <t>Australian Research Council's Special Research Initiative for Antarctic Gateway Partnership [SR140300001]; Australian Research Council [DP150100615]; Australia's Integrated Marine Observing System</t>
  </si>
  <si>
    <t>Australian Research Council's Special Research Initiative for Antarctic Gateway Partnership(Australian Research Council); Australian Research Council(Australian Research Council); Australia's Integrated Marine Observing System</t>
  </si>
  <si>
    <t>This research was supported under the Australian Research Council's Special Research Initiative for Antarctic Gateway Partnership (Project ID SR140300001). Aspects of this work were also supported by the Australian Research Council Discovery Project DP150100615. This work has benefitted from the Bass Strait altimeter validation facility which is supported by Australia's Integrated Marine Observing System (IMOS) - IMOS is enabled by the National Collaborative Research Infrastructure Strategy (NCRIS). IMOS is operated by a consortium of institutions as an unincorporated joint venture, with the University of Tasmania as Lead Agent. Access to the Radar Altimeter Database System (RADS), local tide gauge, Nevada Geodetic Laboratory (NGL) databases and ICE6G_D model are appreciated. We acknowledge the TPAC High Performance Computing facilities used for computations. We acknowledge discussions held with Benoit Legresy and Richard Coleman which were useful in preparing this manuscript. The authors thank Michael Schindelegger (Editor) and anonymous reviewers for their constructive comments that helped to improve this manuscript.</t>
  </si>
  <si>
    <t>0949-7714</t>
  </si>
  <si>
    <t>1432-1394</t>
  </si>
  <si>
    <t>J GEODESY</t>
  </si>
  <si>
    <t>J. Geodesy</t>
  </si>
  <si>
    <t>10.1007/s00190-022-01680-3</t>
  </si>
  <si>
    <t>Geochemistry &amp; Geophysics; Remote Sensing</t>
  </si>
  <si>
    <t>6U3YH</t>
  </si>
  <si>
    <t>Green Published, hybrid, Green Submitted</t>
  </si>
  <si>
    <t>WOS:000894304200003</t>
  </si>
  <si>
    <t>Dai, ZY; Li, HM; Liu, DB; Wang, C; Shi, LJ; He, YJ</t>
  </si>
  <si>
    <t>Dai, Ziyue; Li, Huimin; Liu, Dongbo; Wang, Chen; Shi, Lijian; He, Yijun</t>
  </si>
  <si>
    <t>SAR Observation of Waves under Ice in the Marginal Ice Zone</t>
  </si>
  <si>
    <t>Sentinel-1 wave mode; marginal ice zone; azimuth cutoff</t>
  </si>
  <si>
    <t>PROPAGATION; FRAZIL; SEA</t>
  </si>
  <si>
    <t>The marginal ice zone (MIZ) connects the open ocean and the pack ice, playing significant roles in shaping the ice edge and wave-ice interaction. Spaceborne synthetic aperture radar (SAR) has been demonstrated to be one of the most advantageous sensors for MIZ exploration given its capability to collect images under all weather conditions during day and night. In this study, we take advantage of the Sentinel-1 wave mode vignettes acquired around the Antarctic to quantify the image properties over MIZ. A data set of SAR images covering the ice edge with both open water and sea ice present in the same scene was created by manual inspection. It is found that the radar return over sea ice decreases by an average of approximately 1.78 dB in comparison to its adjacent open water, which is roughly independent of the polarizations and incidence angles. The long ocean waves are barely attenuated right across the ice edge in terms of their comparable azimuth cutoff. Further inside the ice from the edge, the waves are gradually dampened out at distances associated with their wavelengths. The results obtained in this study shall help interpret the radar scattering model validation as well as the wave-ice interaction.</t>
  </si>
  <si>
    <t>[Dai, Ziyue; Li, Huimin; Liu, Dongbo; Wang, Chen; He, Yijun] Nanjing Univ Informat Sci &amp; Technol, Sch Marine Sci, Nanjing 210044, Peoples R China; [Dai, Ziyue; Li, Huimin; Liu, Dongbo; Wang, Chen; Shi, Lijian; He, Yijun] Minist Nat Resources, Key Lab Space Ocean Remote Sensing &amp; Applicat, Beijing 100081, Peoples R China; [Shi, Lijian] Natl Satellite Ocean Applicat Serv, Beijing 100081, Peoples R China</t>
  </si>
  <si>
    <t>Nanjing University of Information Science &amp; Technology; Ministry of Natural Resources of the People's Republic of China; National Satellite Ocean Application Service</t>
  </si>
  <si>
    <t>Li, HM (corresponding author), Nanjing Univ Informat Sci &amp; Technol, Sch Marine Sci, Nanjing 210044, Peoples R China.;Li, HM (corresponding author), Minist Nat Resources, Key Lab Space Ocean Remote Sensing &amp; Applicat, Beijing 100081, Peoples R China.</t>
  </si>
  <si>
    <t>huimin.li@nuist.edu.cn</t>
  </si>
  <si>
    <t>Li, Huimin/0000-0001-5240-9180; He, Yijun/0000-0002-1531-5262; Wang, Chen/0000-0002-0575-742X</t>
  </si>
  <si>
    <t>10.3390/jmse10121836</t>
  </si>
  <si>
    <t>7E4SC</t>
  </si>
  <si>
    <t>WOS:000901158900001</t>
  </si>
  <si>
    <t>D'Angelo, C; Casillo, A; Melchiorre, C; Lauro, C; Corsaro, MM; Carpentieri, A; Tutino, ML; Parrilli, E</t>
  </si>
  <si>
    <t>D'Angelo, Caterina; Casillo, Angela; Melchiorre, Chiara; Lauro, Concetta; Corsaro, Maria Michela; Carpentieri, Andrea; Tutino, Maria Luisa; Parrilli, Ermenegilda</t>
  </si>
  <si>
    <t>CATASAN Is a New Anti-Biofilm Agent Produced by the Marine Antarctic Bacterium Psychrobacter sp. TAE2020</t>
  </si>
  <si>
    <t>anti-biofilm; anti-adhesive; bioemulsifier; biosurfactant; Psychrobacter sp; TAE2020</t>
  </si>
  <si>
    <t>STAPHYLOCOCCUS-EPIDERMIDIS; EMULSIFYING ACTIVITY; BIOSURFACTANTS; BIOEMULSIFIER; PROTEINS; ALASAN; POLYSACCHARIDE; SURFACES; ADHESION; EMULSAN</t>
  </si>
  <si>
    <t>The development of new approaches to prevent microbial surface adhesion and biofilm formation is an emerging need following the growing understanding of the impact of biofilm-related infections on human health. Staphylococcus epidermidis, with its ability to form biofilm and colonize biomaterials, represents the most frequent causative agent involved in infections of medical devices. In the research of new anti-biofilm agents against S. epidermidis biofilm, Antarctic marine bacteria represent an untapped reservoir of biodiversity. In the present study, the attention was focused on Psychrobacter sp. TAE2020, an Antarctic marine bacterium that produces molecules able to impair the initial attachment of S. epidermidis strains to the polystyrene surface. The setup of suitable purification protocols allowed the identification by NMR spectroscopy and LC-MS/MS analysis of a protein-polysaccharide complex named CATASAN. This complex proved to be a very effective anti-biofilm agent. Indeed, it not only interferes with cell surface attachment, but also prevents biofilm formation and affects the mature biofilm matrix structure of S. epidermidis. Moreover, CATASAN is endowed with a good emulsification activity in a wide range of pH and temperature. Therefore, its use can be easily extended to different biotechnological applications.</t>
  </si>
  <si>
    <t>[D'Angelo, Caterina; Casillo, Angela; Melchiorre, Chiara; Lauro, Concetta; Corsaro, Maria Michela; Carpentieri, Andrea; Tutino, Maria Luisa; Parrilli, Ermenegilda] Univ Naples Federico II, Complesso Univ Monte S Angelo, Dept Chem Sci, Via Cintia 4, I-80126 Naples, Italy; [Lauro, Concetta] Ist Nazl Biostrutture &amp; Biosistemi INBB, Viale Medaglie dOro, 305, I-00136 Rome, Italy</t>
  </si>
  <si>
    <t>University of Naples Federico II</t>
  </si>
  <si>
    <t>Parrilli, E (corresponding author), Univ Naples Federico II, Complesso Univ Monte S Angelo, Dept Chem Sci, Via Cintia 4, I-80126 Naples, Italy.</t>
  </si>
  <si>
    <t>erparril@unina.it</t>
  </si>
  <si>
    <t>TUTINO, MARIA LUISA/L-1834-2013; parrilli, ermenegilda/K-4616-2016</t>
  </si>
  <si>
    <t>Lauro, Concetta/0000-0003-0139-5166; CORSARO, Maria Michela/0000-0002-6834-8682; MELCHIORRE, Chiara/0000-0001-7912-6543; D'Angelo, Caterina/0000-0002-0372-7809; Tutino, Maria Luisa/0000-0002-4978-6839; parrilli, ermenegilda/0000-0002-9002-5409</t>
  </si>
  <si>
    <t>10.3390/md20120747</t>
  </si>
  <si>
    <t>7E7FI</t>
  </si>
  <si>
    <t>WOS:000901328500001</t>
  </si>
  <si>
    <t>Wang, J; Xiao, J; Zhu, Z; Wang, SY; Zhang, L; Fan, ZJ; Deng, YL; Hu, ZH; Peng, F; Shen, S; Deng, F</t>
  </si>
  <si>
    <t>Wang, Jun; Xiao, Jian; Zhu, Zheng; Wang, Siyuan; Zhang, Lei; Fan, Zhaojun; Deng, Yali; Hu, Zhihong; Peng, Fang; Shen, Shu; Deng, Fei</t>
  </si>
  <si>
    <t>Diverse viromes in polar regions: A retrospective study of metagenomic data from Antarctic animal feces and Arctic frozen soil in 2012-2014</t>
  </si>
  <si>
    <t>VIROLOGICA SINICA</t>
  </si>
  <si>
    <t>Arctic soil; Antarctica animal feces; Metagenomics; Virus diversity</t>
  </si>
  <si>
    <t>Antarctica and the Arctic are the coldest places, containing a high diversity of microorganisms, including viruses, which are important components of polar ecosystems. However, owing to the difficulties in obtaining access to animal and environmental samples, the current knowledge of viromes in polar regions is still limited. To better understand polar viromes, this study performed a retrospective analysis using metagenomic sequencing data of animal feces from Antarctica and frozen soil from the Arctic collected during 2012-2014. The results reveal diverse communities of DNA and RNA viruses from at least 23 families from Antarctic animal feces and 16 families from Arctic soils. Although the viral communities from Antarctica and the Arctic show a large diversity, they have genetic similarities with known viruses from different ecosystems and organisms with similar viral proteins. Phylogenetic analysis of Microviridae, Parvoviridae, and Larvidaviridae was further performed, and complete genomic sequences of two novel circular replication-associated protein (rep)-encoding single-stranded (CRESS) DNA viruses closely related to Circoviridae were identified. These results reveal the high diversity, complexity, and novelty of viral communities from polar regions, and suggested the genetic similarity and functional correlations of viromes between the Antarctica and Arctic. Variations in viral families in Arctic soils, Arctic freshwater, and Antarctic soils are discussed. These findings improve our understanding of polar viromes and suggest the importance of performing follow-up in-depth investigations of animal and environmental samples from Antarctica and the Arctic, which would reveal the substantial role of these viruses in the global viral community.</t>
  </si>
  <si>
    <t>[Wang, Jun; Xiao, Jian; Zhu, Zheng; Wang, Siyuan; Zhang, Lei; Fan, Zhaojun; Deng, Yali; Hu, Zhihong; Shen, Shu; Deng, Fei] Chinese Acad Sci, Wuhan Inst Virol, State Key Lab Virol, Wuhan 430071, Peoples R China; [Wang, Jun; Xiao, Jian; Zhu, Zheng; Wang, Siyuan; Zhang, Lei; Fan, Zhaojun; Deng, Yali; Hu, Zhihong; Shen, Shu; Deng, Fei] Chinese Acad Sci, Wuhan Inst Virol, Natl Virus Resource Ctr, Wuhan 430071, Peoples R China; [Peng, Fang] Wuhan Univ, Coll Life Sci, China Ctr Type Culture Collect CCTCC, Wuhan 430072, Peoples R China; [Wang, Siyuan] Xinjiang Univ, Coll Life Sci &amp; Technol, Xinjiang Key Lab Biol Resources &amp; Genet Engn, Urumqi 830046, Peoples R China; [Zhu, Zheng] Boston Univ, Natl Emerging Infect Dis Labs, Boston, MA 02118 USA; [Zhu, Zheng] Boston Univ, Sch Med, Dept Biochem, Boston, MA 02118 USA</t>
  </si>
  <si>
    <t>Chinese Academy of Sciences; Wuhan Institute of Virology, CAS; Chinese Academy of Sciences; Wuhan Institute of Virology, CAS; Wuhan University; Xinjiang University; Boston University; Boston University</t>
  </si>
  <si>
    <t>Shen, S; Deng, F (corresponding author), Chinese Acad Sci, Wuhan Inst Virol, State Key Lab Virol, Wuhan 430071, Peoples R China.;Shen, S; Deng, F (corresponding author), Chinese Acad Sci, Wuhan Inst Virol, Natl Virus Resource Ctr, Wuhan 430071, Peoples R China.;Peng, F (corresponding author), Wuhan Univ, Coll Life Sci, China Ctr Type Culture Collect CCTCC, Wuhan 430072, Peoples R China.</t>
  </si>
  <si>
    <t>fangpeng2@aliyun.com; shenshu@wh.iov.cn; df@wh.iov.cn</t>
  </si>
  <si>
    <t>jian, Xiao/HNI-0453-2023</t>
  </si>
  <si>
    <t>Peng, Fang/0000-0002-6357-2378</t>
  </si>
  <si>
    <t>Key Deployment Projects of Chinese Academy of Sciences [KJZD-SW-L11]; International Partnership Program from the Bureau of International Cooperation, Chinese Academy of Sciences [153B42KYSB20200013]; Strategic Priority Science and Technology Program of Chinese Academy of Sciences [XDB42000000]; National Natural Science Foundation of China [31900154]; Chinese polar scientific strategy Research Fund [IC201706]</t>
  </si>
  <si>
    <t>Key Deployment Projects of Chinese Academy of Sciences(Chinese Academy of Sciences); International Partnership Program from the Bureau of International Cooperation, Chinese Academy of Sciences; Strategic Priority Science and Technology Program of Chinese Academy of Sciences; National Natural Science Foundation of China(National Natural Science Foundation of China (NSFC)); Chinese polar scientific strategy Research Fund</t>
  </si>
  <si>
    <t>This work was supported by the Key Deployment Projects of Chinese Academy of Sciences (KJZD-SW-L11) , the International Partnership Program from the Bureau of International Cooperation, Chinese Academy of Sciences (153B42KYSB20200013) , the Strategic Priority Science and Technology Program of Chinese Academy of Sciences (Category B) (XDB42000000) , the National Natural Science Foundation of China (grant no. 31900154) , and the Chinese polar scientific strategy Research Fund (IC201706) .</t>
  </si>
  <si>
    <t>KEAI PUBLISHING LTD</t>
  </si>
  <si>
    <t>16 DONGHUANGCHENGGEN NORTH ST, BEIJING, DONGCHENG DISTRICT 100717, PEOPLES R CHINA</t>
  </si>
  <si>
    <t>1674-0769</t>
  </si>
  <si>
    <t>1995-820X</t>
  </si>
  <si>
    <t>VIROL SIN</t>
  </si>
  <si>
    <t>Virol. Sin.</t>
  </si>
  <si>
    <t>10.1016/j.virs.2022.08.006</t>
  </si>
  <si>
    <t>Virology</t>
  </si>
  <si>
    <t>7F0AF</t>
  </si>
  <si>
    <t>WOS:000901519200001</t>
  </si>
  <si>
    <t>Wang, B; Fan, LF; Zheng, MF; Qiu, YS; Chen, M</t>
  </si>
  <si>
    <t>Wang, Bo; Fan, Lingfang; Zheng, Minfang; Qiu, Yusheng; Chen, Min</t>
  </si>
  <si>
    <t>Carbon and Iron Uptake by Phytoplankton in the Amundsen Sea, Antarctica</t>
  </si>
  <si>
    <t>Fe uptake; carbon fixation; sea ice meltwater; meteoric water; Amundsen Sea</t>
  </si>
  <si>
    <t>MELTING GLACIERS FUELS; MIXED-LAYER DEPTH; DISSOLVED IRON; WATER COLUMN; ICE MELT; BLOOMS; COASTAL; WEST; LIMITATION; PENINSULA</t>
  </si>
  <si>
    <t>Simple Summary In the Amundsen Sea in late summer, sea ice meltwater has a more pronounced effect on the CFR and FeUR than meteoric water. Meteoric water, however, promotes the growth of larger phytoplankton that are susceptible to Fe deficiencies. Sea ice formation inhibits carbon fixation, resulting in a higher intracellular Fe/C ratio. Freshwater components in the Southern Ocean, whether sea ice meltwater or meteoric water, influence the growth of phytoplankton by affecting water stability and supplying dissolved iron (DFe). In addition, melting sea ice stimulates phytoplankton blooms by providing ice algae. In this study, sea ice meltwater and meteoric water in the Amundsen Sea (AS) were differentiated by their stable oxygen isotopic compositions (delta O-18), while the phytoplankton carbon fixation rate (CFR) and iron uptake rate (FeUR) values were determined using the C-14 and Fe-55 tracer assays, respectively. Our results showed that FeUR exhibits a significant positive response only to sea ice meltwater, suggesting that DFe and algae provided by sea ice melting may be the main cause. In addition, the CFR had a slightly positive response to the freshwater input and a stronger correlation with the phytoplankton biomass, suggesting that the freshwater input may have enhanced the CFR through the algae released from sea ice melting. The FeUR normalized to the phytoplankton biomass was significantly positively correlated with the mixed layer depth, suggesting that water stability regulates the phytoplankton growth and the resulting Fe demand. A higher Fe demand per unit of carbon fixation during sea ice formation leads to a higher Fe/C ratio in phytoplankton. Although no significant correlations were observed between the FeUR, CFR, and meteoric water, meteoric water may have an effect on larger phytoplankton sensitive to Fe deficiencies. The results of culture experiments with DFe addition showed that the added Fe significantly enhanced the Fe uptake, carbon fixation, and Fe/C ratio of the cells, especially for micro-phytoplankton. The more pronounced response of micro-phytoplankton means that the meteoric water input may affect the efficiency of carbon export. Our study provides the first measurements of phytoplankton Fe quotas in the AS in austral late summer and early autumn, providing insights into how meteoric water and sea ice meltwater affect seasonal changes in Antarctic ecosystems.</t>
  </si>
  <si>
    <t>[Wang, Bo; Fan, Lingfang; Zheng, Minfang; Qiu, Yusheng; Chen, Min] Xiamen Univ, Coll Ocean &amp; Earth Sci, Xiamen 361102, Peoples R China; [Wang, Bo] Shandong Univ Sci &amp; Technol, Coll Safety &amp; Environm Engn, Qingdao 266590, Peoples R China</t>
  </si>
  <si>
    <t>Xiamen University; Shandong University of Science &amp; Technology</t>
  </si>
  <si>
    <t>Chen, M (corresponding author), Xiamen Univ, Coll Ocean &amp; Earth Sci, Xiamen 361102, Peoples R China.</t>
  </si>
  <si>
    <t>mchen@xmu.edu.cn</t>
  </si>
  <si>
    <t>10.3390/biology11121760</t>
  </si>
  <si>
    <t>7D7FL</t>
  </si>
  <si>
    <t>WOS:000900651300001</t>
  </si>
  <si>
    <t>Kim, D; Lee, NJ; Kim, JH; Yang, EC; Lee, OM</t>
  </si>
  <si>
    <t>Kim, Do-Hyun; Lee, Nam-Ju; Kim, Jee-Hwan; Yang, Eun-Chan; Lee, Ok-Min</t>
  </si>
  <si>
    <t>Three New Plectolyngbya Species (Leptolyngbyaceae, Cyanobacteria) Isolated from Rocks and Saltern of the Republic of Korea</t>
  </si>
  <si>
    <t>16S rRNA; cryptic species; ITS; Republic of Korea; Leptolyngbyaceae; Plectolyngbya terrestris; Plectolyngbya koreana; Plectolyngbya salina</t>
  </si>
  <si>
    <t>SP. NOV. LEPTOLYNGBYACEAE; RIBOSOMAL-RNA GENE; MOLECULAR DESCRIPTION; DIVERSITY; OSCILLATORIALES; SYNECHOCOCCALES; PHYLOGENY; SEQUENCE; 16S-23S</t>
  </si>
  <si>
    <t>Thin filamentous cyanobacteria isolated from three collection sites in the Republic of Korea were suggested as three new species belonging to the genus Plectolyngbya, mainly according to their molecular characteristics. The species of Plectolyngbya, including the type species of P. hodgsonii, were cryptic species that were difficult to distinguish morphologically from each other, and had appeared in ecologically diverse habitats. P. terrestris and P. koreana were subaerophytes collected from certain black spots and soils between stone walls in Seoul, Republic of Korea. In addition, hypersaline species collected from a saltern, P. salina, shared the same halophytic feature as the P. hodgsonii from the littoral zone of a coastal lake in the Antarctic. The 16S rRNA gene phylogeny supported the monophyly of Plectolyngbya with solid support, 99% Maximum Likelihood, 98% Neighbor-Joining bootstrap support values, and 1.0 Bayesian posterior probability. The ITS sequences of P. terrestris, P. koreana, and P. salina were unique in length and nucleotide composition, with different secondary structures of D1-D1MODIFIER LETTER PRIME and Box-B helices, compared with those of P. hodgsonii. These results demonstrate that the proposed new Plectolyngbya species were unique in their molecular traits. Therefore, we suggest them as new species belonging to the genus Plectolyngbya with the names P. terrestris sp. nov., P. koreana sp. nov., and P. salina sp. nov.</t>
  </si>
  <si>
    <t>[Kim, Do-Hyun; Lee, Nam-Ju; Lee, Ok-Min] Kyonggi Univ, Coll Nat Sci, Dept Life Sci, Suwon 16227, South Korea; [Kim, Jee-Hwan] Nakdonggang Natl Inst Biol Resources, Microbial Res Dept, Protist Res Team, Sangju 37242, South Korea; [Yang, Eun-Chan] Korea Inst Ocean Sci &amp; Technol, Marine Ecosyst Res Ctr, Busan 49111, South Korea</t>
  </si>
  <si>
    <t>Kyonggi University; Korea Institute of Ocean Science &amp; Technology (KIOST)</t>
  </si>
  <si>
    <t>Lee, OM (corresponding author), Kyonggi Univ, Coll Nat Sci, Dept Life Sci, Suwon 16227, South Korea.;Yang, EC (corresponding author), Korea Inst Ocean Sci &amp; Technol, Marine Ecosyst Res Ctr, Busan 49111, South Korea.</t>
  </si>
  <si>
    <t>ecyang@kiost.ac.kr; omlee@kyonggi.ac.kr</t>
  </si>
  <si>
    <t>Kim, Do-Hyun/0000-0002-2075-143X; Lee, Nam-Ju/0000-0002-2403-1763</t>
  </si>
  <si>
    <t>10.3390/d14121013</t>
  </si>
  <si>
    <t>7E1PG</t>
  </si>
  <si>
    <t>WOS:000900948600001</t>
  </si>
  <si>
    <t>Bello, AB; Navarro, F; Raposo, J; Miranda, M; Zazo, A; Alvarez, M</t>
  </si>
  <si>
    <t>Bello, Ana Belen; Navarro, Francisco; Raposo, Javier; Miranda, Monica; Zazo, Arturo; Alvarez, Marina</t>
  </si>
  <si>
    <t>Fixed-Wing UAV Flight Operation under Harsh Weather Conditions: A Case Study in Livingston Island Glaciers, Antarctica</t>
  </si>
  <si>
    <t>Antarctica; glaciers; RPAS; UAS; flight operation; DSM; WMS; SDI</t>
  </si>
  <si>
    <t>VEHICLE; ICE; IMAGERY; HEALTH</t>
  </si>
  <si>
    <t>How do the weather conditions typical of the polar maritime glaciers in the western Antarctic Peninsula region affect flight operations of fixed-wing drones and how should these be adapted for a successful flight? We tried to answer this research question through a case study for Johnsons and Hurd glaciers, Livingston Island, using a fixed-wing RPAS, in particular, a Trimble UX5 UAV with electric pusher propeller by brushless 700 W motor, chosen for its ability to fly long distances and reach inaccessible areas. We also evaluated the accuracy of the point clouds and digital surface models (DSM) generated by aerial photogrammetry in our case study. The results were validated against ground control points taken by differential GNSS techniques, showing an accuracy of 0.16 +/- 0.12 m in the vertical coordinate. Various hypotheses were proposed and flight-tested, based on variables affecting the flight operation and the data collection, namely, gusty winds, low temperatures, battery life, camera configuration, and snow reflectivity. We aim to provide some practical guidelines that can help other researchers using fixed-wing drones under climatic conditions similar to those of the South Shetland Islands. Performance of the drone under harsh weather conditions, the logistical considerations, and the amount of snow at the time of data collection are factors driving the necessary modifications from those of conventional flight operations. We make suggestions concerning wind speed and temperature limitations, and avoidance of sudden fog banks, aimed to improve the planning of flight operations. Finally, we make some suggestions for further research.</t>
  </si>
  <si>
    <t>[Bello, Ana Belen; Alvarez, Marina] Univ Politecn Madrid, ETS Ingn Informat, Madrid 28040, Spain; [Navarro, Francisco; Zazo, Arturo] Univ Politecn Madrid, ETSI Telecomunicac, Madrid 28040, Spain; [Raposo, Javier; Miranda, Monica] Univ Politecn Madrid, ETS Arquitectura, Madrid 28040, Spain</t>
  </si>
  <si>
    <t>University of Sevilla; Universidad Politecnica de Madrid; Universidad Politecnica de Madrid; Universidad Politecnica de Madrid</t>
  </si>
  <si>
    <t>Navarro, F (corresponding author), Univ Politecn Madrid, ETSI Telecomunicac, Madrid 28040, Spain.</t>
  </si>
  <si>
    <t>Navarro, Francisco/L-2941-2014; Álvarez-Alonso, Marina/AEA-3444-2022</t>
  </si>
  <si>
    <t>Navarro, Francisco/0000-0002-5147-0067; BELLO PATRICIO, ANA BELEN/0000-0002-0108-7617</t>
  </si>
  <si>
    <t>10.3390/drones6120384</t>
  </si>
  <si>
    <t>7E0QQ</t>
  </si>
  <si>
    <t>WOS:000900884600001</t>
  </si>
  <si>
    <t>Riley, TR; Burton-Johnson, A; Flowerdew, MJ; Poblete, F; Castillo, P; Hervé, F; Leat, PT; Millar, IL; Bastias, J; Whitehouse, MJ</t>
  </si>
  <si>
    <t>Riley, Teal R.; Burton-Johnson, Alex; Flowerdew, Michael J.; Poblete, Fernando; Castillo, Paula; Herve, Francisco; Leat, Philip T.; Millar, Ian L.; Bastias, Joaquin; Whitehouse, Martin J.</t>
  </si>
  <si>
    <t>Palaeozoic - Early Mesozoic geological history of the Antarctic Peninsula and correlations with Patagonia: Kinematic reconstructions of the proto-Pacific margin of Gondwana</t>
  </si>
  <si>
    <t>Gondwana; Geochronology; GPlates; Continental margin arc; Famatinian</t>
  </si>
  <si>
    <t>ELLSWORTH-WHITMORE MOUNTAINS; U-PB GEOCHRONOLOGY; ROCAS VERDES BASIN; WEST ANTARCTICA; TRINITY PENINSULA; GRAHAM LAND; ZIRCON GEOCHRONOLOGY; TECTONIC EVOLUTION; DETRITAL ZIRCONS; HF ISOTOPE</t>
  </si>
  <si>
    <t>The Antarctic Peninsula preserves geological evidence of a long-lived continental margin with intrusive, volcaniclastic and accretionary complexes indicating a convergent margin setting from at least the Cambrian to the Cenozoic. We examine the poorly understood units and successions from the Palaeozoic to the Early Mesozoic and develop detailed kinematic reconstructions for this section of the margin. We use existing geochronology, along with newly presented U-Pb detrital zircon geochronology, combined with detailed field evidence to develop correlations between geological units and tectonic events across Patagonia and the proto-Antarctic Peninsula. The continental margin of Gondwana/Pangea was a convergent margin setting punctuated by crustal block translation, deformation, magmatic pulses (flare-ups) and development of thick accretionary complexes. These events are strongly linked to subducting slab dynamics and a para-autochthonous model is proposed for the long-lived margin. Major magmatic pulses are evident during the Ordovician (Famatinian) and Permian, and the magmatic record is reflected in the detrital zircon age profiles of metasedimentary successions of the northern Antarctic Peninsula and Tierra del Fuego. Major tectonic events during the Carboniferous - Permian (Gondwanide Orogeny) and Triassic (Chonide Event - Peninsula Orogeny) are recognised across the Antarctic Peninsula - Patagonia and are correlated to potential terrane suturing and flat slab dynamics. Our kinematic reconstructions developed in GPlates, combined with geological field relationships have allowed us to model the locus of magmatism relative to the active margin and also the likely source for thick sedimentary successions.</t>
  </si>
  <si>
    <t>[Riley, Teal R.; Burton-Johnson, Alex; Leat, Philip T.] British Antarctic Survey, Madingley Rd, Cambridge CB3 0ET, England; [Flowerdew, Michael J.] CASP, Madingley Rd, Cambridge CB3 0UD, England; [Poblete, Fernando; Herve, Francisco] Univ Chile, Fac Ciencias Fis &amp; Matemat, Dept Geol, Santiago, Chile; [Castillo, Paula] Westfalische Wilhelms Univ, Inst Geol &amp; Palaontol, Corrensstr 24, D-48149 Munster, Germany; [Leat, Philip T.] Univ Leicester, Sch Geog Geol &amp; Environm, Univ Rd, Leicester LE1 7RH, Leics, England; [Millar, Ian L.] British Geol Survey, Nottingham NG12 5GG, England; [Bastias, Joaquin] Trinity Coll Dublin, Dept Geol, Dublin 2, Ireland; [Bastias, Joaquin] Univ Santo Tomas, Fac Ingn, Escuela Geol, Santiago, Chile; [Whitehouse, Martin J.] Swedish Museum Nat Hist, Box 50007, SE-10405 Stockholm, Sweden</t>
  </si>
  <si>
    <t>UK Research &amp; Innovation (UKRI); Natural Environment Research Council (NERC); NERC British Antarctic Survey; University of Cambridge; Universidad de Chile; University of Munster; University of Leicester; UK Research &amp; Innovation (UKRI); Natural Environment Research Council (NERC); NERC British Geological Survey; Trinity College Dublin; Universidad Santo Tomas; Swedish Museum of Natural History</t>
  </si>
  <si>
    <t>Riley, TR (corresponding author), British Antarctic Survey, Madingley Rd, Cambridge CB3 0ET, England.</t>
  </si>
  <si>
    <t>trr@bas.ac.uk</t>
  </si>
  <si>
    <t>Millar, Ian L/F-1541-2010; Whitehouse, Martin J/E-1425-2013; Bastias, Joaquin/A-6995-2016</t>
  </si>
  <si>
    <t>Bastias, Joaquin/0000-0001-6678-3173; Riley, Teal/0000-0002-3333-5021; Flowerdew, Michael/0000-0002-9710-2593</t>
  </si>
  <si>
    <t>Natural Environmental Research Council</t>
  </si>
  <si>
    <t>Natural Environmental Research Council(UK Research &amp; Innovation (UKRI)Natural Environment Research Council (NERC))</t>
  </si>
  <si>
    <t>This study is part of the British Antarctic Survey Polar Science for Planet Earth programme, funded by the Natural Environmental Research Council. The paper has benefited considerably from the thorough reviews of four anonymous referees. This is Nordsim contribution number 273.</t>
  </si>
  <si>
    <t>10.1016/j.earscirev.2022.104265</t>
  </si>
  <si>
    <t>6W5JM</t>
  </si>
  <si>
    <t>WOS:000895765000001</t>
  </si>
  <si>
    <t>Yadav, J; Kumar, A; Mohan, R</t>
  </si>
  <si>
    <t>Yadav, Juhi; Kumar, Avinash; Mohan, Rahul</t>
  </si>
  <si>
    <t>Atmospheric precursors to the Antarctic sea ice record low in February 2022</t>
  </si>
  <si>
    <t>ENVIRONMENTAL RESEARCH COMMUNICATIONS</t>
  </si>
  <si>
    <t>sea ice decline; sea ice concentration; Amundsen sea low; Southern annular mode; Weddell sea</t>
  </si>
  <si>
    <t>SOUTHERN ANNULAR MODE; CLIMATE-CHANGE; VARIABILITY; OCEAN; HEMISPHERE; TRENDS; BEHAVIOR; IMPACTS</t>
  </si>
  <si>
    <t>Antarctic sea ice expansion and recession are asymmetric in nature, with regional and temporal variations. The decade-long overall increase in the Antarctic sea ice extent (SIE) until 2015 showed a decrease in recent years since satellite records were available. The present study focused on determining the atmospheric forcing and climate fluctuations responsible for the lowest SIE record in February 2022. Here, the lowest SIE record was assumed to result from the sea ice recession that began in September 2021. The SIE reached a record low of 2.16 x 10(6) km(2) in February 2022, which was 43% lower than the mean extent of the previous February months since the satellite era. However, the second-lowest SIE was recorded from November 2021 to January 2022. The Weddell Sea, Ross Sea, and Bellingshausen/Amundsen Seas (ABS) sectors experienced the maximum sea ice change on a regional scale. The record-low SIE occurred when the Amundsen Sea Low (ASL) pressure center was intensified, with the Southern Annular Mode (SAM) at its positive phase. Together, these two climate fluctuations played a role in modifying the pressure and wind patterns in Antarctica. The warm northerly winds largely contributed to decreased SIE. Further, the study investigated the Polar Cap Height (PCH), which demonstrates a strengthening of the stratospheric polar vortex and positive polarity of the SAM.</t>
  </si>
  <si>
    <t>[Yadav, Juhi; Kumar, Avinash; Mohan, Rahul] Govt India, Minist Earth Sci, Natl Ctr Polar &amp; Ocean Res, Vasco da Gama, Goa, India; [Yadav, Juhi] Mangalore Univ, Dept Marine Geol, Mangalore, India</t>
  </si>
  <si>
    <t>Ministry of Earth Sciences (MoES) - India; National Centre for Polar and Ocean Research (NCPOR); Mangalore University</t>
  </si>
  <si>
    <t>Kumar, A (corresponding author), Govt India, Minist Earth Sci, Natl Ctr Polar &amp; Ocean Res, Vasco da Gama, Goa, India.</t>
  </si>
  <si>
    <t>avinash@ncpor.res.in</t>
  </si>
  <si>
    <t>Yadav, Juhi/0000-0002-4575-7942; Avinash, Kumar/0000-0002-6511-8435</t>
  </si>
  <si>
    <t>University Grants Commission (UGC), New Delhi, India</t>
  </si>
  <si>
    <t>University Grants Commission (UGC), New Delhi, India(University Grants Commission, India)</t>
  </si>
  <si>
    <t>We gratefully acknowledge the Director, National Centre for Polar and Ocean Research (NCPOR) and Ministry of Earth Sciences (MoES), New Delhi, for continuous support. Juhi Yadav thanks the University Grants Commission (UGC), New Delhi, India, for the Senior Research Fellowship Award. The authors sincerely acknowledge various organizations, such as the National Snow and Ice Data Center (NSIDC), National Oceanic and Atmospheric Administration (NOAA), Copernicus Marine Environment Monitoring Service, National Centre for Atmospheric Research (NCAR), Technische Universitat Dresden, and the Polar Science Center, Applied Physics Laboratory, for providing various datasets available in their portals. We thank the editor and anonymous reviewers for their thorough review and constructive comments. This is NCPOR contribution no J- 48/2022-23.</t>
  </si>
  <si>
    <t>2515-7620</t>
  </si>
  <si>
    <t>ENVIRON RES COMMUN</t>
  </si>
  <si>
    <t>Environ. Res. Commun.</t>
  </si>
  <si>
    <t>10.1088/2515-7620/aca5f2</t>
  </si>
  <si>
    <t>6Z7AK</t>
  </si>
  <si>
    <t>WOS:000897924700001</t>
  </si>
  <si>
    <t>Campus, P; Swarts, ND; Mundy, C; Keane, JP; Gardner, C</t>
  </si>
  <si>
    <t>Campus, Paolo; Swarts, Nigel D. D.; Mundy, Craig; Keane, John P. P.; Gardner, Caleb</t>
  </si>
  <si>
    <t>Assessing Processing Waste from the Sea Urchin (Centrostephanus rodgersii) Fishery as an Organic Fertilizer</t>
  </si>
  <si>
    <t>seafood waste; sea urchin; Centrostephanus rodgersii; organic amendment; fertilizer; plant growth; tomato</t>
  </si>
  <si>
    <t>TOMATO LYCOPERSICON-ESCULENTUM; BLOSSOM-END ROT; FRUIT-QUALITY; CHEMICAL-COMPOSITION; POTASSIUM NUTRITION; PLANT-GROWTH; YIELD; SOIL; BORON; GREENHOUSE</t>
  </si>
  <si>
    <t>The longspined sea urchin, Centrostephanus rodgersii, is a climate-driven pest species in south-eastern Australia. The harvest of this species is highly encouraged and in Tasmania, the existing fishery is expanding resulting in a large amount of waste that needs disposal. Research into use of waste products as inputs for organic or biodynamic farming systems can help reduce costs of disposal and keep the industry profitable; by sustaining or incrementing sea urchin harvest the industry can assist in their control. In the current study, urchin waste was dried and finely ground to a powder and applied to tomato plants in a greenhouse to examine the effect on growth and productivity. Urchin waste powder (UWP) had a mineral composition of Ca (40 g 100 g(-1)), Mg (1.7 g 100 g(-1)), P (0.03 g 100 g(-1)), Fe (19.34 mg kg(-1)) and B (38 mg kg(-1)), a pH 8.06 in water and an Electrical Conductivity (EC) value of 7.64 dSm(-1). Seven different treatment rates of UWP (0.3%; 0.5%; 0.8%; 1%; 2%; 3%; 5%), were added to 10 replicate pots containing 4 kg nutrient-poor potting mix planted with tomato (Variety K1) seedlings. Plant growth, yield, quality attributes and mineral content of tomato were measured under UWP treatments with comparison against a Hoagland solution control. UWP influenced tomato growth and productivity proportional to the quantity applied, however, the Hoagland solution control had a significantly greater yield. Potting mix pH increased from 6.8 to 7 and higher available P was detected in potting mix receiving higher rates of UWP. No phytotoxic effects were detected. The highest UWP treatment matched the Hoagland control in fruit quality and nutritional composition. Processing waste from the sea urchin fishery has potential as organic fertiliser or amendment providing plant-available Ca and some microelements such as Boron.</t>
  </si>
  <si>
    <t>[Campus, Paolo; Mundy, Craig; Keane, John P. P.; Gardner, Caleb] Univ Tasmania, Inst Marine &amp; Antarctic Studies, Private Bag 49, Hobart, Tas 7052, Australia; [Swarts, Nigel D. D.] Univ Tasmania, Tasmanian Inst Agr, Sandy Bay Campus, Hobart, Tas 7005, Australia</t>
  </si>
  <si>
    <t>Campus, P (corresponding author), Univ Tasmania, Inst Marine &amp; Antarctic Studies, Private Bag 49, Hobart, Tas 7052, Australia.</t>
  </si>
  <si>
    <t>paolo.campus@utas.edu.au</t>
  </si>
  <si>
    <t>Mundy, Craig/G-3390-2014; Swarts, Nigel/D-9380-2012</t>
  </si>
  <si>
    <t>Mundy, Craig/0000-0002-1945-3750; Swarts, Nigel/0000-0002-4527-7658; Campus, Paolo/0000-0002-8608-0747; Keane, John Patrick/0000-0001-8950-5176</t>
  </si>
  <si>
    <t>10.3390/agronomy12122919</t>
  </si>
  <si>
    <t>7D3AF</t>
  </si>
  <si>
    <t>WOS:000900366900001</t>
  </si>
  <si>
    <t>Kukharchyk, TI; Kakareka, SV; Giginyak, YG</t>
  </si>
  <si>
    <t>Kukharchyk, T. I.; Kakareka, S. V.; Giginyak, Yu. G.</t>
  </si>
  <si>
    <t>Soils of the Broknes Peninsula, East Antarctica</t>
  </si>
  <si>
    <t>EURASIAN SOIL SCIENCE</t>
  </si>
  <si>
    <t>Cryosols; soil-forming factors; nutrients; exchangeable bases</t>
  </si>
  <si>
    <t>LARSEMANN HILLS; VICTORIA LAND; PRYDZ BAY; ICE-FREE; NUTRIENTS; AREA</t>
  </si>
  <si>
    <t>Data on weakly developed permafrost-affected soils (Cryosols) in the eastern part of Broknes Peninsula, the Larsemann Hills, East Antarctica are presented. Four key plots characterizing wet and dry habitats within two valleys, an elevated dry area with visual signs of salinization, and an area with a moss ecosystem were studied within the framework of the 12th Belarusian Antarctic Expedition in January-February 2020. Data on the soil particle-size distribution, bulk elemental composition, acidity, and the contents of organic carbon, total nitrogen, available nutrients, exchangeable bases, and water-soluble compounds are discussed. The variability of the main indicators of studied soils is shown. The Si2O3/R2O3 ratio varies from 2.9 (for the slopes of the valleys) to 5.2 (for the saline area). The highest contents of C-org (2.62%), N-tot (0.42%), and P2O5 (117.8 mg/kg) are characteristic of the soils of the moss ecosystem, as well as waterlogged habitats of wet valleys (1.84%, 0.20% and 108.2 mg/kg, respectively). The soils of saline area are characterized by an increased content of K2O (217.3 mg/kg) and a high percent of exchangeable sodium (up to 37-4 4%). The studied soils develop under different contributions of soil-forming factors with a dominance of lithogenic (site I), biogenic (site II), geomorphic (valley slopes at site III), and hydrological and biogenic (valley bottoms at sites III and IV) factors. Data on soil properties obtained in this study supplement the database on Antarctic soils and can be used as the basis for subsequent assessment of their functioning depending on climate change and anthropogenic loads.</t>
  </si>
  <si>
    <t>[Kukharchyk, T. I.; Kakareka, S. V.] Natl Acad Sci Belarus, Inst Nat Management, Minsk 220076, BELARUS; [Giginyak, Yu. G.] Natl Acad Sci Belarus, Sci &amp; Pract Ctr Bioresources, Minsk 220072, BELARUS</t>
  </si>
  <si>
    <t>National Academy of Sciences of Belarus (NASB); Institute for Nature Management of the National Academy of Sciences of Belarus; National Academy of Sciences of Belarus (NASB); Scientific &amp; Practical Center for Bioresources of the National Academy of Sciences of Belarus</t>
  </si>
  <si>
    <t>Kukharchyk, TI (corresponding author), Natl Acad Sci Belarus, Inst Nat Management, Minsk 220076, BELARUS.</t>
  </si>
  <si>
    <t>tkukharchyk@gmail.com</t>
  </si>
  <si>
    <t>1064-2293</t>
  </si>
  <si>
    <t>1556-195X</t>
  </si>
  <si>
    <t>EURASIAN SOIL SCI+</t>
  </si>
  <si>
    <t>Eurasian Soil Sci.</t>
  </si>
  <si>
    <t>10.1134/S1064229322700016</t>
  </si>
  <si>
    <t>6X5QS</t>
  </si>
  <si>
    <t>WOS:000896468300001</t>
  </si>
  <si>
    <t>Yakushev, AV; Velichko, NV; Fedorov-Davydov, DG; Mergelov, NS; Lupachev, AV; Rabochaya, DE; Belosokhov, AF; Soina, VS</t>
  </si>
  <si>
    <t>Yakushev, A. V.; Velichko, N. V.; Fedorov-Davydov, D. G.; Mergelov, N. S.; Lupachev, A. V.; Rabochaya, D. E.; Belosokhov, A. F.; Soina, V. S.</t>
  </si>
  <si>
    <t>Organization of Microbial Communities in Soils: Experiment with Fouling Glasses in Extreme Terrestrial Landscapes of Antarctica</t>
  </si>
  <si>
    <t>Antarctic soils; hypolithic horizons; biofilms; micromycetes; algae</t>
  </si>
  <si>
    <t>CYANOBACTERIAL DIVERSITY; BACTERIAL DIVERSITY; DRY VALLEYS; BIODIVERSITY; PERMAFROST</t>
  </si>
  <si>
    <t>The study of microbial complexes in organo-accumulative horizons of Antarctic soils (Cryosols, Leptosols) at the Larsemann Hills and Schirmacher oases and on King George Island has been carried out by the fouling glass method. This method allows one to study the taxonomic composition of microorganisms, features of their morphology, inter-organism interactions, and spatial organization of the complex of microorganisms, as well as to simulate the processes of colonization of mineral surfaces. The investigated microbial complexes can be subdivided into four groups with respect to dominant microorganisms: (1) diverse microbial complexes of King George Island with a considerable portion of diatoms among algae and with a predominance of mycelium in the fungal biomass; (2) complexes of lichen-moss, moss, and algal-moss associations in lake basins with a greater proportion of eukaryotic and coccoid cyanobacteria and with mycelium and sporous forms of micromycetes; (3) complexes of moss and algal-moss associations in the bottoms of wet valleys with a higher proportion of filamentous cyanobacteria and with the absence of fungi, or their presence in the form of short chains of chlamydospores; and (4) hypolithic microbial complexes of rock baths in dry rocky habitats, where the fouling of glasses did not take place. The microbial complexes in different glass samples taken in February-March in different years proved to be at different stages of development. Microscopic mycelium of fungi was not abundant in all algae and moss associations; in some, it was practically absent. Among algae, not cyanobacteria, but eukaryotic algae dominated in a number of habitats: diatoms, green algae, and streptophytes. The totality of the complex features indicated the extremity of the habitat: one morphotype of melanized fungal mycelium dominated in a particular sample; there was no diversity of spore forms, which indirectly indicates a low taxonomic diversity of fungi; multiple chlamydospore formation and microcycles of development were common. Among cyanobacteria, brown and reddish coloration was often found, and the formation of biofilms on glasses was limited to microcolonies, while algal biofilms abundantly covered the soil of the studied horizons. Apparently, extended biofilms were formed over time exceeding the exposure time of the glasses. Hypolithic communities did not colonize new habitats (glasses) for several years of exposure, unlike the bottoms of hydromorphic valleys and lake basins in oases (glasses overgrown in a year) and King George Island (glasses overgrown in 10 days).</t>
  </si>
  <si>
    <t>[Yakushev, A. V.; Belosokhov, A. F.; Soina, V. S.] Lomonosov Moscow State Univ, Moscow 119991, Russia; [Velichko, N. V.; Rabochaya, D. E.] St Petersburg State Univ, St Petersburg 199178, Russia; [Fedorov-Davydov, D. G.; Lupachev, A. V.] Russian Acad Sci, Inst Physicochem &amp; Biol Problems Soil Sci, Pushchino 142290, Russia; [Mergelov, N. S.] Russian Acad Sci, Inst Geog, Moscow 119017, Russia</t>
  </si>
  <si>
    <t>Lomonosov Moscow State University; Saint Petersburg State University; Russian Academy of Sciences; Pushchino Scientific Center for Biological Research (PSCBI) of the Russian Academy of Sciences; Institute of Physicohemical &amp; Biological Problems of Soil Science; Russian Academy of Sciences; Institute of Geography, Russian Academy of Sciences</t>
  </si>
  <si>
    <t>Yakushev, AV (corresponding author), Lomonosov Moscow State Univ, Moscow 119991, Russia.</t>
  </si>
  <si>
    <t>a_yakushev84@mail.ru</t>
  </si>
  <si>
    <t>Mergelov, Nikita S/D-2585-2015; Fedorov-Davydov, Dmitry G./J-5081-2018; Velichko, Natalia V./C-5665-2013</t>
  </si>
  <si>
    <t>Velichko, Natalia V./0000-0002-0540-9425</t>
  </si>
  <si>
    <t>Ministry of Science and Higher Education of the Russian Federation [121040800174-6, 22-24-00590]; Institute of Physicochemical and Biological Problems in Soil Science, Russian Academy of Sciences [121032300081-7]; Russian Science Foundation Biological Diversity of Cyano-prokaryotes in Antarctic Algobacterial Consortia, [075-15-2021-1396]; Institute of Geography, Russian Academy of Sciences [????-?18-118013190181-6]; [????-?19-119 02219 0169-5 (FMGE-2019-000 6)]</t>
  </si>
  <si>
    <t>Ministry of Science and Higher Education of the Russian Federation; Institute of Physicochemical and Biological Problems in Soil Science, Russian Academy of Sciences; Russian Science Foundation Biological Diversity of Cyano-prokaryotes in Antarctic Algobacterial Consortia,; Institute of Geography, Russian Academy of Sciences;</t>
  </si>
  <si>
    <t>The work of A.V. Yakushev was carried out within the framework of state assignment Soil Microbiomes: Genomic Diversity, Functional Activity, Geography, and Biotechnological Potential (project no. 121040800174-6)and with financial support of the Ministry of Science and Higher Education of the Russian Federation, project no. 075-15-2021-1396. The work of D.G. Fedorov-Davy-dov and A.V. Lupachev was carried out within the frame-work on state assignment of the Institute of Physicochemical and Biological Problems in Soil Science, Russian Academy of Sciences, project no. ????-?18-118013190181-6.The work of N.V. Velichko and D.E. Rabochaya had financial support within the framework of the project of the Russian Science Foundation Biological Diversity of Cyano-prokaryotes in Antarctic Algobacterial Consortia, project no. 22-24-00590. The work A.F. Belosokhov was carried out within the framework on state assignment Biological Diversity and Ecology of Fungi and Lichens as the Basis of Environmental Management, project no. 121032300081-7.The work of N.S. Mergelov was carried out within the framework on state assignment of the Institute of Geography, Russian Academy of Sciences, project no. ????-?19-119 02219 0169-5 (FMGE-2019-000 6)</t>
  </si>
  <si>
    <t>10.1134/S1064229322700089</t>
  </si>
  <si>
    <t>WOS:000896468300010</t>
  </si>
  <si>
    <t>Alekseev, G; Vyazilova, A; Smirnov, A</t>
  </si>
  <si>
    <t>Alekseev, Genrikh; Vyazilova, Anastasiia; Smirnov, Alexander</t>
  </si>
  <si>
    <t>Influence of Sea Surface Temperature in the Tropics on the Antarctic Sea Ice during Global Warming</t>
  </si>
  <si>
    <t>climate change; sea ice; Antarctic; tropic SST; ITCZ; Hadley cell</t>
  </si>
  <si>
    <t>HADLEY CIRCULATION; OCEAN; NORTH; VARIABILITY; REANALYSES; TRENDS; EXTENT</t>
  </si>
  <si>
    <t>Sea ice extent in the Antarctica, unlike in the Arctic, did not show a decrease until 2016 under observed global warming. The aim of the study is to explain this climatic phenomenon based on the idea of joint dynamics of the Southern Ocean oceanic structures-the Antarctic polar front, the boundary of the maximum sea ice extent and atmospheric structures-Intratropical Convection Zone (ITCZ) and the Hadley circulation. ERA5 reanalysis and HadISST data were used as well as the sea ice database for the period 1979-2021. The effect of SST at low latitudes of the North Atlantic on the position of the Antarctic polar front and the maximum sea ice extent has been established. The SST in the same area of the North Atlantic has an opposite effect on the sea ice extent in the Arctic. The impact of the SST on the sea ice is mediated through the ITCZ and the Hadley circulation. The obtained results confirmed the key role of the SST at the low latitudes of the North Atlantic in the development of multidirectional trends in changes in the Arctic and the Antarctic ice cover in 1979-2016.</t>
  </si>
  <si>
    <t>[Alekseev, Genrikh; Vyazilova, Anastasiia; Smirnov, Alexander] Arctic &amp; Antarctic Res Inst, St Petersburg 199397, Russia</t>
  </si>
  <si>
    <t>Alekseev, G (corresponding author), Arctic &amp; Antarctic Res Inst, St Petersburg 199397, Russia.</t>
  </si>
  <si>
    <t>alexgv@aari.ru</t>
  </si>
  <si>
    <t>Smirnov, Alexander/J-5935-2014; Alekseev, Genrikh/R-8785-2016</t>
  </si>
  <si>
    <t>Smirnov, Alexander/0000-0003-3231-7283; Alekseev, Genrikh/0000-0001-5630-647X; Vyazilova, Anastasia/0000-0001-5657-7309</t>
  </si>
  <si>
    <t>10.3390/jmse10121859</t>
  </si>
  <si>
    <t>7E2DE</t>
  </si>
  <si>
    <t>WOS:000900984800001</t>
  </si>
  <si>
    <t>Qu, CF; Li, NX; Liu, TL; He, YY; Miao, JL</t>
  </si>
  <si>
    <t>Qu, Changfeng; Li, Nianxu; Liu, Tianlong; He, Yingying; Miao, Jinlai</t>
  </si>
  <si>
    <t>Preparation of CPD Photolyase Nanoliposomes Derived from Antarctic Microalgae and Their Effect on UVB-Induced Skin Damage in Mice</t>
  </si>
  <si>
    <t>Antarctic microalgae; CPD photolyase; nanoliposome; DNA repair; MAPK pathway; MMP</t>
  </si>
  <si>
    <t>CYCLOBUTANE PYRIMIDINE DIMERS; DNA-REPAIR ENZYMES; NF-KAPPA-B; TOPICAL APPLICATION; MATRIX METALLOPROTEINASES; ULTRAVIOLET-LIGHT; ACTINIC KERATOSIS; CRYSTAL-STRUCTURE; IRRADIATION; OXYGEN</t>
  </si>
  <si>
    <t>UVB radiation is known to trigger the block of DNA replication and transcription by forming cyclobutane pyrimidine dimer (CPD), which results in severe skin damage. CPD photolyase, a kind of DNA repair enzyme, can efficiently repair CPDs that are absent in humans and mice. Although exogenous CPD photolyases have beneficial effects on skin diseases, the mechanisms of CPD photolyases on the skin remain unknown. Here, this study prepared CPD photolyase nanoliposomes (CPDNL) from Antarctic Chlamydomonas sp. ICE-L, which thrives in harsh, high-UVB conditions, and evaluated their protective mechanisms against UVB-induced damage in mice. CPDNL were optimized using response surface methodology, characterized by a mean particle size of 105.5 nm, with an encapsulation efficiency of 63.3%. Topical application of CPDNL prevented UVB-induced erythema, epidermal thickness, and wrinkles in mice. CPDNL mitigated UVB-induced DNA damage by significantly decreasing the CPD concentration. CPDNL exhibited antioxidant properties as they reduced the production of reactive oxygen species (ROS) and malondialdehyde. Through activation of the NF-kappa B pathway, CPDNL reduced the expression of pro-inflammatory cytokines including IL-6, TNF-alpha, and COX-2. Furthermore, CPDNL suppressed the MAPK signaling activation by downregulating the mRNA and protein expression of ERK, JNK, and p38 as well as AP-1. The MMP-1 and MMP-2 expressions were also remarkably decreased, which inhibited the collagen degradation. Therefore, we concluded that CPDNL exerted DNA repair, antioxidant, anti-inflammation, and anti-wrinkle properties as well as collagen protection via regulation of the NF-kappa B/MAPK/MMP signaling pathways in UVB-induced mice, demonstrating that Antarctic CPD photolyases have the potential for skincare products against UVB and photoaging.</t>
  </si>
  <si>
    <t>[Qu, Changfeng; Li, Nianxu; Liu, Tianlong; He, Yingying; Miao, Jinlai] Minist Nat Resources, Inst Oceanog 1, Key Lab Marine Ecoenvironm Sci &amp; Technol, Qingdao 266061, Peoples R China; [Qu, Changfeng; Miao, Jinlai] Qingdao Pilot Natl Lab Marine Sci &amp; Technol, Lab Marine Drugs &amp; Bioprod, Qingdao 266237, Peoples R China; [Qu, Changfeng; Miao, Jinlai] Qingdao Key Lab, Marine Nat Prod Res &amp; Dev Lab, Qingdao 266061, Peoples R China</t>
  </si>
  <si>
    <t>First Institute of Oceanography, Ministry of Natural Resources; Ministry of Natural Resources of the People's Republic of China; Laoshan Laboratory</t>
  </si>
  <si>
    <t>Miao, JL (corresponding author), Minist Nat Resources, Inst Oceanog 1, Key Lab Marine Ecoenvironm Sci &amp; Technol, Qingdao 266061, Peoples R China.;Miao, JL (corresponding author), Qingdao Pilot Natl Lab Marine Sci &amp; Technol, Lab Marine Drugs &amp; Bioprod, Qingdao 266237, Peoples R China.;Miao, JL (corresponding author), Qingdao Key Lab, Marine Nat Prod Res &amp; Dev Lab, Qingdao 266061, Peoples R China.</t>
  </si>
  <si>
    <t>miaojinlai@fio.org.cn</t>
  </si>
  <si>
    <t>Liu, Tianlong/J-7139-2019; He, Ying Ying/HZL-0137-2023</t>
  </si>
  <si>
    <t>Liu, Tianlong/0000-0003-3204-393X; He, Ying Ying/0000-0002-8759-3157</t>
  </si>
  <si>
    <t>Basic Scientific Fund for the National Public Research Institutes of China [2020Q02]; Science and Technology Planning Project of Guangxi [AA21196002]; Natural Science Foundation of China [32000074, 42176130]; Natural Science Foundation of Shandong Province [ZR2021MD044]; Tai Mountain Industry Leading Talent of Shandong [2019TSCYCX-06]; Key Research and Development Program of Shandong Province [2021TZXD008]; Shandong Program of Qingdao Pilot National Laboratory for Marine Science and Technology [2022QNLM030003-1]; Biosafety Research Program [20SWAQX04]</t>
  </si>
  <si>
    <t>Basic Scientific Fund for the National Public Research Institutes of China; Science and Technology Planning Project of Guangxi; Natural Science Foundation of China(National Natural Science Foundation of China (NSFC)); Natural Science Foundation of Shandong Province(Natural Science Foundation of Shandong Province); Tai Mountain Industry Leading Talent of Shandong; Key Research and Development Program of Shandong Province; Shandong Program of Qingdao Pilot National Laboratory for Marine Science and Technology; Biosafety Research Program</t>
  </si>
  <si>
    <t>This research was funded by the Basic Scientific Fund for the National Public Research Institutes of China (2020Q02), the Science and Technology Planning Project of Guangxi (AA21196002), Natural Science Foundation of China (32000074, 42176130), the Natural Science Foundation of Shandong Province (ZR2021MD044), the Tai Mountain Industry Leading Talent of Shandong (2019TSCYCX-06), the Key Research and Development Program of Shandong Province (2021TZXD008), the Biosafety Research Program (20SWAQX04), and the Shandong Program of Qingdao Pilot National Laboratory for Marine Science and Technology (2022QNLM030003-1).</t>
  </si>
  <si>
    <t>10.3390/ijms232315148</t>
  </si>
  <si>
    <t>6Y7HR</t>
  </si>
  <si>
    <t>WOS:000897262300001</t>
  </si>
  <si>
    <t>Dong, LS; Cao, TQ; Liu, ZM; Tuan, NQ; Kim, YC; Sohn, JH; Yim, JH; Lee, DS; Oh, H</t>
  </si>
  <si>
    <t>Dong, Linsha; Cao, Thao Quyen; Liu, Zhiming; Tuan, Nguyen Quoc; Kim, Youn-Chul; Sohn, Jae Hak; Yim, Joung Han; Lee, Dong-Sung; Oh, Hyuncheol</t>
  </si>
  <si>
    <t>Anti-Inflammatory Effects Exerted by 14-Methoxyalternate C from Antarctic Fungal Strain Pleosporales sp. SF-7343 via the Regulation of NF-?B and JAK2/STAT3 in HaCaT Human Keratinocytes</t>
  </si>
  <si>
    <t>Antarctic fungi; skin inflammation; JAK2/STAT3; NF-kappa B; HaCaT</t>
  </si>
  <si>
    <t>ATOPIC-DERMATITIS; METABOLITES</t>
  </si>
  <si>
    <t>Atopic dermatitis (AD) is a chronic inflammatory skin disease with a profound negative impact on patients' quality of life. Four known secondary fungal metabolites were found in the chemical study of the Antarctic fungus Pleosporales sp. SF-7343, including 14-methoxyalternate C (1), 5 &amp; PRIME;-methoxy-6-methyl-biphenyl-3,4,3 &amp; PRIME;-triol (2), 3,8,10-trihydroxy-4-methoxy-6-methylbenzocoumarin (3), and alternariol monomethyl ether (4). Additionally, we identified the skin anti-inflammatory composition from the SF-7343 strain. Interleukin-8 and -6 Screening results showed that compound 1 inhibited IL-8 and IL-6 in tumor necrosis factor-alpha/interferon-gamma stimulated HaCaT cells. Compound 1 showed inhibitory effects on MDC and RANTES. It also downregulated the expression of intercellular adhesion molecule-1 (ICAM-1) and upregulated the expression of involucrin. The results of the mechanistic study showed that compound 1 inhibited the nuclear translocation of nuclear factor-kappa B p65 and STAT3. In conclusion, this study demonstrates the potential of the Antarctic fungal strain SF-7343 as a bioactive resource to inhibit skin inflammation, such as AD.</t>
  </si>
  <si>
    <t>[Dong, Linsha; Liu, Zhiming; Lee, Dong-Sung] Chosun Univ, Coll Pharm, Gwangju Gwangyeogsi 61452, South Korea; [Cao, Thao Quyen; Tuan, Nguyen Quoc; Kim, Youn-Chul; Oh, Hyuncheol] Wonkwang Univ, Inst Pharmaceut Res &amp; Dev, Coll Pharm, Iksan 54538, South Korea; [Cao, Thao Quyen; Tuan, Nguyen Quoc; Oh, Hyuncheol] Wonkwang Univ, Hanbang Cardiorenal Syndrome Res Ctr, Iksan 54538, South Korea; [Sohn, Jae Hak] Silla Univ, Coll Med &amp; Life Sci, Pusan 46958, South Korea; [Yim, Joung Han] Korea Polar Res Inst, Div Polar Life Sci, Incheon Gwangyeogsi 21990, South Korea</t>
  </si>
  <si>
    <t>Chosun University; Wonkwang University; Wonkwang University; Silla University; Korea Polar Research Institute (KOPRI)</t>
  </si>
  <si>
    <t>Lee, DS (corresponding author), Chosun Univ, Coll Pharm, Gwangju Gwangyeogsi 61452, South Korea.;Oh, H (corresponding author), Wonkwang Univ, Inst Pharmaceut Res &amp; Dev, Coll Pharm, Iksan 54538, South Korea.;Oh, H (corresponding author), Wonkwang Univ, Hanbang Cardiorenal Syndrome Res Ctr, Iksan 54538, South Korea.</t>
  </si>
  <si>
    <t>dslee2771@chosun.ac.kr; hoh@wku.ac.kr</t>
  </si>
  <si>
    <t>Korea Polar Research Institute (KOPRI) - Ministry of Oceans and Fisheries (KOPRI project) [PE22150]; Chosun University [K207334004]</t>
  </si>
  <si>
    <t>Korea Polar Research Institute (KOPRI) - Ministry of Oceans and Fisheries (KOPRI project); Chosun University</t>
  </si>
  <si>
    <t>This work was supported by Korea Polar Research Institute (KOPRI) grant funded by the Ministry of Oceans and Fisheries (KOPRI project No. PE22150) and Chosun University in 2021 (K207334004).</t>
  </si>
  <si>
    <t>10.3390/ijms232314642</t>
  </si>
  <si>
    <t>6Z8GU</t>
  </si>
  <si>
    <t>WOS:000898009200001</t>
  </si>
  <si>
    <t>Wang, ZW; Liu, FJ; Luo, Y; Zeng, XB; Pei, XC; Zhao, GH; Zhang, M; Zhou, DY; Yin, FW</t>
  </si>
  <si>
    <t>Wang, Ziwei; Liu, Fujun; Luo, Ying; Zeng, Xiangbo; Pei, Xuechen; Zhao, Guanhua; Zhang, Min; Zhou, Dayong; Yin, Fawen</t>
  </si>
  <si>
    <t>Effects of Tea Polyphenol and Its Combination with Other Antioxidants Added during the Extraction Process on Oxidative Stability of Antarctic Krill (Euphausia superba) Oil</t>
  </si>
  <si>
    <t>FOODS</t>
  </si>
  <si>
    <t>antarctic krill; oil; antioxidant; tea polyphenol; composite antioxidants; ethanol</t>
  </si>
  <si>
    <t>POLYUNSATURATED FATTY-ACIDS; CHEMICAL-COMPOSITION; MINOR COMPONENTS; FISH-OIL; PHOSPHOLIPIDS</t>
  </si>
  <si>
    <t>Antarctic krill (Euphausia superba) oil contains high levels of marine omega-3 long-chain polyunsaturated fatty acids (n-3 LC-PUFA), including eicosapentaenoic acid (EPA) and docosahexaenoic acid (DHA). In industrial production, krill oil is usually extracted from krill meals by using ethanol as a solvent. Water in the krill meal can be easily extracted by using ethanol as an extraction solvent. During the extraction process, the EPA and DHA are more easily oxidized and degraded when water exists in the ethanol extract of krill oil. Based on the analysis of peroxide value (POV), thiobarbituric acid-reactive substances (TBARS), fatty acid composition, and lipid class composition, the present study indicated that the composite antioxidants (TP-TPP) consist of tea polyphenol (TP) and tea polyphenol palmitate (TPP) had an excellent antioxidant effect. By contrast, adding TP-TPP into ethanol solvent during the extraction process is more effective than adding TP-TPP into krill oil after the extraction process.</t>
  </si>
  <si>
    <t>[Wang, Ziwei; Luo, Ying; Zeng, Xiangbo; Pei, Xuechen; Zhao, Guanhua; Zhang, Min; Zhou, Dayong; Yin, Fawen] Dalian Polytech Univ, Sch Food Sci &amp; Technol, Dalian 116034, Peoples R China; [Liu, Fujun] Liao Fishing Grp Ltd Co, Dalian 116000, Peoples R China; [Zhou, Dayong; Yin, Fawen] Dalian Polytech Univ, Natl Engn Res Ctr Seafood, Dalian 116034, Peoples R China; [Zhou, Dayong; Yin, Fawen] Collaborat Innovat Ctr Seafood Deep Proc, Dalian 116034, Peoples R China</t>
  </si>
  <si>
    <t>Dalian Polytechnic University; Dalian Polytechnic University</t>
  </si>
  <si>
    <t>Yin, FW (corresponding author), Dalian Polytech Univ, Sch Food Sci &amp; Technol, Dalian 116034, Peoples R China.;Yin, FW (corresponding author), Dalian Polytech Univ, Natl Engn Res Ctr Seafood, Dalian 116034, Peoples R China.;Yin, FW (corresponding author), Collaborat Innovat Ctr Seafood Deep Proc, Dalian 116034, Peoples R China.</t>
  </si>
  <si>
    <t>yinfawen@dlpu.edu.cn</t>
  </si>
  <si>
    <t>Zhao, Guan-hua/AGL-8404-2022; li, yansong/JXL-5023-2024; wang, ziwei/HQY-9921-2023; zeng, xiangbo/H-6238-2011</t>
  </si>
  <si>
    <t>Zhao, Guan-hua/0000-0002-9040-2622;</t>
  </si>
  <si>
    <t>2304-8158</t>
  </si>
  <si>
    <t>Foods</t>
  </si>
  <si>
    <t>10.3390/foods11233768</t>
  </si>
  <si>
    <t>6X5XZ</t>
  </si>
  <si>
    <t>WOS:000896487400001</t>
  </si>
  <si>
    <t>Bitiutskii, DG; Samyshev, EZ; Minkina, NI; Melnikov, VV; Chudinovskih, ES; Usachev, SL; Salyuk, PA; Serebrennikov, AN; Zuev, OA; Orlov, AM</t>
  </si>
  <si>
    <t>Bitiutskii, Dmitrii G. G.; Samyshev, Ernest Z. Z.; Minkina, Natalia I. I.; Melnikov, Victor V. V.; Chudinovskih, Elena S. S.; Usachev, Sergei L. I.; Salyuk, Pavel A. A.; Serebrennikov, Alexander N. N.; Zuev, Oleg A. A.; Orlov, Alexei M. M.</t>
  </si>
  <si>
    <t>Distribution and Demography of Antarctic Krill and Salps in the Atlantic Sector of the Southern Ocean during Austral Summer 2021-2022</t>
  </si>
  <si>
    <t>chlorophyll a; Euphausiacea; Euphausia superba; Salpa thompsoni; planktonic tunicate; climate change; feeding competition</t>
  </si>
  <si>
    <t>EUPHAUSIA-SUPERBA; BRANSFIELD STRAIT; CHLOROPHYLL ALGORITHMS; GROWTH-RATES; ECOSYSTEM; ECOLOGY; LENGTH; FOOD; SEA; COMMUNITIES</t>
  </si>
  <si>
    <t>The study aimed to investigate krill (Euphausia superba) and salp (Salpa thompsoni) populations in the Atlantic sector of the Southern Ocean in January and February 2022. Samples were obtained to measure the abundance, biomass and distribution patterns of krill and salp. Sex differences and feeding habits of the Antarctic krill were determined. The dependence of the physiological state of the studied aquatic organisms on changes in environmental parameters was analyzed. Current data on the association of the dynamics of hydrometeorological parameters and processes with the distribution of chlorophyll a, krill, and salp were obtained. It was established that, at numerous stations, the biomass of salps prevailed over krill. The result indicates the replacement of the Antarctic krill populations by gelatinous zooplankton. The obtained results allow assessment of the biological resource potential in the studied region based on the analysis of the samples collected.</t>
  </si>
  <si>
    <t>[Bitiutskii, Dmitrii G. G.; Usachev, Sergei L. I.] Russian Fed Res Inst Fisheries &amp; Oceanog, Sect World Ocean, Azov Black Sea Branch, AzNIIRKH, Rostov Na Donu 344002, Russia; [Bitiutskii, Dmitrii G. G.] Russian Acad Sci, Environm Biochem Lab, Inst Biol, Karelian Res Ctr, Petrozavodsk 185910, Russia; [Samyshev, Ernest Z. Z.; Minkina, Natalia I. I.; Melnikov, Victor V. V.; Chudinovskih, Elena S. S.] RAS, AO Kovalevsky Inst Biol Southern Seas, Sevastopol 299002, Russia; [Salyuk, Pavel A. A.] Russian Acad Sci, VI Ilichev Pacific Oceanol Inst, Far Eastern Branch, Vladivostok 690041, Russia; [Serebrennikov, Alexander N. N.] Russian Acad Sci, Inst Nat &amp; Tech Syst, Sevastopol 299011, Russia; [Zuev, Oleg A. A.; Orlov, Alexei M. M.] Russian Acad Sci, Shirshov Inst Oceanol, Moscow 117997, Russia; [Orlov, Alexei M. M.] Tomsk State Univ, Dept Ichthyol &amp; Hydrobiol, Tomsk 634050, Russia</t>
  </si>
  <si>
    <t>Research lnstitute of Fisheries &amp; Oceanography; Azov Sea Research Fisheries Institute; Russian Academy of Sciences; Karelian Research Centre of the Russian Academy of Sciences; Institute of Biology of Karelian Research Centre RAS; Russian Academy of Sciences; AO Kovalevsky Institute of Biology of the Southern Seas of RAS (IBSS); Ilichev Pacific Oceanological Institute; Russian Academy of Sciences; Russian Academy of Sciences; Institute of Natural &amp; Technical Systems of the RAS; Russian Academy of Sciences; Shirshov Institute of Oceanology; Tomsk State University</t>
  </si>
  <si>
    <t>Melnikov, VV (corresponding author), RAS, AO Kovalevsky Inst Biol Southern Seas, Sevastopol 299002, Russia.</t>
  </si>
  <si>
    <t>sevlin@rambler.ru</t>
  </si>
  <si>
    <t>Orlov, Alexei M./E-2036-2012; Salyuk, Pavel/E-8592-2014; Bitiutskii, Dmitrii/GRS-3239-2022; Zuev, Oleg/ISA-8095-2023; Serebrennikov, Alexandr/AAS-2905-2020; Victor, Melnikov/N-9219-2014</t>
  </si>
  <si>
    <t>Orlov, Alexei M./0000-0002-0877-2553; Bitiutskii, Dmitrii/0000-0002-8396-9620; Serebrennikov, Alexandr/0000-0002-8650-8168; Zuev, Oleg/0000-0001-6856-4783; Usachev, Sergei/0000-0002-9163-4011; Victor, Melnikov/0000-0001-6856-0467</t>
  </si>
  <si>
    <t>10.3390/w14233812</t>
  </si>
  <si>
    <t>6X6BV</t>
  </si>
  <si>
    <t>WOS:000896497400001</t>
  </si>
  <si>
    <t>Zabolotskikh, E; Azarov, S</t>
  </si>
  <si>
    <t>Zabolotskikh, Elizaveta; Azarov, Sergey</t>
  </si>
  <si>
    <t>Wintertime Emissivities of the Arctic Sea Ice Types at the AMSR2 Frequencies</t>
  </si>
  <si>
    <t>arctic; AMSR2; emissivity; sea ice</t>
  </si>
  <si>
    <t>MICROWAVE EMISSION; PHYSICAL-PROPERTIES; SNOW; RETRIEVALS; SIGNATURES; IMAGERY; SUMMER</t>
  </si>
  <si>
    <t>The surface effective emissivities of Arctic sea ice are calculated using Advanced Microwave Scanning Radiometer 2 (AMSR2) measurements. These emissivities are analyzed for stable winter conditions during the months of January-May and November and December of 2020 for several main sea ice types defined with the sea ice maps of the Arctic and Antarctic Research Institute (AARI). The sea ice emissivities are derived from the AMSR2 data using the radiation transfer model for a non-scattering atmosphere and ERA5 reanalysis data. The emissivities are analyzed only for areas of totally consolidated sea ice of definite types. Probability distribution functions are built for the emissivities and their functions for such sea ice types as nilas, young ice, thin first-year (FY) ice, medium FY ice, thick FY ice and multi-year ice. The emissivity variations with frequency are estimated for each of the considered sea ice type for all seven months. The variations are calculated both for the emissivities and for their gradients at the AMSR2 channel frequencies. Obtained emissivities turned out to be generally lower than reported previously in scientific studies, whereas the emissivity variability values proved to be much larger than was known before. For all FY ice types, at all the frequencies, an increase in the emissivity at the beginning of winter and its decrease by the end of May are observed. The emissivity gradients demonstrate noticeable decreases with sea ice age, and their values may be used in sea ice classification algorithms based on the AMSR2 data.</t>
  </si>
  <si>
    <t>[Zabolotskikh, Elizaveta; Azarov, Sergey] Russian State Hydrometeorol Univ, Satellite Oceanog Lab, St Petersburg 195196, Russia</t>
  </si>
  <si>
    <t>Russian State Hydrometeorological University</t>
  </si>
  <si>
    <t>Zabolotskikh, E (corresponding author), Russian State Hydrometeorol Univ, Satellite Oceanog Lab, St Petersburg 195196, Russia.</t>
  </si>
  <si>
    <t>liza@rshu.ru</t>
  </si>
  <si>
    <t>10.3390/rs14235927</t>
  </si>
  <si>
    <t>6W9IP</t>
  </si>
  <si>
    <t>WOS:000896040100001</t>
  </si>
  <si>
    <t>Monk, J; Barrett, N</t>
  </si>
  <si>
    <t>Monk, Jacquomo; Barrett, Neville</t>
  </si>
  <si>
    <t>Stealthier than we thought</t>
  </si>
  <si>
    <t>FRONTIERS IN ECOLOGY AND THE ENVIRONMENT</t>
  </si>
  <si>
    <t>[Monk, Jacquomo; Barrett, Neville] Univ Tasmania, Inst Marine &amp; Antarctic Studies, Hobart, Australia</t>
  </si>
  <si>
    <t>Monk, J (corresponding author), Univ Tasmania, Inst Marine &amp; Antarctic Studies, Hobart, Australia.</t>
  </si>
  <si>
    <t>Barrett, Neville/J-7593-2014</t>
  </si>
  <si>
    <t>Barrett, Neville/0000-0002-6167-1356</t>
  </si>
  <si>
    <t>1540-9295</t>
  </si>
  <si>
    <t>1540-9309</t>
  </si>
  <si>
    <t>FRONT ECOL ENVIRON</t>
  </si>
  <si>
    <t>Front. Ecol. Environ.</t>
  </si>
  <si>
    <t>10.1002/fee.2578</t>
  </si>
  <si>
    <t>6S3TW</t>
  </si>
  <si>
    <t>WOS:000892914600006</t>
  </si>
  <si>
    <t>Rodger, CJ; Clilverd, MA; Hendry, AT; Forsyth, C</t>
  </si>
  <si>
    <t>Rodger, Craig J.; Clilverd, Mark A.; Hendry, Aaron T.; Forsyth, Colin</t>
  </si>
  <si>
    <t>Examination of Radiation Belt Dynamics During Substorm Clusters: Magnetic Local Time Variation and Intensity of Precipitating Fluxes</t>
  </si>
  <si>
    <t>JOURNAL OF GEOPHYSICAL RESEARCH-SPACE PHYSICS</t>
  </si>
  <si>
    <t>radiation belt electrons; radiation belt precipitation; magnetospheric substorm; whistler mode chorus</t>
  </si>
  <si>
    <t>ENERGETIC ELECTRON-PRECIPITATION; SOLAR-WIND; RELATIVISTIC ELECTRONS; WAVES; ACCELERATION; IMPACT; SEED</t>
  </si>
  <si>
    <t>Substorms are short-lived but significant reconfigurations of the geomagnetic field during which energetic particles are injected into the inner magnetosphere close to magnetic midnight. There is currently a need to quantify substorm-driven energetic electron precipitation (EEP) to better understand its role in radiation belt dynamics and to quantify its impact on the atmosphere. As substorm injections trigger chorus waves, which have strong MLT, AE, and L-shell dependence, we investigate the dependence of EEP in terms of these variables. We utilize many decades of low Earth orbit satellite observations to examine the typical statistical variability around substorm events identified by the Substorm Onsets and Phases from Indices of the Electrojet (SOPHIE) algorithm. In contrast to trapped flux enhancements, enhanced EEP is found to occur even for the quietest AE range of those considered (AE &lt;= 100 nT, 100 nT &lt; AE &lt;= 300 nT, AE &gt;= 300 nT). The MLT-dependent analysis for all AE-ranges shows a well-defined variation in &gt;30 keV EEP magnitude, with a distinct and deep minimum in the late afternoon sector (15-18 MLT), and maxima in the mid to late morning sector (6-12 MLT). The patterns show similarities to previously published whistler-mode lower band chorus distributions with MLT. Clusters of substorms reliably produce enhancements in electron precipitation for &gt;30 keV and &gt;300 keV, with steadily increasing peak precipitation magnitudes with increasing AE. The peak precipitation flux L-shell also moves inwards with increasing AE, in a similar way for the two energy ranges.</t>
  </si>
  <si>
    <t>[Rodger, Craig J.; Hendry, Aaron T.] Univ Otago, Dept Phys, Dunedin, New Zealand; [Clilverd, Mark A.] British Antarctic Survey NERC, Cambridge, England; [Forsyth, Colin] UCL Mullard Space Sci Lab, Dorking, Surrey, England</t>
  </si>
  <si>
    <t>University of Otago; UK Research &amp; Innovation (UKRI); Natural Environment Research Council (NERC); NERC British Antarctic Survey; University of London; University College London</t>
  </si>
  <si>
    <t>Rodger, CJ (corresponding author), Univ Otago, Dept Phys, Dunedin, New Zealand.</t>
  </si>
  <si>
    <t>craig.rodger@otago.ac.nz</t>
  </si>
  <si>
    <t>Rodger, Craig/A-1501-2011; Forsyth, Colin/E-4159-2010</t>
  </si>
  <si>
    <t>Forsyth, Colin/0000-0002-0026-8395; Rodger, Craig J./0000-0002-6770-2707</t>
  </si>
  <si>
    <t>2169-9380</t>
  </si>
  <si>
    <t>2169-9402</t>
  </si>
  <si>
    <t>J GEOPHYS RES-SPACE</t>
  </si>
  <si>
    <t>J. Geophys. Res-Space Phys.</t>
  </si>
  <si>
    <t>e2022JA030750</t>
  </si>
  <si>
    <t>10.1029/2022JA030750</t>
  </si>
  <si>
    <t>8N3GL</t>
  </si>
  <si>
    <t>WOS:000925036400001</t>
  </si>
  <si>
    <t>Wang, JY; Yi, W; Wu, JF; Chen, TD; Xue, XH; Zeng, J; Vincent, RA; Reid, IM; Batista, PP; Buriti, RA; Tsuda, T; Mitchell, NJ; Dou, XK</t>
  </si>
  <si>
    <t>Wang, Jianyuan; Yi, Wen; Wu, Jianfei; Chen, Tingdi; Xue, Xianghui; Zeng, Jie; Vincent, Robert A.; Reid, Iain M.; Batista, Paulo P.; Buriti, Ricardo A.; Tsuda, Toshitaka; Mitchell, Nicholas J.; Dou, Xiankang</t>
  </si>
  <si>
    <t>Coordinated Observations of Migrating Tides by Multiple Meteor Radars in the Equatorial Mesosphere and Lower Thermosphere</t>
  </si>
  <si>
    <t>meteor radar; atmospheric tides; migrating tides</t>
  </si>
  <si>
    <t>EXTENDED UNIFIED MODEL; SEMIDIURNAL TIDES; DIURNAL TIDE; ATMOSPHERE; WINDS; OSCILLATION; TEMPERATURE; VARIABILITY; SYSTEM; CHAIN</t>
  </si>
  <si>
    <t>We present the migrating tidal winds decomposed jointly from multiple meteor radars in four longitudinal sectors situated in the equatorial mesosphere and lower thermosphere. The radars are located in Cariri, Brazil (7.4 degrees S, 36.5 degrees W), Kototabang, Indonesia (0.2 degrees S, 100.3 degrees E), Ascension Island, United Kingdom (7.9 degrees S, 14.4 degrees W), and Darwin, Australia (12.3 degrees S, 130.8 degrees E). Harmonic analysis was used to obtain amplitudes and phases for diurnal and semidiurnal solar migrating tides between 82 and 98 km altitude during the period 2005-2008. To verify the reliability of the tidal components calculated by the four meteor radar wind measurements, we also present a similar analysis for the Whole Atmosphere Community Climate Model winds, which suggests that the migrating tides are well observed by the four different radars. The tides include the important tidal components of diurnal westward-propagating zonal wavenumber 1 and semidiurnal westward-propagating zonal wavenumber 2. In addition, the results based on observations were compared with the Climatological Tidal Model of the Thermosphere (CTMT). In general, in terms of climatic features, our results for the major components of migrating tides are qualitatively consistent with the CTMT models derived from satellite data. In addition, the tidal amplitudes are unusually stronger in January-February 2006. This result is probably because tides were enhanced by the 2006 Northern Hemisphere stratospheric sudden warming event.</t>
  </si>
  <si>
    <t>[Wang, Jianyuan; Yi, Wen; Wu, Jianfei; Chen, Tingdi; Xue, Xianghui; Zeng, Jie; Dou, Xiankang] Univ Sci &amp; Technol China, Deep Space Explorat Lab, Sch Earth &amp; Space Sci, Hefei, Peoples R China; [Wang, Jianyuan; Yi, Wen; Wu, Jianfei; Chen, Tingdi; Xue, Xianghui; Zeng, Jie] Univ Sci &amp; Technol China, CAS Key Lab Geospace Environm, CAS Ctr Excellence Comparat Planetol Anhui Mengch, Anhui Mengcheng Geophys Natl Observat &amp; Res Stn, Hefei, Peoples R China; [Xue, Xianghui] Collaborat Innovat Ctr Astronaut Sci &amp; Technol, Harbin, Peoples R China; [Vincent, Robert A.; Reid, Iain M.] Univ Adelaide, Sch Phys Sci, Adelaide, SA, Australia; [Reid, Iain M.] ATRAD Pty Ltd, Thebarton, Australia; [Batista, Paulo P.] Natl Inst Space Res INPE, Heliophys Planetary Sci &amp; Aeron Div, Sao Jose Dos Campos, SP, Brazil; [Buriti, Ricardo A.] Univ Fed Campina Grande, Unidade Acad Fis, Campina Grande, Paraiba, Brazil; [Tsuda, Toshitaka] Kyoto Univ, Res Inst Sustainable Humanosphere RISH, Uji, Kyoto, Japan; [Mitchell, Nicholas J.] Univ Bath, Dept Elect &amp; Elect Engn, Bath, Avon, England; [Mitchell, Nicholas J.] British Antarctic Survey, Cambridge, England; [Dou, Xiankang] Wuhan Univ, Sch Elect Informat, Wuhan, Peoples R China</t>
  </si>
  <si>
    <t>Chinese Academy of Sciences; University of Science &amp; Technology of China, CAS; Chinese Academy of Sciences; University of Science &amp; Technology of China, CAS; University of Adelaide; ATRAD Pty Ltd.; Instituto Nacional de Pesquisas Espaciais (INPE); Universidade Federal de Campina Grande; Kyoto University; University of Bath; UK Research &amp; Innovation (UKRI); Natural Environment Research Council (NERC); NERC British Antarctic Survey; Wuhan University</t>
  </si>
  <si>
    <t>Xue, XH (corresponding author), Univ Sci &amp; Technol China, Deep Space Explorat Lab, Sch Earth &amp; Space Sci, Hefei, Peoples R China.;Xue, XH (corresponding author), Univ Sci &amp; Technol China, CAS Key Lab Geospace Environm, CAS Ctr Excellence Comparat Planetol Anhui Mengch, Anhui Mengcheng Geophys Natl Observat &amp; Res Stn, Hefei, Peoples R China.;Xue, XH (corresponding author), Collaborat Innovat Ctr Astronaut Sci &amp; Technol, Harbin, Peoples R China.</t>
  </si>
  <si>
    <t>xuexh@ustc.edu.ca</t>
  </si>
  <si>
    <t>Reid, Iain/B-5681-2012; Wu, Jianfei/P-8645-2019; Yi, Wen/M-4896-2019; BATISTA, PAULO PRADO/C-2616-2009; Dou, xiankang/M-9106-2013; Vincent, Robert/E-5450-2013; Xue, Xianghui/E-1225-2012</t>
  </si>
  <si>
    <t>Reid, Iain/0000-0003-2340-9047; Wu, Jianfei/0000-0002-3998-9296; Yi, Wen/0000-0003-3717-6811; BATISTA, PAULO PRADO/0000-0002-5448-5803; Vincent, Robert/0000-0001-6559-6544; Xue, Xianghui/0000-0002-4541-9900; Zeng, Jie/0000-0002-3146-3281; Wang, Jian Yuan/0000-0001-5600-050X</t>
  </si>
  <si>
    <t>National Natural Science Foundation of China [42125402, 41974174, 42188101, 41831071, 42174183]; B-type Strategic Priority Program of CAS [XDB41000000]; Project of Stable Support for Youth Team in Basic Research Field, CAS [YSBR-018]; Open Research Project of Large Research Infrastructures of CAS-Study; Fundamental Research Funds for the Central Universities [YD3420002004]; Joint Open Fund of Mengcheng National Geophysical Observatory [MENGO-202209]; Anhui Provincial Natural Science Foundation [2008085MD113]; foundation of National Key Laboratory of Electromagnetic Environment [JCKY2020210C614240301]</t>
  </si>
  <si>
    <t>National Natural Science Foundation of China(National Natural Science Foundation of China (NSFC)); B-type Strategic Priority Program of CAS; Project of Stable Support for Youth Team in Basic Research Field, CAS; Open Research Project of Large Research Infrastructures of CAS-Study; Fundamental Research Funds for the Central Universities(Fundamental Research Funds for the Central Universities); Joint Open Fund of Mengcheng National Geophysical Observatory; Anhui Provincial Natural Science Foundation(Natural Science Foundation of Anhui Province); foundation of National Key Laboratory of Electromagnetic Environment</t>
  </si>
  <si>
    <t>This work was supported by the National Natural Science Foundation of China (Grants 42125402, 41974174, 42188101, 41831071, and 42174183), the B-type Strategic Priority Program of CAS (Grant XDB41000000), the Project of Stable Support for Youth Team in Basic Research Field, CAS (Grant YSBR-018), the Open Research Project of Large Research Infrastructures of CAS-Study on the interaction between low/midlatitude atmosphere and ionosphere based on the Chinese Meridian Project, the Fundamental Research Funds for the Central Universities (Grant YD3420002004), the Joint Open Fund of Mengcheng National Geophysical Observatory (MENGO-202209), the Anhui Provincial Natural Science Foundation (Grant 2008085MD113), and the foundation of National Key Laboratory of Electromagnetic Environment (Grant JCKY2020210C614240301). We acknowledge the data resources from the National Space Science Data Center, National Science &amp; Technology Infrastructure of China (https://www.nssdc.ac.cn).</t>
  </si>
  <si>
    <t>e2022JA030678</t>
  </si>
  <si>
    <t>10.1029/2022JA030678</t>
  </si>
  <si>
    <t>8M5UH</t>
  </si>
  <si>
    <t>WOS:000924529100001</t>
  </si>
  <si>
    <t>VN4SN</t>
  </si>
  <si>
    <t>WOS:001151273900003</t>
  </si>
  <si>
    <t>da Silva, AV; da Silva, MK; de Oliveira, AJ; Silva, JV; Paulino, SS; de Queiroz, AC; Leite, J; França, PHB; Putzke, J; Montone, R; de Oliveira, VM; dos Santos, VP; Rosa, LH; Duarte, AWF</t>
  </si>
  <si>
    <t>da Silva, Averlane Vieira; da Silva, Mayanne Karla; de Oliveira, Adeildo Junior; Silva, Jose Vieira; Paulino, Sivaldo Soares; de Queiroz, Aline Cavalcanti; Leite, Jakson; Franca, Paulo Henrique Barcellos; Putzke, Jair; Montone, Rosalinda; de Oliveira, Valeria Maia; dos Santos, Viviane Piccin; Rosa, Luiz Henrique; Duarte, Alysson Wagner Fernandes</t>
  </si>
  <si>
    <t>Phosphate solubilization by Antarctic yeasts isolated from lichens</t>
  </si>
  <si>
    <t>ARCHIVES OF MICROBIOLOGY</t>
  </si>
  <si>
    <t>Phosphate-solubilizing microorganisms; Organic acids; Tartaric acid; Usnea auratiacoatra; Vishniacozyma victoriae</t>
  </si>
  <si>
    <t>AVAILABILITY; RHIZOSPHERE; SOILS</t>
  </si>
  <si>
    <t>Antarctica has a great diversity of microorganisms with biotechnological potential but is not very well Known about yeasts with phosphate solubilization activity. Thus, the aim of this study was to evaluate the ability of yeasts from Antarctica lichens to solubilize phosphate in vitro. In the screening, 147 yeasts were tested and 43 (29%) showed P solubilization in solid NBRIP medium at 15.0 degrees C, with a higher prevalence of positive genera Vishniacozyma, followed by Cystobasidium. Most of the positive yeasts were isolated from Usnea auratiacoatra, followed by Polycauliona regalis and Lecania brialmontii. Two strains with better activity after screening were selected for the solubilization in the liquid medium, Vishniacozyma victoriae 2.L15 and A.L6 (unidentified). Vishniacozyma victoriae 2.L15 exhibiting activities at 25.0 degrees C (29.91 mg/L of phosphate and pH 6.85) and at 30.0 degrees C (619.04 mg/L of phosphate and pH 3.73) and A.L6 strain at 25.0 degrees C (25.05 mg/L of phosphate and pH 6.69) and at 30.0 degrees C (31.25 mg/L of phosphate and pH 6.47). Of eight organic acids tested by HPLC, tartaric and acetic acids were detected during phosphate solubilization, with greater release in the period of 144 (2.13 mg/L) and 72 (13.72 mg/L) hours, respectively. Future studies to elucidate the presence of functional genes for P metabolism in lichens, as well as studies in the field of proteomics for the discovery of yeast proteins related to P solubilization are needed. Thus, the high prevalence of lichen-associated yeast communities probably contributed to the high frequency of phosphatesolubilizing isolates in this study. [GRAPHICS] .</t>
  </si>
  <si>
    <t>[da Silva, Averlane Vieira; da Silva, Mayanne Karla; de Oliveira, Adeildo Junior; Silva, Jose Vieira; Paulino, Sivaldo Soares; de Queiroz, Aline Cavalcanti; Duarte, Alysson Wagner Fernandes] Univ Fed Alagoas, Campus Arapiraca, BR-57309005 Arapiraca, AL, Brazil; [Leite, Jakson] Inst Fed Educ Ciencia &amp; Tecnol Para, BR-68183300 Itaituba, PA, Brazil; [Franca, Paulo Henrique Barcellos] Univ Fed Alagoas, Ctr Ciencias Agr, BR-57100000 Rio Largo, AL, Brazil; [Putzke, Jair] Univ Fed Pampa, Campus Sao Gabriel, BR-97300162 Sao Gabriel, RS, Brazil; [Montone, Rosalinda] Univ Sao Paulo, Dept Oceanog, BR-05508120 Sao Paulo, SP, Brazil; [de Oliveira, Valeria Maia; dos Santos, Viviane Piccin] Univ Estadual Campinas, Ctr Pluridisciplinar Pesquisas Quim Biol &amp; Agr, BR-13148218 Paulinia, SP, Brazil; [Rosa, Luiz Henrique] Univ Fed Minas Gerais, Inst Ciencias Biol, BR-31270901 Belo Horizonte, MG, Brazil</t>
  </si>
  <si>
    <t>Universidade Federal de Alagoas; Instituto Federal do Para; Universidade Federal de Alagoas; Universidade Federal do Pampa; Universidade de Sao Paulo; Universidade Estadual de Campinas; Universidade Federal de Minas Gerais</t>
  </si>
  <si>
    <t>Duarte, AWF (corresponding author), Univ Fed Alagoas, Campus Arapiraca, BR-57309005 Arapiraca, AL, Brazil.</t>
  </si>
  <si>
    <t>alysson.duarte@arapiraca.ufal.br</t>
  </si>
  <si>
    <t>Montone, Rosalinda C/J-9110-2012; Oliveira, Valéria Maia/L-2422-2014; Duarte, Alysson Wagner Fernandes/S-8062-2019; Queiroz, Aline Cavalcanti de/L-5563-2016</t>
  </si>
  <si>
    <t>Oliveira, Valéria Maia/0000-0001-8817-4758; Duarte, Alysson Wagner Fernandes/0000-0001-9626-7524; Barcellos Franca, Paulo Henrique/0000-0003-2464-3273; Queiroz, Aline Cavalcanti de/0000-0002-6362-2726; Karla da Silva, Mayanne/0000-0002-0292-3648; Oliveira, Adeildo Junior/0000-0002-8312-6471</t>
  </si>
  <si>
    <t>Fundacao de Amparo a Pesquisa do Estado de Alagoas [60030 1074/2016]; Conselho Nacional de Desenvolvimento Cientifico e Tecnologico-CNPq [433388/2018-8, 442258/2018-6]; FAPEAL [60030 000542/2018]</t>
  </si>
  <si>
    <t>Fundacao de Amparo a Pesquisa do Estado de Alagoas(Fundacao de Amparo a Pesquisa do Estado de Alagoas (FAPEAL)); Conselho Nacional de Desenvolvimento Cientifico e Tecnologico-CNPq(Conselho Nacional de Desenvolvimento Cientifico e Tecnologico (CNPQ)); FAPEAL(Fundacao de Amparo a Pesquisa do Estado de Alagoas (FAPEAL))</t>
  </si>
  <si>
    <t>This study was supported by the Fundacao de Amparo a Pesquisa do Estado de Alagoas (60030 1074/2016) and Conselho Nacional de Desenvolvimento Cientifico e Tecnologico-CNPq (433388/2018-8 and 442258/2018-6). A master's scholarship the first author was supported by FAPEAL (60030 000542/2018).</t>
  </si>
  <si>
    <t>0302-8933</t>
  </si>
  <si>
    <t>1432-072X</t>
  </si>
  <si>
    <t>ARCH MICROBIOL</t>
  </si>
  <si>
    <t>Arch. Microbiol.</t>
  </si>
  <si>
    <t>10.1007/s00203-022-03310-0</t>
  </si>
  <si>
    <t>6B8YD</t>
  </si>
  <si>
    <t>WOS:000881611700001</t>
  </si>
  <si>
    <t>Patil, PB; Maity, S; Sarkar, A</t>
  </si>
  <si>
    <t>Patil, Pritam Bajirao; Maity, Sourav; Sarkar, Angana</t>
  </si>
  <si>
    <t>Potential human health risk assessment of microplastic exposure: current scenario and future perspectives</t>
  </si>
  <si>
    <t>ENVIRONMENTAL MONITORING AND ASSESSMENT</t>
  </si>
  <si>
    <t>Microplastics; Physicochemical cycle; Plastic pollution; Toxicity; Human health risk assessment</t>
  </si>
  <si>
    <t>LOW-DENSITY POLYETHYLENE; ENZYMATIC DEGRADATION; ATMOSPHERIC FALLOUT; DANIO-RERIO; BISPHENOL-A; BIODEGRADATION; ACCUMULATION; POLYSTYRENE; TOXICITY; IMPACTS</t>
  </si>
  <si>
    <t>The vast usage of synthetic plastics has led to the global problem of plastic pollution which in turn has positively impacted the concerns regarding microplastic pollution. The major factor responsible for the increased level of pollution is the smaller size of microplastics which helps in its transportation across the globe. It has been found in most remote areas like glaciers and Antarctic regions where it is difficult for other contaminants to reach. This is ensured by the physicochemical cycle of plastic. They can either be produced for different applications or generated through the fragmentation of large plastic particles. Different studies have shown the accumulation of microplastics in different organisms, especially in aquatic animals leading to their entry into the food chain. The ultimate fate of the microplastics is accumulation inside the human body posing the risk of different health conditions like cancer, diabetes, and allergic reactions. The present review summarizes a detailed discussion on the current status of microplastic pollution, their effect on different organisms, and its impact on human health with a case study on the human health risk assessment for analyzing the global rate of microplastic ingestion.</t>
  </si>
  <si>
    <t>[Patil, Pritam Bajirao; Maity, Sourav; Sarkar, Angana] Natl Inst Technol, Dept Biotechnol &amp; Med Engn, Rourkela, Odisha, India</t>
  </si>
  <si>
    <t>National Institute of Technology (NIT System); National Institute of Technology Rourkela</t>
  </si>
  <si>
    <t>Sarkar, A (corresponding author), Natl Inst Technol, Dept Biotechnol &amp; Med Engn, Rourkela, Odisha, India.</t>
  </si>
  <si>
    <t>patilpritam26597@gmail.com; sourav.maity.92@gmail.com; sarkar.angana@gmail.com</t>
  </si>
  <si>
    <t>Maity, Sourav/ISV-4048-2023; Patil, Pritam Bajirao/JQJ-6439-2023</t>
  </si>
  <si>
    <t>Maity, Sourav/0009-0001-8609-2019; Patil, Pritam Bajirao/0000-0003-4866-5231</t>
  </si>
  <si>
    <t>Department of Science and Technology, Government of India [DST/TM/WTI/2K16/264]</t>
  </si>
  <si>
    <t>Department of Science and Technology, Government of India(Department of Science &amp; Technology (India))</t>
  </si>
  <si>
    <t>The authors would like to thank the Department of Science and Technology, Government of India for providing financial support to the research work (DST/TM/WTI/2K16/264).</t>
  </si>
  <si>
    <t>0167-6369</t>
  </si>
  <si>
    <t>1573-2959</t>
  </si>
  <si>
    <t>ENVIRON MONIT ASSESS</t>
  </si>
  <si>
    <t>Environ. Monit. Assess.</t>
  </si>
  <si>
    <t>10.1007/s10661-022-10539-1</t>
  </si>
  <si>
    <t>5J8NN</t>
  </si>
  <si>
    <t>WOS:000869294200004</t>
  </si>
  <si>
    <t>Parker, E; Zapfe, KL; Yadav, J; Frédérich, B; Jones, CD; Economo, EP; Federman, S; Near, TJ; Dornburg, A</t>
  </si>
  <si>
    <t>Parker, Elyse; Zapfe, Katerina L.; Yadav, Jagriti; Frederich, Bruno; Jones, Christopher D.; Economo, Evan P.; Federman, Sarah; Near, Thomas J.; Dornburg, Alex</t>
  </si>
  <si>
    <t>Periodic Environmental Disturbance Drives Repeated Ecomorphological Diversification in an Adaptive Radiation of Antarctic Fishes</t>
  </si>
  <si>
    <t>AMERICAN NATURALIST</t>
  </si>
  <si>
    <t>notothenioid; climate change; morphospace disparity; phylogenomics</t>
  </si>
  <si>
    <t>TERRA-NOVA BAY; SOUTH SHETLAND ISLANDS; ICEFISH CHAMPSOCEPHALUS-GUNNARI; TREMATOMUS-BERNACCHII PISCES; ROSS SEA; MCMURDO SOUND; NOTOTHENIID FISH; FEEDING ECOLOGY; CHARACTER DISPLACEMENT; DEMERSAL FISH</t>
  </si>
  <si>
    <t>The ecological theory of adaptive radiation has profoundly shaped our conceptualization of the rules that govern diversification. However, while many radiations follow classic early-burst patterns of diversification as they fill ecological space, the longer-term fates of these radiations depend on many factors, such as climatic stability. In systems with periodic disturbances, species-rich clades can contain nested adaptive radiations of subclades with their own distinct diversification histories, and how adaptive radiation theory applies in these cases is less clear. Here, we investigated patterns of ecological and phenotypic diversification within two iterative adaptive radiations of cryonotothenioid fishes in Antarctica's Southern Ocean: crocodile icefishes and notoperches. For both clades, we observe evidence of repeated diversification into disparate regions of trait space between closely related taxa and into overlapping regions of trait space between distantly related taxa. We additionally find little evidence that patterns of ecological divergence are correlated with evolution of morphological disparity, suggesting that these axes of divergence may not be tightly linked. Finally, we reveal evidence of repeated convergence in sympatry that suggests niche complementarity. These findings reflect the dynamic history of Antarctic marine habitats and may guide hypotheses of diversification dynamics in environments characterized by periodic disturbance.</t>
  </si>
  <si>
    <t>[Parker, Elyse; Near, Thomas J.] Yale Univ, Dept Ecol &amp; Evolutionary Biol, New Haven, CT 06520 USA; [Zapfe, Katerina L.; Yadav, Jagriti; Dornburg, Alex] Univ N Carolina, Dept Bioinformat &amp; Genom, Charlotte, NC 28223 USA; [Frederich, Bruno] Univ Liege, Freshwater &amp; Ocean Sci Unit Res, Lab Evolutionary Ecol, Liege, Belgium; [Jones, Christopher D.] NOAA, Antarctic Ecosyst Res Div, Southwest Fisheries Sci Ctr, La Jolla, CA 92037 USA; [Economo, Evan P.] Okinawa Inst Sci &amp; Technol Grad Univ, Biodivers &amp; Biocomplex Unit, Onna, Okinawa, Japan; [Federman, Sarah] Plenty Unltd, San Francisco, CA 94110 USA; [Near, Thomas J.] Yale Univ, Peabody Museum Nat Hist, New Haven, CT 06520 USA</t>
  </si>
  <si>
    <t>Yale University; University of North Carolina; University of North Carolina Charlotte; University of Liege; National Oceanic Atmospheric Admin (NOAA) - USA; Okinawa Institute of Science &amp; Technology Graduate University; Yale University</t>
  </si>
  <si>
    <t>Parker, E (corresponding author), Yale Univ, Dept Ecol &amp; Evolutionary Biol, New Haven, CT 06520 USA.</t>
  </si>
  <si>
    <t>Dornburg, Alex/CAF-1206-2022; Near, Thomas J./K-1204-2012</t>
  </si>
  <si>
    <t>Near, Thomas J./0000-0002-7398-6670; Economo, Evan/0000-0001-7402-0432</t>
  </si>
  <si>
    <t>Refugia and Ecosystem Tolerance in the Southern Ocean project (RECTO) - Belgian Science Policy Office [BR/154/A1/RECTO]</t>
  </si>
  <si>
    <t>Refugia and Ecosystem Tolerance in the Southern Ocean project (RECTO) - Belgian Science Policy Office</t>
  </si>
  <si>
    <t>Fieldwork was facilitated through the US Antarctic MarineLiving Resources Program and the officers and crew of theresearch vessel Yuzhmorgeologia and the 2004 ICEFISH cruise aboard the research vessel/icebreaker Nathaniel B.Palmer. G. Watkins-Colwell, and O. Orr provided support with museum collections. Field and laboratory support were provided by H. W. Detrich, J. Kendrick, K.-H. Kock,J. A. Moore, A. L. Stewart, and P. J. McMillan. C. D. Struthers (National Museum of New Zealand) and P. Marriott (National Institute of Water and Atmospheric Research of New Zealand) provided photographs of Cryodraco antarcticus, Dacodraco hunteri, Nototheniops larseni, and Trematomus loennbergii used in figures 5 and 6. We thank Editor D. I. Bolnick, Associate Editor D. L. Rabosky, and two anonymous reviewers for thoughtful comments and suggestions that significantly improved the manuscript. We are grateful to all who provided helpful discussion and feedback on earlier versions of the manuscript, including C. W. Dunn, E. J. Edwards, and colleagues and membersof the Near, Dornburg, Donoghue, and Munoz labs. This work was supported in part by the Refugia and Ecosystem Tolerance in the Southern Ocean project (RECTO; BR/154/A1/RECTO) funded by the Belgian Science Policy Office.</t>
  </si>
  <si>
    <t>0003-0147</t>
  </si>
  <si>
    <t>1537-5323</t>
  </si>
  <si>
    <t>AM NAT</t>
  </si>
  <si>
    <t>Am. Nat.</t>
  </si>
  <si>
    <t>E221</t>
  </si>
  <si>
    <t>E236</t>
  </si>
  <si>
    <t>10.1086/721373</t>
  </si>
  <si>
    <t>6M4FK</t>
  </si>
  <si>
    <t>WOS:000869514600001</t>
  </si>
  <si>
    <t>Lee, CM; DeGrandpre, M; Guthrie, J; Hill, V; Kwok, R; Morison, J; Cox, CJ; Singh, H; Stanton, TP; Wilkinson, J</t>
  </si>
  <si>
    <t>Lee, Craig M.; DeGrandpre, Michael; Guthrie, John; Hill, Victoria; Kwok, Ron; Morison, James; Cox, Christopher J.; Singh, Hanumant; Stanton, Timothy P.; Wilkinson, Jeremy</t>
  </si>
  <si>
    <t>EMERGING TECHNOLOGIES AND APPROACHES FOR IN SITU, AUTONOMOUS OBSERVING IN THE ARCTIC</t>
  </si>
  <si>
    <t>OCEANOGRAPHY</t>
  </si>
  <si>
    <t>PROFILING FLOATS; FRESH-WATER; OCEAN; ICE; SURFACE; SUBSURFACE; THICKNESS; LAYER; ZONE</t>
  </si>
  <si>
    <t>Understanding and predicting Arctic change and its impacts on global climate requires broad, sustained observations of the atmosphere-ice-ocean system, yet technological and logistical challenges severely restrict the temporal and spatial scope of observing efforts. Satellite remote sensing provides unprecedented, pan-Arctic measurements of the surface, but comple-mentary in situ observations are required to complete the picture. Over the past few decades, a diverse range of autonomous platforms have been developed to make broad, sustained observa-tions of the ice-free ocean, often with near-real-time data delivery. Though these technologies are well suited to the difficult environmental conditions and remote logistics that complicate Arctic observing, they face a suite of additional challenges, such as limited access to satellite services that make geolocation and communication possible. This paper reviews new platform and sensor developments, adaptations of mature technologies, and approaches for their use, placed within the framework of Arctic Ocean observing needs.</t>
  </si>
  <si>
    <t>[Lee, Craig M.; Guthrie, John; Kwok, Ron; Morison, James] Univ Washington, Appl Phys Lab, Seattle, WA 98195 USA; [DeGrandpre, Michael] Univ Montana, Dept Chem &amp; Biochem, Missoula, MT USA; [Hill, Victoria] Old Dominion Univ, Dept Ocean &amp; Earth Sci, Norfolk, VA USA; [Kwok, Ron] Univ Washington, Polar Sci Ctr, Appl Phys Lab, Seattle, WA USA; [Cox, Christopher J.] NOAA, Phys Sci Lab, Boulder, CO USA; [Singh, Hanumant] Northeastern Univ, Coll Engn, Boston, MA USA; [Stanton, Timothy P.] San Jose State Univ, Moss Landing Marine Lab, Moss Landing, CA USA; [Wilkinson, Jeremy] British Antarctic Survey, Cambridge, England</t>
  </si>
  <si>
    <t>University of Washington; University of Washington Seattle; University of Montana System; University of Montana; Old Dominion University; University of Washington; University of Washington Seattle; National Oceanic Atmospheric Admin (NOAA) - USA; Northeastern University; Moss Landing Marine Laboratories; California State University System; San Jose State University; UK Research &amp; Innovation (UKRI); Natural Environment Research Council (NERC); NERC British Antarctic Survey</t>
  </si>
  <si>
    <t>Lee, CM (corresponding author), Univ Washington, Appl Phys Lab, Seattle, WA 98195 USA.</t>
  </si>
  <si>
    <t>craiglee@uw.edu</t>
  </si>
  <si>
    <t>Hill, Victoria/JPL-8508-2023; Kwok, Ronald/L-3968-2019</t>
  </si>
  <si>
    <t>Kwok, Ronald/0000-0003-4051-5896</t>
  </si>
  <si>
    <t>National Science Foundation Arctic; Arctic Observing Network programs; Office of Naval Research Arctic; Global Prediction program; National Oceanic and Atmospheric Administration; National Aeronautics and Space Administration; ONR [N00014-19-C-2076, 80NSSC22K0392]; NSF [N00014-20-S-B001, OPP-1902595, OPP-1951294, OPP-1842306, OPP-0425838, EEC-9986821, Z601701]; NASA [OPP 1603548, OPP 1723400]; NOAA's Global Ocean Monitoring and Observing (GOMO) program [OPP-1842306]; Arctic Research Program (ARP)</t>
  </si>
  <si>
    <t>National Science Foundation Arctic; Arctic Observing Network programs; Office of Naval Research Arctic(Office of Naval Research); Global Prediction program; National Oceanic and Atmospheric Administration(National Oceanic Atmospheric Admin (NOAA) - USA); National Aeronautics and Space Administration(National Aeronautics &amp; Space Administration (NASA)); ONR(Office of Naval Research); NSF(National Science Foundation (NSF)); NASA(National Aeronautics &amp; Space Administration (NASA)); NOAA's Global Ocean Monitoring and Observing (GOMO) program; Arctic Research Program (ARP)</t>
  </si>
  <si>
    <t>We thank two anonymous reviewers and guest editor Tom Weingartner for their careful reading and for helpful, constructive suggestions that strengthened this paper. Arctic observing efforts have benefited from sustained support from resource sponsors that include the National Science Foundation Arctic and Arctic Observing Network programs, the Office of Naval Research Arctic and Global Prediction program, the National Oceanic and Atmospheric Administration, and the National Aeronautics and Space Administration. For the preparation of this paper, CML was supported by ONR grant N00014-19-C-2076 and NSF grant OPP-1902595; MDD by NSF OPP-1951294; JG by OPP-1842306; VH by NSF OPP 1603548; RK by NASA grant 80NSSC22K0392; JM by OPP-1842306; CJC by NOAA's Global Ocean Monitoring and Observing (GOMO) program and Arctic Research Program (ARP) ; HS by NSF grants OPP-0425838, EEC-9986821, and NASA grant Z601701; and TS by ONR grant N00014-20-S-B001 and NSF grant OPP 1723400.</t>
  </si>
  <si>
    <t>OCEANOGRAPHY SOC</t>
  </si>
  <si>
    <t>ROCKVILLE</t>
  </si>
  <si>
    <t>P.O. BOX 1931, ROCKVILLE, MD USA</t>
  </si>
  <si>
    <t>1042-8275</t>
  </si>
  <si>
    <t>3-4</t>
  </si>
  <si>
    <t>10.5670/oceanog.2022.127</t>
  </si>
  <si>
    <t>4N5FL</t>
  </si>
  <si>
    <t>WOS:000854044700001</t>
  </si>
  <si>
    <t>Donalle, GC; Martorell, MM; Siless, GE; Ruberto, L; Cabrera, GM</t>
  </si>
  <si>
    <t>Donalle, Guidmar C.; Martha Martorell, Maria; Siless, Gaston E.; Ruberto, Lucas; Cabrera, Gabriela M.</t>
  </si>
  <si>
    <t>Cyclic heptapeptides with metal binding properties isolated from the fungus Cadophora malorum from Antarctic soil</t>
  </si>
  <si>
    <t>NATURAL PRODUCTS AND BIOPROSPECTING</t>
  </si>
  <si>
    <t>Cyclic peptide; Cadophora malorum; Metal binding</t>
  </si>
  <si>
    <t>MASS-SPECTROMETRY; D-ISOLEUCINE; PEPTIDES; MS</t>
  </si>
  <si>
    <t>The Antarctic fungus Cadophora malorum produces previously undescribed cyclic heptapeptides (cadophorin A and B) containing an anthranilic acid residue. The planar structure of these peptides was determined by high-resolution mass spectrometry combined with extensive 1D and 2D NMR spectroscopy. The absolute configuration of the amino acids was determined by Marfey's method, with HPLC analysis of FDVA (N alpha-(2,4-dinitro-5-fluorphenyl)-L-valinamide) derivatives making use of a PFP column. Remarkably, cadophorin 2 possesses both the uncommon D-Ile and D-allo-Ile in its structure. The peptides have metal binding properties as shown by LCMS with post column addition of metal salt solutions. These results were supported by DFT calculations.</t>
  </si>
  <si>
    <t>[Donalle, Guidmar C.; Siless, Gaston E.; Cabrera, Gabriela M.] Univ Buenos Aires, Fac Ciencias Exactas &amp; Nat, Dept Quim Organ, Buenos Aires, DF, Argentina; [Donalle, Guidmar C.; Siless, Gaston E.; Cabrera, Gabriela M.] Univ Buenos Aires, Unidad Microanal &amp; Metodos Fis Aplicados Quim Org, CONICET, Buenos Aires, DF, Argentina; [Martha Martorell, Maria; Ruberto, Lucas] Univ Buenos Aires, Inst Antartico Argentino, Inst Nanobiotec, CONICET, Buenos Aires, DF, Argentina</t>
  </si>
  <si>
    <t>University of Buenos Aires; Consejo Nacional de Investigaciones Cientificas y Tecnicas (CONICET); University of Buenos Aires; University of Buenos Aires; Consejo Nacional de Investigaciones Cientificas y Tecnicas (CONICET); Instituto Antartico Argentino</t>
  </si>
  <si>
    <t>Cabrera, GM (corresponding author), Univ Buenos Aires, Fac Ciencias Exactas &amp; Nat, Dept Quim Organ, Buenos Aires, DF, Argentina.;Cabrera, GM (corresponding author), Univ Buenos Aires, Unidad Microanal &amp; Metodos Fis Aplicados Quim Org, CONICET, Buenos Aires, DF, Argentina.;Ruberto, L (corresponding author), Univ Buenos Aires, Inst Antartico Argentino, Inst Nanobiotec, CONICET, Buenos Aires, DF, Argentina.</t>
  </si>
  <si>
    <t>luruberto@gmail.com; gabyc@qo.fcen.uba.ar</t>
  </si>
  <si>
    <t>Siless, Gastón/GRJ-9654-2022</t>
  </si>
  <si>
    <t>Siless, Gaston/0000-0001-5257-5314</t>
  </si>
  <si>
    <t>Universidad de Buenos Aires [UBACYT 2018-100246, PDE48-2020]; CONICET [PIP 112 20200101898]; ANPCyT [PICT 2018-0930, PICT E 2018-0031]</t>
  </si>
  <si>
    <t>Universidad de Buenos Aires(University of Buenos Aires); CONICET(Consejo Nacional de Investigaciones Cientificas y Tecnicas (CONICET)); ANPCyT(ANPCyT)</t>
  </si>
  <si>
    <t>The authors thank Universidad de Buenos Aires [UBACYT 2018-100246, PDE48-2020], CONICET [PIP 112 20200101898] and ANPCyT [PICT 2018-0930, PICT E 2018-0031] for partial financial support.</t>
  </si>
  <si>
    <t>2192-2195</t>
  </si>
  <si>
    <t>2192-2209</t>
  </si>
  <si>
    <t>NAT PRODUCT BIOPROSP</t>
  </si>
  <si>
    <t>Nat. Product. Bioprospecting</t>
  </si>
  <si>
    <t>10.1007/s13659-022-00348-x</t>
  </si>
  <si>
    <t>Chemistry, Medicinal</t>
  </si>
  <si>
    <t>2W6SK</t>
  </si>
  <si>
    <t>WOS:000824652100001</t>
  </si>
  <si>
    <t>Angelicola, MV; Fernández, PM; Aybar, MJ; Van Nieuwenhove, CP; Figueroa, LIC; Viñarta, SC</t>
  </si>
  <si>
    <t>Angelicola, M. Virginia; Fernandez, Pablo M.; Aybar, Manuel J.; Van Nieuwenhove, Carina P.; Figueroa, Lucia I. C.; Vinarta, Silvana C.</t>
  </si>
  <si>
    <t>Bioconversion of commercial and crude glycerol to single-cell oils by the Antarctic yeast Rhodotorula glutinis R4 as a biodiesel feedstock</t>
  </si>
  <si>
    <t>BIOCATALYSIS AND AGRICULTURAL BIOTECHNOLOGY</t>
  </si>
  <si>
    <t>Rhodotorula glutinis; Glycerol; Crude glycerol; Single-cell oils; Biodiesel; Antarctic oleaginous yeasts</t>
  </si>
  <si>
    <t>OLEAGINOUS YEASTS; LIPID PRODUCTION; RHODOSPORIDIUM-TORULOIDES; YARROWIA-LIPOLYTICA; MICROBIAL LIPIDS; CRYPTOCOCCUS CURVATUS; DENSITY CULTIVATION; CULTURE-CONDITIONS; PALM OIL; WASTE</t>
  </si>
  <si>
    <t>Ability of the oleaginous yeast Rhodotorula glutinis R4 to produce single-cell oils (SCO) using different concentrations (25-100 g L-1) of commercial and crude glycerol as substrate was evaluated. R. glutinis R4 reached 44-57% and 41-52% (w/w) of lipid accumulation when grown with 25-100 g L-1 of crude and commercial glycerol, respectively. R4 grown with 35 and 50 g L-1 of crude glycerol reached a lipid accumulation of 44-45% (w/w) at 120 h corresponding to 6 g L-1 of lipid concentration, with a yield Y-L/S similar to 0.45 g g(-1), lipid productivity (Q(L)) of 0.05 g L(-1)h(-1), and a glycerol consumption of 31 and 37.2 g L-1, respectively. Regarding the volumetric productivities at the different concentrations, the Q(L) (0.05 g L-1 h(-1)) and Q(X) (0.11 g L-1 h(-1)), did not differ statistically from the control (glucose). Lipid accumulation was higher at 216 h of culture using 100 g L-1 of glycerol (51 and 57% for commercial and crude, respectively), but a significant decrease of Q(L) (from 0.05 to 0.03 g L-1 h(-1)) and Q(x) (0.11 to 0.09 g L-1 h(-1)) was observed. A negative effect on yield, Q(x) and Q(L) was observed at glycerol concentrations above 50 g L-1. R4 SCO showed a fatty acid profiles rich in oleic acid and suitable for biodiesel production, and were efficiently transformed into biodiesel with yields above 90% by acid transesterification. Biodiesels derived from R4 using crude glycerol are fully complies with international biodiesel standards. This allows advance in a process of circular economy for biodiesel industry.</t>
  </si>
  <si>
    <t>[Angelicola, M. Virginia; Fernandez, Pablo M.; Figueroa, Lucia I. C.; Vinarta, Silvana C.] Planta Piloto Proc Ind Microbiol PROIMI CONICET, San Miguel De Tucuman, Argentina; [Aybar, Manuel J.] Univ Nacl Tucuman, Inst Super Invest Biol INSIBIO, CONICET, San Miguel De Tucuman, Argentina; [Aybar, Manuel J.] Univ Nacl Tucuman, Fac Bioquim Quim &amp; Farm, Inst Biol Dr Francisco D Barbieri, San Miguel De Tucuman, Argentina; [Van Nieuwenhove, Carina P.] CERELA CONICET Ctr Referencia Lactobacilos, Chacabuco 145,T4000ILC, San Miguel De Tucuman, Argentina; [Vinarta, Silvana C.] Univ Nacl Catamarca UNCA, Fac Ciencias Exactas &amp; Nat FACEN, Ctdras Quim Bioinorgan Biol Microorganismos, Catamarca, Argentina</t>
  </si>
  <si>
    <t>Consejo Nacional de Investigaciones Cientificas y Tecnicas (CONICET); Consejo Nacional de Investigaciones Cientificas y Tecnicas (CONICET); Universidad Nacional de Tucuman; Universidad Nacional de Tucuman; Consejo Nacional de Investigaciones Cientificas y Tecnicas (CONICET)</t>
  </si>
  <si>
    <t>Fernández, PM; Viñarta, SC (corresponding author), PROIMI CONICET Planta Piloto Proc Ind Microbiol, Lab Fungal Biotechnol, Ave Manuel Belgrano &amp; Pje Caseros,T4001MVB, San Miguel De Tucuman, Argentina.</t>
  </si>
  <si>
    <t>pfernandez@conicet.gov.ar; scvinarta@conicet.gov.ar</t>
  </si>
  <si>
    <t>Aybar, Manuel J./Y-5632-2018</t>
  </si>
  <si>
    <t>Aybar, Manuel J./0000-0002-7187-6435; VINARTA, SILVANA CAROLINA/0000-0002-1582-5932</t>
  </si>
  <si>
    <t>ANPCyT-Foncyt [PICT2016-3083, PICT2018-3500, PICT2018-1370]; CONICET [PUE-2016-0012]; SCAIT-UNT [PIUNT 26/D605, PIUNTD509]</t>
  </si>
  <si>
    <t>ANPCyT-Foncyt(ANPCyTFONCyT); CONICET(Consejo Nacional de Investigaciones Cientificas y Tecnicas (CONICET)); SCAIT-UNT</t>
  </si>
  <si>
    <t>This work was supported by grants from ANPCyT-Foncyt (to SCV, PICT2016-3083; to PMF, PICT2018-3500; to MJA PICT2018-1370) , CONICET (PUE-2016-0012) and from SCAIT-UNT (to MJA, PIUNT 26/D605; to LICF, PIUNTD509) .</t>
  </si>
  <si>
    <t>1878-8181</t>
  </si>
  <si>
    <t>BIOCATAL AGR BIOTECH</t>
  </si>
  <si>
    <t>Biocatal. Agric. Biotechnol.</t>
  </si>
  <si>
    <t>10.1016/j.bcab.2022.102544</t>
  </si>
  <si>
    <t>NOV 2022</t>
  </si>
  <si>
    <t>8Q1MI</t>
  </si>
  <si>
    <t>WOS:000926978400003</t>
  </si>
  <si>
    <t>Sun, JC; Qiu, ZN; Egan, R; Ho, HRS; Li, Y; Wang, Z</t>
  </si>
  <si>
    <t>Sun, Jingchao; Qiu, Zhining; Egan, Rob; Ho, Harrison; Li, Yue; Wang, Zhong</t>
  </si>
  <si>
    <t>Persistent memory as an effective alternative to random access memory in metagenome assembly</t>
  </si>
  <si>
    <t>BMC BIOINFORMATICS</t>
  </si>
  <si>
    <t>Metagenome assembly; Persistent memory; Out-of-memory</t>
  </si>
  <si>
    <t>GENOMES</t>
  </si>
  <si>
    <t>Background: The assembly of metagenomes decomposes members of complex microbe communities and allows the characterization of these genomes without laborious cultivation or single-cell metagenomics. Metagenome assembly is a process that is memory intensive and time consuming. Multi-terabyte sequences can become too large to be assembled on a single computer node, and there is no reliable method to predict the memory requirement due to data-specific memory consumption pattern. Currently, out-of-memory (OOM) is one of the most prevalent factors that causes metagenome assembly failures. Results: In this study, we explored the possibility of using Persistent Memory (PMem) as a less expensive substitute for dynamic random access memory (DRAM) to reduce OOM and increase the scalability of metagenome assemblers. We evaluated the execution time and memory usage of three popular metagenome assemblers (MetaSPAdes, MEGAHIT, and MetaHipMer2) in datasets up to one terabase. We found that PMem can enable metagenome assemblers on terabyte-sized datasets by partially or fully substituting DRAM. Depending on the configured DRAM/PMEM ratio, running metagenome assemblies with PMem can achieve a similar speed as DRAM, while in the worst case it showed a roughly two-fold slowdown. In addition, different assemblers displayed distinct memory/speed trade-offs in the same hardware/software environment. Conclusions: We demonstrated that PMem is capable of expanding the capacity of DRAM to allow larger metagenome assembly with a potential tradeoff in speed. Because PMem can be used directly without any application-specific code modification, these findings are likely to be generalized to other memory-intensive bioinformatics applications.</t>
  </si>
  <si>
    <t>[Sun, Jingchao; Qiu, Zhining; Li, Yue] MemVerge Inc, Milpitas, CA 95035 USA; [Egan, Rob; Ho, Harrison; Wang, Zhong] Dept Energy Joint Genome Inst, Berkeley, CA 94720 USA; [Ho, Harrison; Wang, Zhong] Univ Calif Merced, Sch Nat Sci, Merced, CA 95343 USA; [Wang, Zhong] Environm Genom &amp; Syst Biol Div, Lawrence Berkeley Natl Lab, Berkeley, CA 94720 USA</t>
  </si>
  <si>
    <t>University of California System; University of California Merced; United States Department of Energy (DOE); Lawrence Berkeley National Laboratory</t>
  </si>
  <si>
    <t>Wang, Z (corresponding author), Dept Energy Joint Genome Inst, Berkeley, CA 94720 USA.;Wang, Z (corresponding author), Univ Calif Merced, Sch Nat Sci, Merced, CA 95343 USA.;Wang, Z (corresponding author), Environm Genom &amp; Syst Biol Div, Lawrence Berkeley Natl Lab, Berkeley, CA 94720 USA.</t>
  </si>
  <si>
    <t>zhongwang@lbl.gov</t>
  </si>
  <si>
    <t>Wang, Zhong/J-3244-2019</t>
  </si>
  <si>
    <t>Wang, Zhong/0000-0002-6307-0458; Ho, Harrison/0000-0002-8937-8266</t>
  </si>
  <si>
    <t>US Department of Energy Joint Genome Institute; DOE Office of Science; Office of Science of the US Department of Energy; National Science Foundation Research Training Program (NRT) in Intelligent Adaptive Systems [DE-AC02-05CH11231]</t>
  </si>
  <si>
    <t>US Department of Energy Joint Genome Institute(United States Department of Energy (DOE)); DOE Office of Science(United States Department of Energy (DOE)); Office of Science of the US Department of Energy(United States Department of Energy (DOE)); National Science Foundation Research Training Program (NRT) in Intelligent Adaptive Systems(National Science Foundation (NSF))</t>
  </si>
  <si>
    <t>RE and ZW's work is supported by the US Department of Energy Joint Genome Institute (https://ror.org/04xm1d337), a DOE Office of Science User Facility, supported by the Office of Science of the US Department of Energy operated under Contract No. DE-AC02-05CH11231.The Antarctic Lake Metagenome Dataset was generated from the JGI CSP proposal https://doi.org/10.46936/10.25585/60000788. Harrison Ho's work is supported by a fellowship from the National Science Foundation Research Training Program (NRT) in Intelligent Adaptive Systems. The Funding bodies did not play any roles in the design of the study and collection, analysis, and interpretation of data and in writing the manuscript.</t>
  </si>
  <si>
    <t>1471-2105</t>
  </si>
  <si>
    <t>BMC Bioinformatics</t>
  </si>
  <si>
    <t>NOV 30</t>
  </si>
  <si>
    <t>10.1186/s12859-022-05052-8</t>
  </si>
  <si>
    <t>Biochemical Research Methods; Biotechnology &amp; Applied Microbiology; Mathematical &amp; Computational Biology</t>
  </si>
  <si>
    <t>Biochemistry &amp; Molecular Biology; Biotechnology &amp; Applied Microbiology; Mathematical &amp; Computational Biology</t>
  </si>
  <si>
    <t>6S4XT</t>
  </si>
  <si>
    <t>gold, Green Published, Green Submitted</t>
  </si>
  <si>
    <t>WOS:000892992700004</t>
  </si>
  <si>
    <t>Zhang, LP; Delworth, TL; Yang, XS; Zeng, FR; Lu, FY; Morioka, Y; Bushuk, M</t>
  </si>
  <si>
    <t>Zhang, Liping; Delworth, Thomas L.; Yang, Xiaosong; Zeng, Fanrong; Lu, Feiyu; Morioka, Yushi; Bushuk, Mitchell</t>
  </si>
  <si>
    <t>The relative role of the subsurface Southern Ocean in driving negative Antarctic Sea ice extent anomalies in 2016-2021</t>
  </si>
  <si>
    <t>GFDL GLOBAL ATMOSPHERE; NATURAL VARIABILITY; TRENDS; TEMPERATURE; CONVECTION; SALINITY; IMPACTS</t>
  </si>
  <si>
    <t>The low Antarctic sea ice extent following its dramatic decline in late 2016 has persisted over a multiyear period. However, it remains unclear to what extent this low sea ice extent can be attributed to changing ocean conditions. Here, we investigate the causes of this period of low Antarctic sea ice extent using a coupled climate model partially constrained by observations. We find that the subsurface Southern Ocean played a smaller role than the atmosphere in the extreme sea ice extent low in 2016, but was critical for the persistence of negative anomalies over 2016-2021. Prior to 2016, the subsurface Southern Ocean warmed in response to enhanced westerly winds. Decadal hindcasts show that subsurface warming has persisted and gradually destabilized the ocean from below, reducing sea ice extent over several years. The simultaneous variations in the atmosphere and ocean after 2016 have further amplified the decline in Antarctic sea ice extent.</t>
  </si>
  <si>
    <t>[Zhang, Liping; Delworth, Thomas L.; Yang, Xiaosong; Zeng, Fanrong; Lu, Feiyu; Morioka, Yushi; Bushuk, Mitchell] NOAA, Geophys Fluid Dynam Lab, Princeton, NJ 08540 USA; [Zhang, Liping; Bushuk, Mitchell] Univ Corp Atmospher Res, Boulder, CO 80307 USA; [Lu, Feiyu; Morioka, Yushi] Princeton Univ, Atmospher &amp; Ocean Sci, Princeton, NJ USA; [Morioka, Yushi] JAMSTEC, VAiG, Applicat Lab, Yokohama, Japan</t>
  </si>
  <si>
    <t>National Oceanic Atmospheric Admin (NOAA) - USA; National Center Atmospheric Research (NCAR) - USA; Princeton University; Japan Agency for Marine-Earth Science &amp; Technology (JAMSTEC)</t>
  </si>
  <si>
    <t>Zhang, LP (corresponding author), NOAA, Geophys Fluid Dynam Lab, Princeton, NJ 08540 USA.;Zhang, LP (corresponding author), Univ Corp Atmospher Res, Boulder, CO 80307 USA.</t>
  </si>
  <si>
    <t>Liping.Zhang@noaa.gov</t>
  </si>
  <si>
    <t>Yang, Xiaosong/C-7260-2009; Bushuk, Mitch/L-7032-2015; Morioka, Yushi/G-3431-2014; Zhang, Liping/L-6480-2015; Delworth, Thomas/C-5191-2014</t>
  </si>
  <si>
    <t>Morioka, Yushi/0000-0002-2709-4911; Zhang, Liping/0000-0003-1122-8927; Delworth, Thomas/0000-0003-4865-5391</t>
  </si>
  <si>
    <t>NOAA/GFDL; Grants-in-Aid for Scientific Research [22K03727] Funding Source: KAKEN</t>
  </si>
  <si>
    <t>NOAA/GFDL(National Oceanic Atmospheric Admin (NOAA) - USA); Grants-in-Aid for Scientific Research(Ministry of Education, Culture, Sports, Science and Technology, Japan (MEXT)Japan Society for the Promotion of ScienceGrants-in-Aid for Scientific Research (KAKENHI))</t>
  </si>
  <si>
    <t>We thank Sonya Legg and Tony Rosati for their extremely valuable suggestions and comments on our paper as GFDL internal reviewers. We thank Andrew Shao and Matthew Harrison for their great help in producing closed heat budget terms in SPEAR model. The work of T.L.D., X.Y., and F.Z. is supported as a base activity of NOAA's Geophysical Fluid Dynamics Laboratory. L.Z., F.L., Y.M., and B.M. are supported through UCAR or Princeton University under block funding from NOAA/GFDL.</t>
  </si>
  <si>
    <t>10.1038/s43247-022-00624-1</t>
  </si>
  <si>
    <t>6S4WZ</t>
  </si>
  <si>
    <t>WOS:000892990700001</t>
  </si>
  <si>
    <t>Hodgson, DA; Jordan, TA; Ross, N; Riley, TR; Fretwell, PT</t>
  </si>
  <si>
    <t>Hodgson, Dominic A.; Jordan, Tom A.; Ross, Neil; Riley, Teal R.; Fretwell, Peter T.</t>
  </si>
  <si>
    <t>Drainage and refill of an Antarctic Peninsula subglacial lake reveal anactive subglacial hydrological network</t>
  </si>
  <si>
    <t>ICE SHELF; SURFACE MELT; MELTWATER; GLACIER; BENEATH; LAND</t>
  </si>
  <si>
    <t>The presence of subglacial lakes and subglacial hydrologicalnetworks under the East and West Antarctic ice sheets is now relatively wellunderstood, whilst their influence on ice dynamics is the subject of ongoingresearch. In contrast, little is known about subglacial lakes andhydrological networks under the Antarctic Peninsula Ice Sheet and how theseare influencing glacier behaviour. Here we describe the rapid drainage andslow refill of a subglacial lake under Mars Glacier using remote sensing andaerogeophysics. Results suggest drainage of the subglacial lake occurredprior to 2011, resulting in the collapse of the overlying ice into the newlyformed subglacial cavity. The cavity has been refilling since this time,with peak rates of infilling associated with seasonal surface meltwater activity. Wereview evidence for similar features elsewhere in the Antarctic Peninsulaand discuss whether their appearance marks a threshold shift in glacier thermalregimes and the activation or enhancement of their subglacialhydrological networks by surface meltwater. Collectively, these featuresshow coupling of climate processes and the bed of the region's glaciershighlighting their ongoing vulnerability to climate change.</t>
  </si>
  <si>
    <t>[Hodgson, Dominic A.; Jordan, Tom A.; Riley, Teal R.; Fretwell, Peter T.] British Antarctic Survey, High Cross Madingley Rd, Cambridge CB3 0ET, England; [Ross, Neil] Newcastle Univ, Sch Geog Polit &amp; Sociol, Claremont Rd, Newcastle Upon Tyne NE1 7RU, England</t>
  </si>
  <si>
    <t>UK Research &amp; Innovation (UKRI); Natural Environment Research Council (NERC); NERC British Antarctic Survey; Newcastle University - UK</t>
  </si>
  <si>
    <t>Hodgson, DA (corresponding author), British Antarctic Survey, High Cross Madingley Rd, Cambridge CB3 0ET, England.</t>
  </si>
  <si>
    <t>daho@bas.ac.uk</t>
  </si>
  <si>
    <t>Jordan, Tom/0000-0003-2780-1986; Riley, Teal/0000-0002-3333-5021; Hodgson, Dominic/0000-0002-3841-3746</t>
  </si>
  <si>
    <t>Natural Environment Research Council [bas0100030]</t>
  </si>
  <si>
    <t>Natural Environment Research Council(UK Research &amp; Innovation (UKRI)Natural Environment Research Council (NERC))</t>
  </si>
  <si>
    <t>This research has been supported by the Natural Environment Research Council (grant no. bas0100030).</t>
  </si>
  <si>
    <t>10.5194/tc-16-4797-2022</t>
  </si>
  <si>
    <t>6R5AN</t>
  </si>
  <si>
    <t>Green Submitted, gold, Green Accepted</t>
  </si>
  <si>
    <t>WOS:000892315800001</t>
  </si>
  <si>
    <t>Peterson, LD; Newcombe, ME; Alexander, CMO; Wang, JH; Sarafian, AR; Bischoff, A; Nielsen, SG</t>
  </si>
  <si>
    <t>Peterson, Liam D.; Newcombe, Megan E.; Alexander, Conel M. O'D.; Wang, Jianhua; Sarafian, Adam R.; Bischoff, Addi; Nielsen, Sune G.</t>
  </si>
  <si>
    <t>The H2O content of the ureilite parent body</t>
  </si>
  <si>
    <t>Primitive achondrites; Ureilite; Water; Volatiles</t>
  </si>
  <si>
    <t>PRESSURE-TEMPERATURE RELATIONSHIPS; SOLAR-SYSTEM; ISOTOPIC COMPOSITIONS; MANTLE MINERALS; SIDEROPHILE ELEMENTS; AQUEOUS ALTERATION; SILICATE-GLASSES; MELT INCLUSIONS; NOBLE-GASES; WATER</t>
  </si>
  <si>
    <t>The fate of highly volatile elements (H, C, F, Cl and S) during planetary accretion and differentiation is debated. Recent analyses of water in non-carbonaceous chondrites (RC, OC, EC) and achondrites (angrites, eucrites) have been used to argue that inner solar system parent bodies accreted and retained their highly volatile element budgets from their primary feedstock without substantial loss during accretion, metamorphism and differentiation. An alternative model posits that differentiated inner solar system parent bodies (e.g., the angrite parent body, 4 Vesta, Earth) derived the majority of their water from a carbonaceous chondrite-like source, delivered during the final stages of accretion.In order to add new constraints to this debate, we have measured water in nominally anhydrous minerals, melt inclusions, and interstitial glass in ureilites, the largest group of primitive achondrites in the terrestrial meteorite collection. Primitive achondrites did not experience global melting and homogenization. Therefore, these meteorites capture part of the transition from chondritic to achondritic parent bodies, allowing us to constrain the fate of water during the earliest stages of differentiation. Our nano-scale secondary ion mass spectrometry (nanoSIMS) analyses allow us to assess the viability of ureilite-like material as a potential source of terrestrial water. Analyses of pigeonite in main group ureilites yield a range of 2.0 - 6.0 lg/g H2O, and analyses of high-Ca pyroxene and glass (glassy melt inclusions and interstitial glass) in the Almahata Sitta ureilitic trachyandesite yield ranges of 13 - 19 lg/g H2O and 44 - 216 lg/g H2O, respectively. Mass balance, incremental melting, and batch melting calculations yield a preferred ureilite parent body H2O content of 2 - 20 lg/g, similar to previous estimates of water in the eucrite parent body (4 Vesta), but lower than estimates of Earth's water budget. With these data, we demonstrate that 1) the ureilite parent body is H2O-depleted relative to the Earth; 2) ureilite-like material is unlikely to be a primary source of H2O to the Earth; 3) C and H are not necessarily coupled elements during planetary accretion and thermal processing; and 4) accretion, heating, partial melting, and degassing of rocky planetesimals likely results in significant depletion of H2O.&amp; COPY; 2022 Elsevier Ltd. All rights reserved.</t>
  </si>
  <si>
    <t>[Peterson, Liam D.; Newcombe, Megan E.] Univ Maryland, Dept Geol, College Pk, MD 20740 USA; [Alexander, Conel M. O'D.; Wang, Jianhua] Carnegie Inst Sci, Earth &amp; Planets Lab, Washington, DC 20015 USA; [Sarafian, Adam R.] Corning, Corning, NY 14873 USA; [Bischoff, Addi] Westfal Wilhelms Univ Munster, Inst Planetol, D-48149 Munster, Germany; [Nielsen, Sune G.] Woods Hole Oceanog Inst, NIRVANA Labs, Woods Hole, MA 02540 USA; [Nielsen, Sune G.] Woods Hole Oceanog Inst, Dept Geol &amp; Geophys, Woods Hole, MA 02540 USA</t>
  </si>
  <si>
    <t>University System of Maryland; University of Maryland College Park; Carnegie Institution for Science; Corning Inc; University of Munster; Woods Hole Oceanographic Institution; Woods Hole Oceanographic Institution</t>
  </si>
  <si>
    <t>Peterson, LD (corresponding author), Univ Maryland, Dept Geol, College Pk, MD 20740 USA.</t>
  </si>
  <si>
    <t>ldpete@umd.edu</t>
  </si>
  <si>
    <t>Wang, Jianhua/D-6500-2011; Alexander, Conel M. O'D./N-7533-2013; Nielsen, Sune G/C-7345-2011</t>
  </si>
  <si>
    <t>Wang, Jianhua/0000-0002-7671-2413; Alexander, Conel M. O'D./0000-0002-8558-1427; Newcombe, Megan Eve/0000-0002-8450-768X</t>
  </si>
  <si>
    <t>NASA [80NSSC22K0043]; Deutsche Forschungsgemeinschaft (DFG, German Research Foundation) [263649064 - TRR 170]; NSF; NASA; NASA FINESST; [80NSSC20K0336]</t>
  </si>
  <si>
    <t>NASA(National Aeronautics &amp; Space Administration (NASA)); Deutsche Forschungsgemeinschaft (DFG, German Research Foundation)(German Research Foundation (DFG)); NSF(National Science Foundation (NSF)); NASA(National Aeronautics &amp; Space Administration (NASA)); NASA FINESST;</t>
  </si>
  <si>
    <t>&amp; nbsp;We are grateful to Philip Piccoli for his help with the EPMA analyses. This work was supported by NASA emerging worlds grant 80NSSC20K0336 to SGN, MEN and CMO'DA, and NASA FINESST grant 80NSSC22K0043 awarded to LDP. This work is also partly funded by the Deutsche Forschungsgemeinschaft (DFG, German Research Foundation) - Project-ID 263649064 - TRR 170 (A.B.) . This is TRR170 Publication No. 174. We thank the US Antarctic meteorite collection for providing Antarctic meteorites used in this study. US Antarctic meteorite samples are recovered by the Antarctic Search for Meteorites (ANSMET) program, which has been funded by NSF and NASA, and characterized and curated by the Astromaterials Curation Office at NASA Johnson Space Center and the Department of Mineral Sciences of the Smithsonian Institution. We are grateful to our three reviewers for their helpful comments and to Anne Peslier for editorial handling.</t>
  </si>
  <si>
    <t>10.1016/j.gca.2022.10.036</t>
  </si>
  <si>
    <t>M3ES8</t>
  </si>
  <si>
    <t>WOS:001029050100001</t>
  </si>
  <si>
    <t>Egbers, PH; Zurhelle, C; Koch, BP; Dürwald, A; Harder, T; Tebben, J</t>
  </si>
  <si>
    <t>Egbers, Philipp H.; Zurhelle, Christian; Koch, Boris P.; Duerwald, Alexandra; Harder, Tilmann; Tebben, Jan</t>
  </si>
  <si>
    <t>Selective purification of catecholate, hydroxamate and ?-hydroxycarboxylate siderophores with titanium dioxide affinity chromatography</t>
  </si>
  <si>
    <t>SEPARATION AND PURIFICATION TECHNOLOGY</t>
  </si>
  <si>
    <t>Siderophores; Iron cycle; Metal oxide affinity chromatography; Ligand purification; Titanium dioxide</t>
  </si>
  <si>
    <t>METAL-OXIDES; AQUEOUS-SOLUTIONS; ADSORPTION; TIO2; ACID; SURFACES; FLAVONOIDS; ADHESION</t>
  </si>
  <si>
    <t>Siderophores, high affinity iron chelators, play a key role in the uptake of iron by microorganisms and regulate many biological functions. Siderophores are categorized by their chelating group, e.g., catecholates, hydrox-amates, alpha-hydroxycarboxylates. Natural concentrations of siderophores are often either too low or sample matrices are too complex for direct analysis by, e.g., liquid chromatography - mass spectrometry. Therefore, both concentration and purification are prerequisite for reliable analyses. However, a chromatographic technique that is selective for all siderophore classes and affords high levels of purification is lacking. We developed a titanium dioxide affinity chromatography (TDAC) solid-phase extraction (SPE) that affords the selective purification of these siderophore classes from complex sample matrices with recoveries up to 82%. The one-step purification removed most non-ligand sample 'contaminants', therefore, affording the straightforward identification of siderophore peaks in base peak chromatograms. As a proof of concept, the bioinformatic processing, der-eplication of known features and selection of significant features in the TDAC eluates afforded a fast identifi-cation of six novel siderophores (woodybactines) from bacterial supernatants. We propose TDAC SPE as a fast and cost-effective methodology to screen for known or discover novel siderophores in natural samples in com-bination with untargeted bioinformatic processing by, e.g., XCMS. The method is scalable and yielded large amounts of highly purified siderophores from bacterial culture supernatants, providing an effective quantitative sample clean-up for, e.g., NMR structure elucidation.</t>
  </si>
  <si>
    <t>[Egbers, Philipp H.; Zurhelle, Christian; Harder, Tilmann] Univ Bremen, Fac Biol &amp; Chem, Leobener Str 6, D-628359 Bremen, Germany; [Koch, Boris P.; Harder, Tilmann; Tebben, Jan] Helmholtz Ctr Polar &amp; Marine Res, Alfred Wegener Inst, Dept Ecol Chem, Handelshafen 12, D-27570 Bremerhaven, Germany; [Koch, Boris P.] Univ Appl Sci, Karlstadt 8, D-27568 Bremerhaven, Germany; [Duerwald, Alexandra] Univ Greifswald, Inst Pharm, Pharmaceut Biotechnol, Felix Hausdorff Str 3, D-17487 Greifswald, Germany</t>
  </si>
  <si>
    <t>University of Bremen; Helmholtz Association; Alfred Wegener Institute, Helmholtz Centre for Polar &amp; Marine Research; Universitat Greifswald</t>
  </si>
  <si>
    <t>Tebben, J (corresponding author), Helmholtz Ctr Polar &amp; Marine Res, Alfred Wegener Inst, Dept Ecol Chem, Handelshafen 12, D-27570 Bremerhaven, Germany.</t>
  </si>
  <si>
    <t>jan.tebben@awi.de</t>
  </si>
  <si>
    <t>Koch, Boris/B-2784-2009</t>
  </si>
  <si>
    <t>Koch, Boris/0000-0002-8453-731X; Tebben, Jan/0000-0002-2780-2236</t>
  </si>
  <si>
    <t>Deutsche Forschungsgemeinschaft (DFG) [SPP 1158, TE 1205/3-1, HA 3496/8-1]; University of Bremen [ZF06A/2019/FB02/]; Helmholtz Association [PoF IV ST 6.1, 6.3]</t>
  </si>
  <si>
    <t>Deutsche Forschungsgemeinschaft (DFG)(German Research Foundation (DFG)); University of Bremen; Helmholtz Association(Helmholtz Association)</t>
  </si>
  <si>
    <t>We thank Jennifer Bergemann for support with the bacterial cul-tures. We thank the late Carl Carrano for the Marinobacter strain. We thank Hartmut Becker and Jona Meyer (KRONOS TITAN GmbH.) for the titanium dioxide and the particle size determination. This work was supported by the Deutsche Forschungsgemeinschaft (DFG) in the framework of the priority program Antarctic Research with comparative investigations in Arctic ice areas SPP 1158 (TE 1205/3-1, HA 3496/8-1), by the University of Bremen (Exploration Project ZF06A/ 2019/FB02/Harder_Tilmann) and by the Helmholtz Association (PoF IV ST 6.1, 6.3)</t>
  </si>
  <si>
    <t>1383-5866</t>
  </si>
  <si>
    <t>1873-3794</t>
  </si>
  <si>
    <t>SEP PURIF TECHNOL</t>
  </si>
  <si>
    <t>Sep. Purif. Technol.</t>
  </si>
  <si>
    <t>FEB 15</t>
  </si>
  <si>
    <t>10.1016/j.seppur.2022.122639</t>
  </si>
  <si>
    <t>Engineering, Chemical</t>
  </si>
  <si>
    <t>7H9XB</t>
  </si>
  <si>
    <t>WOS:000903549000004</t>
  </si>
  <si>
    <t>Zhu, DY; Zhou, CX; Zhu, YK; Peng, BY</t>
  </si>
  <si>
    <t>Zhu, Dongyu; Zhou, Chunxia; Zhu, Yikai; Peng, Boyang</t>
  </si>
  <si>
    <t>Evolution of supraglacial lakes on Sermeq Avannarleq glacier, Greenland using Google Earth Engine</t>
  </si>
  <si>
    <t>JOURNAL OF HYDROLOGY-REGIONAL STUDIES</t>
  </si>
  <si>
    <t>Greenland ice sheet; Supraglacial lakes; Google Earth Engine; Long-term change; Internal year characteristics</t>
  </si>
  <si>
    <t>ICE-SHEET; SEASONAL EVOLUTION; WEST GREENLAND; LANDSAT 8; DRAINAGE; SHELF; TRACKING; STREAMS; ISBRAE; DEPTH</t>
  </si>
  <si>
    <t>Study region: This study investigates the Supraglacial lakes (SGLs) of Sermeq Avannarleq glacier. This glacier is in southwest Greenland, which has active glacial meltwater.Study focus: Supraglacial lakes (SGLs) are an essential part of the hydrological systems of ice sheets, and their development is vital for determining the stability of ice sheets. This paper use 188 scenes of Landsat images during the melting season from 2000 to 2020 with Google Earth Engine to analyze the seasonal changes of the SGLs. New hydrological insights: 1) The area, volume, and depth of the SGLs, increased, indicating the increasing melt in this area from 2000 to 2020. 2) the SGLs development peaked at 190-200 days of the year. The melting area significantly expanded at the initial stage, while the melting depth change was more significant than the area at the later stage. 3) The elevation reached by the SGLs advanced approximately 300 m inland from 1400 m to 1700 m elevation. The convergence of small lakes (&lt;0.25 km2), the reappearance of buried lakes, and the distribution of SGLs zone shift inland occurred during the SGLs development. 4) High recurrence lake area was mostly below 2 km2, and the recurrence rate of water were related to geographical factors. This study can provide technical support and a point of reference for monitoring the surface hydrological sys-tems in Greenland ice sheet.</t>
  </si>
  <si>
    <t>[Zhu, Dongyu; Zhou, Chunxia; Zhu, Yikai; Peng, Boyang] Wuhan Univ, Chinese Antarctic Ctr Surveying &amp; Mapping, Wuhan 430079, Peoples R China</t>
  </si>
  <si>
    <t>Wuhan University</t>
  </si>
  <si>
    <t>Zhou, CX (corresponding author), Wuhan Univ, Chinese Antarctic Ctr Surveying &amp; Mapping, Wuhan 430079, Peoples R China.</t>
  </si>
  <si>
    <t>zhouxc@whu.edu.cn</t>
  </si>
  <si>
    <t>Zhu, Yikai/AAW-6284-2021; ren, jing/JXN-8411-2024; liu, sha/JXL-6600-2024</t>
  </si>
  <si>
    <t>Zhu, Yikai/0000-0002-6613-0188;</t>
  </si>
  <si>
    <t>National Natural Science Foundation of China (NSFC); National Key Research and Development Program of China; Funds for the Distinguished Young Scientists of Hubei Province (China); [42171133]; [41941010]; [41776200]; [2018YFC1406102]; [2019CFA057]</t>
  </si>
  <si>
    <t>National Natural Science Foundation of China (NSFC)(National Natural Science Foundation of China (NSFC)); National Key Research and Development Program of China; Funds for the Distinguished Young Scientists of Hubei Province (China); ; ; ; ;</t>
  </si>
  <si>
    <t>This research is funded by the National Natural Science Foundation of China (NSFC) (42171133 , 41941010 , 41776200) , the National Key Research and Development Program of China (2018YFC1406102) , and the Funds for the Distinguished Young Scientists of Hubei Province (China) (2019CFA057) .</t>
  </si>
  <si>
    <t>2214-5818</t>
  </si>
  <si>
    <t>J HYDROL-REG STUD</t>
  </si>
  <si>
    <t>J. Hydrol.-Reg. Stud.</t>
  </si>
  <si>
    <t>10.1016/j.ejrh.2022.101246</t>
  </si>
  <si>
    <t>7F9TP</t>
  </si>
  <si>
    <t>WOS:000902181000001</t>
  </si>
  <si>
    <t>Passos, FD; Sarton, AF; Domaneschi, O; Bieler, R</t>
  </si>
  <si>
    <t>Passos, Flavio Dias; Sarton, Andre Fernando; Domaneschi, Osmar; Bieler, Rudiger</t>
  </si>
  <si>
    <t>Anatomy and behavior of Laternula elliptica, a keystone species of the Antarctic benthos (Bivalvia: Anomalodesmata: Laternulidae)</t>
  </si>
  <si>
    <t>PEERJ</t>
  </si>
  <si>
    <t>Anatomy; Morphology; Histology; Mollusca; Antarctica; Field observation; Pallial organs; Musculature; Siphons; Bivalve</t>
  </si>
  <si>
    <t>KING-GEORGE-ISLAND; SOFT-SHELLED CLAM; FUNCTIONAL-MORPHOLOGY; LARVAL DEVELOPMENT; KUNGKRABAEN BAY; THERMAL-STRESS; SOUTH SHETLAND; MYSELLA ANGAS; MAXWELL BAY; POTTER COVE</t>
  </si>
  <si>
    <t>Laternula elliptica (P. P. King, 1832) is the sole representative of the anomalodesmatan family Laternulidae and the largest bivalve in the Antarctic and Subantarctic. A keystone species of the regional benthic communities, it has reached model status, having been studied in hundreds of scientific works across many biological disciplines. In contrast, its anatomy has remained poorly known, with prior published data limited to partial descriptions based on chemically preserved specimens. Based on observations of aquarium-maintained living animals at the Brazilian Comandante Ferraz Antarctic Station, gross-morphological dissections, and histological sectioning, the comparative anatomy, functional morphology, and aspects of behavior of L. elliptica are described and discussed. Special focus is placed on the pallial organs (including elucidation of cleansing and feeding sorting mechanisms in the mantle cavity) and the musculature. Among the noteworthy findings are the presence of well-developed siphons furnished with sensory tentacles at its tips, some of which bearing eyes; large, folded gills and labial palps capable of sorting the material entering the mantle cavity; an inter-chamber communication in the posterior region of the mantle cavity; an ample ventral mantle fusion with an anterior pedal gape; the absence of a 4th pallial opening; and the absence of a ligamental lithodesma in adult specimens. This study reevaluates the available anatomical data in the literature, both supplementing and correcting previously published accounts.</t>
  </si>
  <si>
    <t>[Passos, Flavio Dias] Univ Campinas UNICAMP, Inst Biol, Dept Anim Biol, Campinas, SP, Brazil; [Sarton, Andre Fernando] Univ Cambridge, THIS Inst, Cambridge, England; [Sarton, Andre Fernando; Domaneschi, Osmar] Univ Sao Paulo, Inst Biosci, Dept Zool, Sao Paulo, Brazil; [Bieler, Rudiger] Negaunee Integrat Res Ctr, Field Museum Nat Hist, Chicago, IL 60604 USA</t>
  </si>
  <si>
    <t>Universidade Estadual de Campinas; Universidade de Sao Paulo; University of Cambridge; Universidade de Sao Paulo; Field Museum of Natural History (Chicago)</t>
  </si>
  <si>
    <t>Bieler, R (corresponding author), Negaunee Integrat Res Ctr, Field Museum Nat Hist, Chicago, IL 60604 USA.</t>
  </si>
  <si>
    <t>rbieler@fieldmuseum.org</t>
  </si>
  <si>
    <t>Bieler, Rudiger/F-3280-2010</t>
  </si>
  <si>
    <t>Bieler, Rudiger/0000-0002-9554-1947; Sartori, Andre/0000-0003-0682-1646</t>
  </si>
  <si>
    <t>National Council of Scientific and Technological Development (CNPq); Brazilian Navy; Sao Paulo Research Foundation (FAPESP) [99/02399-9]; Pos-Graduacao, Area Zoologia, IBUSP; FAPESP [2018/06347-6, 2018/10313-0]; U.S. National Science Foundation(NSF) [DEB-0732854]; Brazilian Air Force</t>
  </si>
  <si>
    <t>National Council of Scientific and Technological Development (CNPq)(Conselho Nacional de Desenvolvimento Cientifico e Tecnologico (CNPQ)); Brazilian Navy; Sao Paulo Research Foundation (FAPESP)(Fundacao de Amparo a Pesquisa do Estado de Sao Paulo (FAPESP)); Pos-Graduacao, Area Zoologia, IBUSP; FAPESP(Fundacao de Amparo a Pesquisa do Estado de Sao Paulo (FAPESP)); U.S. National Science Foundation(NSF)(National Science Foundation (NSF)); Brazilian Air Force</t>
  </si>
  <si>
    <t>This work was carried out within the Brazilian Antarctic Programme (PROANTAR),with financial and logistic support provided by the National Council of Scientific and Technological Development (CNPq), the Brazilian Navy and Brazilian Air Force.It was also supported by scholarships from Sao Paulo Research Foundation (FAPESP) (Proc. 99/02399-9) and fromPos-Graduacao, Area Zoologia, IBUSP. FAPESP also provided financial support through grants no. 2018/06347-6 and 2018/10313-0. Relevant bivalve research at the Field Museum was supported by U.S. National Science Foundation(NSF) award DEB-0732854 to Ruediger Bieler for the Bivalve-Tree-of-Life (BivAToL)project. The funders had no role in study design, data collection and analysis, decision topublish, or preparation of the manuscript</t>
  </si>
  <si>
    <t>PEERJ INC</t>
  </si>
  <si>
    <t>341-345 OLD ST, THIRD FLR, LONDON, EC1V 9LL, ENGLAND</t>
  </si>
  <si>
    <t>2167-8359</t>
  </si>
  <si>
    <t>PeerJ</t>
  </si>
  <si>
    <t>NOV 29</t>
  </si>
  <si>
    <t>e14380</t>
  </si>
  <si>
    <t>10.7717/peerj.14380</t>
  </si>
  <si>
    <t>6R8ZP</t>
  </si>
  <si>
    <t>WOS:000892585700001</t>
  </si>
  <si>
    <t>Cassaro, A; Pacelli, C; Onofri, S</t>
  </si>
  <si>
    <t>Cassaro, Alessia; Pacelli, Claudia; Onofri, Silvano</t>
  </si>
  <si>
    <t>Survival, metabolic activity, and ultrastructural damages of Antarctic black fungus in perchlorates media</t>
  </si>
  <si>
    <t>perchlorates tolerance; deliquescence; fungal growth; metabolic activity; eukaryotic organism</t>
  </si>
  <si>
    <t>SIMULATED MARTIAN CONDITIONS; CELL-WALL; WATER-ACTIVITY; LIQUID WATER; MARS; LIFE; GROWTH; SALTS; CHEMISTRY; RELEVANT</t>
  </si>
  <si>
    <t>Evidence from recent Mars landers identified the presence of perchlorates salts at 1 wt % in regolith and their widespread distribution on the Martian surface that has been hypothesized as a critical chemical hazard for putative life forms. However, the hypersaline environment may also potentially preserve life and its biomolecules over geological timescales. The high concentration of natural perchlorates is scarcely reported on Earth. The presence of perchlorates in soil and ice has been recorded in some extreme environments including the McMurdo Dry Valleys in Antarctica, one of the best terrestrial analogues for Mars. In the frame of Life in space Italian astrobiology project, the polyextremophilic black fungus Cryomyces antarcticus, a eukaryotic test organism isolated from the Antarctic cryptoendolithic communities, has been tested for its resistance, when grown on different hypersaline substrata. In addition, C. antarcticus was grown on Martian relevant perchlorate medium (0.4 wt% of Mg(ClO4)(2) and 0.6 wt% of Ca(ClO4)(2)) to investigate the possibility for the fungus to survive in Martian environment. Here, the results indicate a good survivability and metabolic activity recovery of the black fungus when grown on four Martian relevant perchlorates. A low percentage of damaged cellular membranes have been found, confirming the ultrastructural investigation.</t>
  </si>
  <si>
    <t>[Cassaro, Alessia; Pacelli, Claudia; Onofri, Silvano] Univ Tuscia, Dept Ecol &amp; Biol Sci, Largo Univ Snc, Viterbo, Italy; [Pacelli, Claudia] Italian Space Agcy, Human Spaceflight &amp; Sci Res Unit, Via Politecn, Rome, Italy</t>
  </si>
  <si>
    <t>Tuscia University; Agenzia Spaziale Italiana (ASI)</t>
  </si>
  <si>
    <t>Pacelli, C (corresponding author), Univ Tuscia, Dept Ecol &amp; Biol Sci, Largo Univ Snc, Viterbo, Italy.;Pacelli, C (corresponding author), Italian Space Agcy, Human Spaceflight &amp; Sci Res Unit, Via Politecn, Rome, Italy.</t>
  </si>
  <si>
    <t>claudia.pacelli@asi.it</t>
  </si>
  <si>
    <t>Italian Space Agency by ASI grant, Life in Space; Italian National Program of Antarctic Researches (PNRA) [ASI N. 2019-3-U.0]; Italian National Antarctic Museum Felice Ippolito (MNA)</t>
  </si>
  <si>
    <t>Italian Space Agency by ASI grant, Life in Space; Italian National Program of Antarctic Researches (PNRA); Italian National Antarctic Museum Felice Ippolito (MNA)</t>
  </si>
  <si>
    <t>This work was supported by the Italian Space Agency by ASI grant (ASI N. 2019-3-U.0, Life in Space). The Italian National Program of Antarctic Researches (PNRA) and the Italian National Antarctic Museum Felice Ippolito (MNA) are also acknowledged for funding the collection of Antarctic samples CCFEE.</t>
  </si>
  <si>
    <t>10.3389/fmicb.2022.992077</t>
  </si>
  <si>
    <t>6Z4ZN</t>
  </si>
  <si>
    <t>WOS:000897786900001</t>
  </si>
  <si>
    <t>Drago, M; Llorach, C; Cruz, UOS; Zenteno-Devaud, L; Rebolledo, L; Rita, D; Gazo, M; Cardona, L</t>
  </si>
  <si>
    <t>Drago, Massimiliano; Llorach, Celia; Cruz, Unai Ormazabal Santa; Zenteno-Devaud, Lisette; Rebolledo, Lorena; Rita, Diego; Gazo, Manel; Cardona, Luis</t>
  </si>
  <si>
    <t>Seasonal and interannual variability in the diet of young and subadult male Antarctic fur seals as revealed by stable C and N isotope ratios</t>
  </si>
  <si>
    <t>CANADIAN JOURNAL OF FISHERIES AND AQUATIC SCIENCES</t>
  </si>
  <si>
    <t>Antarctica; Arctocephalus gazella; blood components; feeding; foraging ecology; mammals; pinnipeds; isotopes; vibrissae</t>
  </si>
  <si>
    <t>ARCTOCEPHALUS-PUSILLUS-PUSILLUS; KRILL EUPHAUSIA-SUPERBA; SOUTH SHETLAND ISLANDS; NEW-ZEALAND; MARINE PREDATORS; DISCRIMINATION FACTORS; TEMPORAL VARIABILITY; FORAGING STRATEGIES; FOOD-CONSUMPTION; BREEDING-SEASON</t>
  </si>
  <si>
    <t>Detailed knowledge of marine mammal diet is critical to understand their ecological roles and for the adequate manage-ment of marine resources. Antarctic fur seals (Arctocephalus gazella) in the Southern Atlantic Ocean rely largely on Antarctic krill (Euphausia superba) during the summer months, but their winter diet remains largely unknown. Here, stable carbon and nitrogen isotope ratios in whiskers and blood of young (2-3 years old) and subadult (4-7 years old) Antarctic fur seal males from the South Shetland Islands were used to assess the seasonal and interannual changes in the krill contribution to their diet. The stable isotope ratios revealed that krill dominated the diet of young and subadult male Antarctic fur seals year-round, with penguins, and not fish, as the second major prey, regardless of year and season. The year-round reliance of young and subadult male Antarctic fur seals on krill should be considered for ecosystem-based fisheries management, as they represent the bulk of the fur seal population remaining off Antarctica during the winter months.</t>
  </si>
  <si>
    <t>[Drago, Massimiliano; Llorach, Celia; Cruz, Unai Ormazabal Santa; Rita, Diego; Gazo, Manel; Cardona, Luis] Univ Barcelona, Fac Biol, Dept Evolutionary Biol Ecol &amp; Environm Sci, Barcelona 08028, Spain; [Drago, Massimiliano; Llorach, Celia; Cruz, Unai Ormazabal Santa; Rita, Diego; Gazo, Manel; Cardona, Luis] Univ Barcelona, Inst Biodivers Res IRBio, Fac Biol, Barcelona 08028, Spain; [Zenteno-Devaud, Lisette] Univ Catolica Santisima Concepcion, Fac Ciencias, Dept Ecol, Concepcion 4030000, Chile; [Rebolledo, Lorena] Inst Antartico Chileno, Punta Arenas 6210445, Chile; [Rebolledo, Lorena] Univ Austral Chile, Ctr Invest Dinam Ecosistemas Marinos Atlas Latitud, Punta Arenas 6210445, Chile</t>
  </si>
  <si>
    <t>University of Barcelona; University of Barcelona; Universidad Catolica de la Santisima Concepcion; Universidad Austral de Chile</t>
  </si>
  <si>
    <t>Drago, M (corresponding author), Univ Barcelona, Fac Biol, Dept Evolutionary Biol Ecol &amp; Environm Sci, Barcelona 08028, Spain.;Drago, M (corresponding author), Univ Barcelona, Inst Biodivers Res IRBio, Fac Biol, Barcelona 08028, Spain.</t>
  </si>
  <si>
    <t>m.drago@ub.ed</t>
  </si>
  <si>
    <t>Gazo, Manel/F-6088-2012; Espada, Diego Rita/D-3047-2017; Drago, Massimiliano/JAN-9491-2023; Zenteno-Devaud, Lisette/HGB-2633-2022; Drago, Massimiliano/K-1863-2017; Cardona, Luis/L-1680-2014</t>
  </si>
  <si>
    <t>Gazo, Manel/0000-0003-1159-322X; Espada, Diego Rita/0000-0001-8358-6980; Drago, Massimiliano/0000-0003-2764-9849; Zenteno-Devaud, Lisette/0000-0002-1619-911X; Drago, Massimiliano/0000-0003-2764-9849; Llorach, Celia/0000-0001-6609-6576; Rebolledo, Lorena/0000-0003-0266-361X; Cardona, Luis/0000-0002-7892-1323</t>
  </si>
  <si>
    <t>Ministerio de Ciencia, Innovacin y Universidades from Spain [CTM2017-83319-P]; AEI/FEDER/UE (Agencia Espaola de Investigacin/Fondo Europeo de Desarrollo Regional/Unin Europea)</t>
  </si>
  <si>
    <t>Ministerio de Ciencia, Innovacin y Universidades from Spain; AEI/FEDER/UE (Agencia Espaola de Investigacin/Fondo Europeo de Desarrollo Regional/Unin Europea)</t>
  </si>
  <si>
    <t>This work was supported by the Ministerio de Ciencia, Innovacin y Universidades from Spain (grant number CTM2017-83319-P) and the AEI/FEDER/UE (Agencia Espaola de Investigacin/Fondo Europeo de Desarrollo Regional/Unin Europea) .</t>
  </si>
  <si>
    <t>0706-652X</t>
  </si>
  <si>
    <t>1205-7533</t>
  </si>
  <si>
    <t>CAN J FISH AQUAT SCI</t>
  </si>
  <si>
    <t>Can. J. Fish. Aquat. Sci.</t>
  </si>
  <si>
    <t>10.1139/cjfas-2022-0145</t>
  </si>
  <si>
    <t>A3BT8</t>
  </si>
  <si>
    <t>WOS:000891773200001</t>
  </si>
  <si>
    <t>McQueen, JP; Gattoni, K; Gendron, EMS; Schmidt, SK; Sommers, P; Porazinska, DL</t>
  </si>
  <si>
    <t>McQueen, J. Parr; Gattoni, Kaitlin; Gendron, Eli M. S.; Schmidt, Steven K.; Sommers, Pacifica; Porazinska, Dorota L.</t>
  </si>
  <si>
    <t>Host identity is the dominant factor in the assembly of nematode and tardigrade gut microbiomes in Antarctic Dry Valley streams</t>
  </si>
  <si>
    <t>SOIL NEMATODES; TAYLOR VALLEY; DIVERSITY; BACTERIA; CYANOBACTERIA; RESOLUTION; PHYLOGENY; CORRELATE; HABITAT</t>
  </si>
  <si>
    <t>Recent work examining nematode and tardigrade gut microbiomes has identified species-specific relationships between host and gut community composition. However, only a handful of species from either phylum have been examined. How microbiomes differ among species and what factors contribute to their assembly remains unexplored. Cyanobacterial mats within Antarctic Dry Valley streams host a simple and tractable natural ecosystem of identifiable microinvertebrates to address these questions. We sampled 2 types of coexisting mats (i.e., black and orange) across four spatially isolated streams, hand-picked single individuals of two nematode species (i.e., Eudorylaimus antarcticus and Plectus murrayi) and tardigrades, to examine their gut microbiomes using 16S and 18S rRNA metabarcoding. All gut microbiomes (bacterial and eukaryotic) were significantly less diverse than the mats they were isolated from. In contrast to mats, microinvertebrates' guts were depleted of Cyanobacteria and differentially enriched in taxa of Bacteroidetes, Proteobacteria, and Fungi. Among factors investigated, gut microbiome composition was most influenced by host identity while environmental factors (e.g., mats and streams) were less important. The importance of host identity in predicting gut microbiome composition suggests functional value to the host, similar to other organisms with strong host selected microbiomes.</t>
  </si>
  <si>
    <t>[McQueen, J. Parr; Gattoni, Kaitlin; Gendron, Eli M. S.; Porazinska, Dorota L.] Univ Florida, Dept Entomol &amp; Nematol, Gainesville, FL 32611 USA; [Schmidt, Steven K.; Sommers, Pacifica] Univ Colorado, Dept Ecol &amp; Evolutionary Biol, Boulder, CO 80309 USA</t>
  </si>
  <si>
    <t>State University System of Florida; University of Florida; University of Colorado System; University of Colorado Boulder</t>
  </si>
  <si>
    <t>Porazinska, DL (corresponding author), Univ Florida, Dept Entomol &amp; Nematol, Gainesville, FL 32611 USA.</t>
  </si>
  <si>
    <t>dorotalp@ufl.edu</t>
  </si>
  <si>
    <t>SCHMIDT, STEVEN K/G-2771-2010</t>
  </si>
  <si>
    <t>SCHMIDT, STEVEN K/0000-0002-9175-2085; McQueen, J. Parr/0000-0002-7873-0850</t>
  </si>
  <si>
    <t>NSF Office of Polar Programs [1443578, 1443373]; University of Florida</t>
  </si>
  <si>
    <t>NSF Office of Polar Programs(National Science Foundation (NSF)); University of Florida(University of Florida)</t>
  </si>
  <si>
    <t>The authors would like to thank Josh Darling and the McMurdo Dry Valleys LTER for the collection of samples used in this study. This work was funded by the NSF Office of Polar Programs Awards 1443578 and 1443373, and the University of Florida.</t>
  </si>
  <si>
    <t>10.1038/s41598-022-24206-5</t>
  </si>
  <si>
    <t>A6BD5</t>
  </si>
  <si>
    <t>WOS:000955946400076</t>
  </si>
  <si>
    <t>Faye, S; Rochon, A; St-Onge, G; Vilanova, I; de Vernal, A; Desiage, PA</t>
  </si>
  <si>
    <t>Faye, Simon; Rochon, Andre; St-Onge, Guillaume; Vilanova, Isabel; de Vernal, Anne; Desiage, Pierre-Arnaud</t>
  </si>
  <si>
    <t>Southern westerly winds and paleoceanography of the San Jorge Gulf (SW-Atlantic ocean, Argentina) during the last 14,000 years</t>
  </si>
  <si>
    <t>SEA-SURFACE TEMPERATURE; LAGUNA POTROK-AIKE; DINOFLAGELLATE CYSTS; PRIMARY PRODUCTIVITY; EASTERN ATLANTIC; PATAGONIAN DUST; ATMOSPHERIC CO2; GLACIAL MAXIMUM; LEVEL CHANGES; EVOLUTION</t>
  </si>
  <si>
    <t>We use pollen and dinocyst assemblages from three sedimentary sequences of the San Jorge Gulf (SJG) to document the vegetation history of the extra-Andean/eastern Patagonia (Argentina), and the latitudinal variations of the Southern Westerly Wind Belt (SWWB) in relation with ocean changes during the Late Pleistocene and Holocene. Our results suggest that prior to 14 cal ka BP, the vegetation of the SJG was dominated by halophytic taxa probably related to arid conditions in coastal environments. After 14 cal ka BP, pollen data suggest the development of shrub and herb vegetation in the Patagonian steppe then characterized by semi-arid conditions. The 14 cal ka BP transition is marked by increasing Nothofagus pollen abundances, suggesting strong westerlies at the onset of the Antarctic Cold Reversal (ACR). This transition is also marked by the occurrence of marine palynomorphs (dinocysts, organic linings of for-aminifers), which relate to sea-level rise. The dinocyst assemblages allowed us to quantitatively esti-mates changes in summer sea-surface temperature (SST) and annual net primary productivity. Between 14 and 10.8 cal ka BP, which encompasses the glacial termination and the early Holocene, dinocyst as-semblages are dominated by Operculodinium centrocarpum (-82%) and Spiniferites mirabilis (-8%) that suggest warmer conditions than at present. The transition from early to middle Holocene was marked by high SWWB intensity as suggested by pollen assemblages, and an increase of heterotrophic taxa such as Brigantedinium spp., Echinidinium sp., Dubridinium sp., and the cysts of Polykrikos kofoidii, suggesting increased primary productivity and gradual cooling of surface water. After 4 cal ka BP, pollen data suggest a decrease in the SWWB intensity that correlates with glacier advances in Patagonia and a further decrease in summer SST in the SJG.(c) 2022 Elsevier Ltd. All rights reserved.</t>
  </si>
  <si>
    <t>[Faye, Simon; Rochon, Andre; St-Onge, Guillaume; de Vernal, Anne; Desiage, Pierre-Arnaud] Univ Quebec Rimouski, Inst Sci Mer Rimouski ISMER, Rimouski, PQ, Canada; [Faye, Simon; Rochon, Andre; St-Onge, Guillaume; de Vernal, Anne; Desiage, Pierre-Arnaud] Univ Quebec Montreal, Geotop Res Ctr, Montreal, PQ, Canada; [Faye, Simon; St-Onge, Guillaume; Desiage, Pierre-Arnaud] Canada Res Chair Marine Geol, Rimouski, PQ, Canada; [Vilanova, Isabel] Consejo Nacl Invest Cient &amp; Tecn, Museo Argentino Ciencias Nat, Buenos Aires, Argentina; [Desiage, Pierre-Arnaud] Geol Survey Canada Atlantic Dartmouth, Dartmouth, NS, Canada</t>
  </si>
  <si>
    <t>University of Quebec; Universite du Quebec a Rimouski; University of Quebec; University of Quebec Montreal; Consejo Nacional de Investigaciones Cientificas y Tecnicas (CONICET); Museo Argentino de Ciencias Naturales Bernardino Rivadavia (MACN)</t>
  </si>
  <si>
    <t>Faye, S (corresponding author), Canada Res Chair Marine Geol, Rimouski, PQ, Canada.</t>
  </si>
  <si>
    <t>si.faye@outlook.com</t>
  </si>
  <si>
    <t>de Vernal, Anne/D-5602-2013; St-Onge, Guillaume/E-4828-2014</t>
  </si>
  <si>
    <t>vilanova, isabel/0000-0002-8327-5207; Faye, Simon/0000-0002-5890-1085; Desiage, Pierre-Arnaud/0000-0001-8039-8546</t>
  </si>
  <si>
    <t>FRQNT Fonds de recherche du Quebece - Nature et technologies; NSERC (Natural Sciences and Engineering Research Council of Canada); ISMER-UQAR; GEOTOP; Quebec-Ocean; Reseau Quebec maritime</t>
  </si>
  <si>
    <t>FRQNT Fonds de recherche du Quebece - Nature et technologies; NSERC (Natural Sciences and Engineering Research Council of Canada)(Natural Sciences and Engineering Research Council of Canada (NSERC)); ISMER-UQAR; GEOTOP; Quebec-Ocean; Reseau Quebec maritime</t>
  </si>
  <si>
    <t>This research was funded by the FRQNT (Fonds de recherche du Quebece - Nature et technologies grant to G. St-Onge and A. Rochon)and NSERC (Natural Sciences and Engineering Research Council of Canada) Discovery grants to A. Rochon and G. St-Onge. The first author received various financial support (for scholarships,congress and internship) from ISMER-UQAR, GEOTOP, Quebec-Ocean and the Reseau Quebec maritime. We thank Vera Markgraf and an anonymous reviewer for their constructive comments. We thank Raquel Guerstein for her help in the identification of Cretaceous and Miocene dinocysts. Special thanks to Sebastien Zaragosi for his help to extract environmental data. We are grateful to the captain, officers, crew and scientists of the MARGES expedition on board the R/V Coriolis II. Finally, we thank the Ministeriode Ciencia, Tecnologia e Innovacion Productiva,MINCyT, the Province of Chubut and the Consejo Nacional de Investigaciones Cientificas Tecnicas, CONICET) for the MARGES and MARES expeditions</t>
  </si>
  <si>
    <t>10.1016/j.quascirev.2022.107858</t>
  </si>
  <si>
    <t>8B6FF</t>
  </si>
  <si>
    <t>WOS:000917017800002</t>
  </si>
  <si>
    <t>Burch, P; Curin-Osorio, S; Bessell-Browne, P; Tuck, GN; Haddon, M; Krueck, NC; Punt, AE</t>
  </si>
  <si>
    <t>Burch, Paul; Curin-Osorio, Sandra; Bessell-Browne, Pia; Tuck, Geoffrey N.; Haddon, Malcolm; Krueck, Nils C.; Punt, Andre E.</t>
  </si>
  <si>
    <t>Implications of the maximum modelled age on the estimation of natural mortality when using a meta-analytic prior: The example of eastern Australian orange roughy (Hoplostethus atlanticus)</t>
  </si>
  <si>
    <t>Plus group age; Informative prior; Stock assessment; Long-lived species</t>
  </si>
  <si>
    <t>RUN LENGTH CONTROL; STOCK ASSESSMENT; FISH; FISHERIES; ASSESSMENTS; TRACHICHTHYIDAE; PERFORMANCE; VALIDATION; HISTORY; GROWTH</t>
  </si>
  <si>
    <t>The eastern Australian stock of orange roughy (Hoplostethus atlanticus) is a deep-water, long-lived species with a history of considerable exploitation during the late 1980s and early 1990s before being reduced to around 10% of unfished spawning biomass only a few years later, resulting in the closure of the fishery in 2006. Recent as-sessments have shown an increase in biomass, and the fishery was re-opened to targeted fishing in 2015. The stock is an example of the consequences of over-exploitation and of managed recovery. As such, conservation groups and fisheries managers are very interested in the status and future of the stock. Consequently, the assessment is both contentious and highly scrutinised. The current assessment uses the Stock Synthesis platform, with key inputs being annual catches, occasional acoustic surveys and age-composition data. Natural mortality (M) has been fixed at 0.04 yr-1 in the model on which management advice was based for several assessment cycles, but the maximum likelihood estimate of M is closer to 0.03 yr-1. Reducing the assumed value for M would lead to large reductions in catch, as determined by the Australian harvest control rule. A prior for M was developed based on assessments of orange roughy stocks in New Zealand and included in a Bayesian analysis in which M was treated as an estimable parameter. The median of the posterior for M is 0.0353 yr-1 when the maximum age in the assessment (i.e., the 'plus-group age') is set to 80 years, but setting the plus-group age to 80 is not based on analysis of data. Increasing the plus-group age to 100 and 120 years leads to posterior medians for M of 0.0381 and 0.0393 yr-1 respectively. This has consequences for catch limits under the Australian harvest control rule, with models that have older plus-group ages having higher estimated productivity and recom-mended biological catches. The results highlight the value of making use of the results from assessments of similar species to develop priors for M, especially for species that are poorly represented in the data sets on which current meta-analyses are based, and for the need to consider the choice of plus-group age when conducting assessments, particularly for long-lived species.</t>
  </si>
  <si>
    <t>[Burch, Paul; Curin-Osorio, Sandra; Bessell-Browne, Pia; Tuck, Geoffrey N.; Haddon, Malcolm; Punt, Andre E.] CSIRO Oceans &amp; Atmosphere, GPO Box 1538, Hobart, Tas 7001, Australia; [Curin-Osorio, Sandra; Haddon, Malcolm; Krueck, Nils C.] Univ Tasmania, Inst Marine &amp; Antarctic Studies, Private Bag 49, Hobart, Tas 7001, Australia; [Punt, Andre E.] Univ Washington, Sch Aquat &amp; Fishery Sci, Seattle, WA USA; [Burch, Paul] CSIRO Oceans &amp; Atmosphere, 3 Castray Esplanade, Hobart, Tas 7001, Australia</t>
  </si>
  <si>
    <t>Commonwealth Scientific &amp; Industrial Research Organisation (CSIRO); University of Tasmania; University of Washington; University of Washington Seattle; Commonwealth Scientific &amp; Industrial Research Organisation (CSIRO)</t>
  </si>
  <si>
    <t>Burch, P (corresponding author), CSIRO Oceans &amp; Atmosphere, 3 Castray Esplanade, Hobart, Tas 7001, Australia.</t>
  </si>
  <si>
    <t>Paul.Burch@csiro.au</t>
  </si>
  <si>
    <t>Bessell-Browne, Pia/F-8054-2017; Bessell-Browne, Pia/JCE-5285-2023; Tuck, Geoffrey N/E-2356-2012; Bessell-Browne, Pia/HPG-7060-2023; Burch, Paul/J-7641-2014</t>
  </si>
  <si>
    <t>Bessell-Browne, Pia/0000-0002-7754-7675; Bessell-Browne, Pia/0000-0002-7754-7675; Burch, Paul/0000-0002-9853-462X; Haddon, Malcolm/0000-0001-6971-7585</t>
  </si>
  <si>
    <t>Australian Fisheries Management Authority (AFMA) [2019/800]</t>
  </si>
  <si>
    <t>Australian Fisheries Management Authority (AFMA)</t>
  </si>
  <si>
    <t>We would like to thank George Clement (Deepwater Group) and Patrick Cordue (ISL) for providing the sample of the updated combined posterior for New Zealand orange roughy M, Matt Dunn (NIWA) for suggesting we investigate plus-group age and providing criteria for selecting them, and the members of SERAG for comments on the 2021 eastern Australian orange roughy assessment. We are also grateful for areview of this work by Mark Grubert (AFMA) . The paper was improved by the comments of two anonymous reviewers. The data used in this study was provided by the Australian Fisheries Management Authority (AFMA) who also partially funded the work under AFMA project 2019/800.</t>
  </si>
  <si>
    <t>10.1016/j.fishres.2022.106534</t>
  </si>
  <si>
    <t>6W1PH</t>
  </si>
  <si>
    <t>WOS:000895506500005</t>
  </si>
  <si>
    <t>Raoult, V; Pirotta, V; Gaston, TF; Norman, B; Reynolds, S; Smith, TM; Double, M; How, J; Hayward, MW</t>
  </si>
  <si>
    <t>Raoult, Vincent; Pirotta, Vanessa; Gaston, Troy F.; Norman, Brad; Reynolds, Samantha; Smith, Tim M.; Double, Mike; How, Jason; Hayward, Matt W.</t>
  </si>
  <si>
    <t>Widespread exposure of marine parks, whales, and whale sharks to shipping</t>
  </si>
  <si>
    <t>acoustic pollution; AIS; marine parks; satellite tag; shark; ship strikes; shipping; whale</t>
  </si>
  <si>
    <t>PROTECTED AREAS; NOISE; IMPACTS; OCEAN; SPILLOVER; MORTALITY; FISH</t>
  </si>
  <si>
    <t>Context. Shipping impacts are a major environmental concern that can affect the behaviour and health of marine mammals and fishes. The potential impacts of shipping within marine parks is rarely considered during the planning process. Aims. We assessed the areal disturbance footprint of shipping around Australia, its overlap with marine parks, and known locations of megafauna, so as to identify areas of concern that warrant further investigation. Methods. Automatic Identification System (AIS) shipping data from 2018 to 2021 were interpreted through a kernel-density distribution and compared with satellite data from &amp; SIM;200 individuals of megafauna amalgamated from 2003 to 2018, and the locations of marine parks. Key results. Over 18% of marine parks had shipping exposure in excess of 365 vessels per year. Around all of Australia, 39% of satellite-tag reports from whale shark and 36.7% of pygmy blue and humpback whale satellite-tag reports were in moderate shipping-exposure areas (&gt; 90 ships per year). Shipping exposure significantly increased from 2018 despite the pandemic, including within marine parks. Conclusions. These results highlight the wide-scale footprint of commercial shipping on marine ecosystems that may be increasing in intensity over time.</t>
  </si>
  <si>
    <t>[Raoult, Vincent; Gaston, Troy F.; Smith, Tim M.] Univ Newcastle, Sch Environm &amp; Life Sci, Ourimbah, NSW 2250, Australia; [Pirotta, Vanessa] Macquarie Univ, Dept Biol Sci, Marine Predator Res Grp, Sydney, NSW 2109, Australia; [Norman, Brad; Reynolds, Samantha] ECOCEAN Inc, 439 Rapids Rd, Serpentine, WA 6125, Australia; [Norman, Brad] Murdoch Univ, Harry Butler Inst, Murdoch, WA, Australia; [Reynolds, Samantha] Univ Queensland, Sch Biol Sci, Brisbane, Qld 4072, Australia; [Double, Mike] Australian Antarctic Div, Australian Marine Mammal Ctr, Kingston, Tas 7050, Australia; [How, Jason] Dept Primary Ind &amp; Reg Dev, Perth, WA, Australia; [Hayward, Matt W.] Univ Newcastle, Sch Environm &amp; Life Sci, Newcastle, NSW 2300, Australia; [Hayward, Matt W.] Univ Pretoria, Ctr Invas Biol, ZA-0002 Pretoria, South Africa</t>
  </si>
  <si>
    <t>University of Newcastle; Macquarie University; Murdoch University; University of Queensland; Australian Antarctic Division; University of Newcastle; University of Pretoria</t>
  </si>
  <si>
    <t>Raoult, V (corresponding author), Univ Newcastle, Sch Environm &amp; Life Sci, Ourimbah, NSW 2250, Australia.</t>
  </si>
  <si>
    <t>vincent.raoult@newcastle.edu.au</t>
  </si>
  <si>
    <t>Raoult, Vincent/H-6038-2019; Pirotta, Dr Vanessa/I-7046-2018</t>
  </si>
  <si>
    <t>Raoult, Vincent/0000-0001-9459-111X; Reynolds, Samantha/0000-0003-4094-8018; Pirotta, Dr Vanessa/0000-0003-0395-1859</t>
  </si>
  <si>
    <t>10.1071/MF22050</t>
  </si>
  <si>
    <t>7T1BQ</t>
  </si>
  <si>
    <t>WOS:000901751500001</t>
  </si>
  <si>
    <t>Dawson, W; Peyton, JM; Pescott, OL; Adriaens, T; Cottier-Cook, EJ; Frohlich, DS; Key, G; Malumphy, C; Martinou, AF; Minchin, D; Moore, N; Rabitsch, W; Rorke, SL; Tricarico, E; Turvey, KMA; Winfield, IJ; Barnes, DKA; Baum, D; Bensusan, K; Burton, FJ; Carr, P; Convey, P; Copeland, AI; Fa, DA; Fowler, L; Garcia-Berthou, E; Gonzalez, A; Gonzalez-Moreno, P; Gray, A; Griffiths, RW; Guillem, R; Guzman, AN; Haakonsson, J; Hughes, KA; James, R; Linares, L; Maczey, N; Mailer, S; Manco, BN; Martin, S; Monaco, A; Moverley, DG; Rose-Smyth, C; Shanklin, J; Stevens, N; Stewart, AJ; Vaux, AGC; Warr, SJ; Werenkaut, V; Roy, HE</t>
  </si>
  <si>
    <t>Dawson, Wayne; Peyton, Jodey M.; Pescott, Oliver L.; Adriaens, Tim; Cottier-Cook, Elizabeth J.; Frohlich, Danielle S.; Key, Gillian; Malumphy, Chris; Martinou, Angeliki F.; Minchin, Dan; Moore, Niall; Rabitsch, Wolfgang; Rorke, Stephanie L.; Tricarico, Elena; Turvey, Katharine M. A.; Winfield, Ian J.; Barnes, David K. A.; Baum, Diane; Bensusan, Keith; Burton, Frederic J.; Carr, Peter; Convey, Peter; Copeland, Alison I.; Fa, Darren A.; Fowler, Liza; Garcia-Berthou, Emili; Gonzalez, Albert; Gonzalez-Moreno, Pablo; Gray, Alan; Griffiths, Richard W.; Guillem, Rhian; Guzman, Antenor N.; Haakonsson, Jane; Hughes, Kevin A.; James, Ross; Linares, Leslie; Maczey, Norbert; Mailer, Stuart; Manco, Bryan Naqqi; Martin, Stephanie; Monaco, Andrea; Moverley, David G.; Rose-Smyth, Christine; Shanklin, Jonathan; Stevens, Natasha; Stewart, Alan J.; Vaux, Alexander G. C.; Warr, Stephen J.; Werenkaut, Victoria; Roy, Helen E.</t>
  </si>
  <si>
    <t>Horizon scanning for potential invasive non-native species across the United Kingdom Overseas Territories</t>
  </si>
  <si>
    <t>CONSERVATION LETTERS</t>
  </si>
  <si>
    <t>biological invasions; biosecurity; exotic species; horizon scanning; introduced species; islands; non-native species; risk assessment; U.K Overseas Territories (UKOTs)</t>
  </si>
  <si>
    <t>THREATEN BIODIVERSITY; BENEFITS; IMPACTS</t>
  </si>
  <si>
    <t>Invasive non-native species (INNS) are recognized as a major threat to island biodiversity, ecosystems, and economies globally. Preventing high-risk INNS from being introduced is the most cost-effective way to avoid their adverse impacts. We applied a horizon scanning approach to identify potentially INNS in the United Kingdom Overseas Territories (OTs), ranging from Antarctica to the Caribbean, and from the Pacific to the Atlantic. High-risk species were identified according to their potential for arrival, establishment, and likely impacts on biodiversity and ecosystem function, economies, and human health. Across OTs, 231 taxa were included on high-risk lists. The highest ranking species were the Asian green mussel (Perna viridis), little fire ant (Wasmannia auropunctata), brown rat (Rattus norvegicus), and mesquite tree (Prosopis juliflora). Shipping containers were identified as the introduction pathway associated with the most species. The shared high-risk species and pathways identified provide a guide for other remote islands and archipelagos to focus ongoing biosecurity and surveillance aimed at preventing future incursions.</t>
  </si>
  <si>
    <t>[Dawson, Wayne; Copeland, Alison I.] Univ Durham, Dept Biosci, Stockton Rd, Durham DH1 3LE, England; [Peyton, Jodey M.; Pescott, Oliver L.; Rorke, Stephanie L.; Turvey, Katharine M. A.; Roy, Helen E.] UK Ctr Ecol &amp; Hydrol, Crowmarsh Gifford, England; [Adriaens, Tim] Res Inst Nat &amp; Forest INBO, Herman Teirlinckgebouw, Brussels, Belgium; [Cottier-Cook, Elizabeth J.] Scottish Marine Inst, Scottish Assoc Marine Sci, Oban, Scotland; [Frohlich, Danielle S.] SWCA Environm Consultants, Honolulu, HI USA; [Key, Gillian; Moore, Niall] Anim &amp; Plant Hlth Agcy, GB Nonnat Species Secretariat, York, N Yorkshire, England; [Malumphy, Chris] Fera Sci Ltd, York, N Yorkshire, England; [Martinou, Angeliki F.] British Forces Cyprus, Joint Serv Hlth Unit, Nicosia, Cyprus; [Martinou, Angeliki F.] Cyprus Inst, Nicosia, Cyprus; [Minchin, Dan] Klaipeda Univ, Marine Res Inst, Klaipeda, Lithuania; [Minchin, Dan] Marine Organism Invest, Clare, Ireland; [Rabitsch, Wolfgang] Environm Agcy Austria, Vienna, Austria; [Tricarico, Elena] Univ Florence, Dept Biol, Sesto Fiorentino, Italy; [Winfield, Ian J.] Lancaster Environm Ctr, UK Ctr Ecol &amp; Hydrol, Lancaster, England; [Barnes, David K. A.; Convey, Peter; Hughes, Kevin A.; Shanklin, Jonathan] NERC, British Antarctic Survey, Cambridge, England; [Baum, Diane] Ascension Isl Govt, Georgetown, Ascension Isl; [Bensusan, Keith; Haakonsson, Jane] Univ Gibraltar, Gibraltar Bot Gardens Campus, Gibraltar, Gibraltar; [Burton, Frederic J.] Cayman Isl Govt, Dept Environm, Grand Cayman, Cayman Islands; [Carr, Peter] Zool Soc London, Inst Zool, London, England; [Copeland, Alison I.] Govt Bermuda, Dept Environm &amp; Nat Resources, Hamilton Parish, Bermuda; [Fa, Darren A.] Univ Gibraltar, Nat Sci &amp; Environm Hub, Res Off, Europa Point Campus, Gibraltar, Gibraltar; [Fowler, Liza; Stevens, Natasha] St Helena Natl Trust, Jamestown, St Helena; [Garcia-Berthou, Emili] Univ Girona, Inst Aquat Ecol, Girona, Spain; [Gonzalez, Albert; Guillem, Rhian] Gibraltar Bot Gardens, Gibraltar, Gibraltar; [Gonzalez-Moreno, Pablo] Univ Cordoba, Dept Forest Engn, ERSAF, Cordoba, Spain; [Gonzalez-Moreno, Pablo; Maczey, Norbert] CABI, Egham, Surrey, England; [Gray, Alan] UK Ctr Ecol &amp; Hydrol, Penicuik, Midlothian, Scotland; [Griffiths, Richard W.] Isl Conservat, Santa Cruz, CA USA; [Guzman, Antenor N.] US Navy Support Facil Diego Garcia, Diego Garcia, Brit Ind Ocean; [James, Ross] Govt South Georgia &amp; South Sandwich Isl, Govt House, Stanley, Falkland Island; [Linares, Leslie] Gibraltar Ornithol &amp; Nat Hist Soc, Field Ctr, Jews Gate, Gibraltar, Gibraltar; [Mailer, Stuart] Dart Family Pk, Grand Cayman, Cayman Islands; [Manco, Bryan Naqqi] Natl Environm Ctr, Dept Environm &amp; Coastal Resources, Providenciales, Turks &amp; Caicos; [Martin, Stephanie] Govt Tristan Da Cunha, Edinburgh Seven Seas, Tristan da Cunh; [Monaco, Andrea] Univ Siena, Dept Life Sci, Siena, Italy; [Moverley, David G.] Secretariat Pacific Reg Environm Programme, Apia, Samoa; [Rose-Smyth, Christine] Verdant Isle Orchid Res, Grand Cayman, Cayman Islands; [Stewart, Alan J.] Univ Sussex, Sch Life Sci, Brighton, E Sussex, England; [Vaux, Alexander G. C.] UK Hlth Secur Agcy, Med Entomol, Salisbury, Wilts, England; [Warr, Stephen J.] HM Govt Gibraltar, Dept Environm, Gibraltar, Gibraltar; [Werenkaut, Victoria] Univ Nacl Comahue, Lab Ecotono, INIBIOMA CONICET, San Carlos De Bariloche, Rio Negro, Argentina</t>
  </si>
  <si>
    <t>Durham University; UK Centre for Ecology &amp; Hydrology (UKCEH); Research Institute for Nature &amp; Forest; UHI Millennium Institute; Animal &amp; Plant Health Agency UK; Food &amp; Environment Research Agency; Klaipeda University; University of Florence; UK Centre for Ecology &amp; Hydrology (UKCEH); Lancaster University; UK Research &amp; Innovation (UKRI); Natural Environment Research Council (NERC); NERC British Antarctic Survey; Zoological Society of London; Universitat de Girona; Universidad de Cordoba; UK Centre for Ecology &amp; Hydrology (UKCEH); University of Siena; University of Sussex; UK Health Security Agency (UKHSA); Consejo Nacional de Investigaciones Cientificas y Tecnicas (CONICET); Universidad Nacional del Comahue</t>
  </si>
  <si>
    <t>Dawson, W (corresponding author), Univ Durham, Dept Biosci, Stockton Rd, Durham DH1 3LE, England.</t>
  </si>
  <si>
    <t>wayne.dawson@durham.ac.uk</t>
  </si>
  <si>
    <t>Gray, Alan/JAC-4545-2023; García-Berthou, Emili/A-5392-2008; Tricarico, Elena/ABC-9819-2021; Convey, Peter/AAV-5728-2020; González-moreno, Pablo/C-8422-2015; Gray, Alan/HKE-2147-2023; Roy, Helen/A-1488-2010; Winfield, Ian J/I-6085-2012; Rabitsch, Wolfgang B/G-4562-2011; Stewart, Alan J/JCO-2587-2023; Adriaens, Tim/F-6936-2010; Hughes, Kevin/JVZ-0793-2024; Fa, Darren/F-1863-2015</t>
  </si>
  <si>
    <t>Gray, Alan/0000-0002-6785-0590; García-Berthou, Emili/0000-0001-8412-741X; Tricarico, Elena/0000-0002-7392-0794; Convey, Peter/0000-0001-8497-9903; González-moreno, Pablo/0000-0001-9764-8927; Gray, Alan/0000-0002-6785-0590; Adriaens, Tim/0000-0001-7268-4200; Monaco, Andrea/0000-0003-3336-5121; Fa, Darren/0000-0002-5900-9814; Dawson, Wayne/0000-0003-3402-0774; Copeland, Alison/0000-0001-8549-5054; Rabitsch, Wolfgang/0000-0002-3811-6071</t>
  </si>
  <si>
    <t>Natural Environment Research Council (NERC), under the UK-SCAPE program delivering National Capability [NE/R016429/1]; NERC</t>
  </si>
  <si>
    <t>Natural Environment Research Council (NERC), under the UK-SCAPE program delivering National Capability(UK Research &amp; Innovation (UKRI)Natural Environment Research Council (NERC)); NERC(UK Research &amp; Innovation (UKRI)Natural Environment Research Council (NERC))</t>
  </si>
  <si>
    <t>This work was supported by the Natural Environment Research Council (NERC) award number NE/R016429/1, under the UK-SCAPE program delivering National Capability. Peter Convey is supported by NERC core funding.</t>
  </si>
  <si>
    <t>1755-263X</t>
  </si>
  <si>
    <t>CONSERV LETT</t>
  </si>
  <si>
    <t>Conserv. Lett.</t>
  </si>
  <si>
    <t>JAN-FEB</t>
  </si>
  <si>
    <t>10.1111/conl.12928</t>
  </si>
  <si>
    <t>X6QL2</t>
  </si>
  <si>
    <t>WOS:000891230400001</t>
  </si>
  <si>
    <t>Nakayama, Y; Hirata, T; Goldberg, D; Greene, CA</t>
  </si>
  <si>
    <t>Nakayama, Yoshihiro; Hirata, Toshiki; Goldberg, Daniel; Greene, Chad A.</t>
  </si>
  <si>
    <t>What Determines the Shape of a Pine-IsIand-Like Ice Shelf?</t>
  </si>
  <si>
    <t>AMUNDSEN SEA EMBAYMENT; ISLAND GLACIER; THWAITES GLACIER; WEST ANTARCTICA; THERMOHALINE CIRCULATION; MASS-BALANCE; MELTING ICE; BASAL MELT; OCEAN; SHEET</t>
  </si>
  <si>
    <t>Ice shelf shape directly controls ocean heat intrusions, melting near the grounding line, and buttressing. Little is known about what determines ice-shelf shape because ice-ocean coupled simulations typically aim at projecting Antarctica's contribution to sea-level rise and they do not resolve small-scale ice-ocean interactive processes. We conduct ice-ocean coupled simulations for an idealized high-resolution, Pine-Island-like model configuration. We show that ocean melting and ice stretching caused by acceleration thin the ice shelf from the grounding line toward the ice shelf front, consistent with previous studies. In the across-flow direction, ocean melting and ice advection cancel each other out and flatten the ice shelf. More than one-third of the ice thinning from grounding line to ice front can be attributed to ocean melting at depths shallower than 500 m. Our results emphasize the importance of interactive processes between the entire ice shelf and the ocean for determining the ice shelf shape. Plain Language Summary Antarctic ice flows into the ocean and forms a floating extension of land ice called an ice shelf. The ice shelf shape directly controls the amount of ocean heat intrusions, melting near the grounding line, and buttressing. However, little is understood about ice-ocean interactive processes determining ice shelf shape because (a) ocean modelers apply a constant cavity geometry, (b) ice modelers mostly assume simplified melting parameterization, and (c) ice-ocean coupled simulations typically aim at projections of Antarctica's sea-level contributions and they require long model integration. We conduct ice-ocean coupled simulations for an idealized high-resolution Pine-Island-like model configuration. Basal melting and ice stretching create a typical ice shelf shape with steep thinning near the grounding line followed by gradual thinning toward the ice shelf front. In the across-flow direction, ice divergence from the center advects ice toward edges, compensating for melt-driven thinning and flattening ice shelf shape. We also show that ice melting at shallow depths contributes to about one-third of ice-shelf thinning. Although it is thought that ice shelf melting at the grounding line dominantly controls ice shelf behavior, our results suggest the importance of ice-ocean interactive processes for the entire ice shelf cavity for determining the ice shelf shape.</t>
  </si>
  <si>
    <t>[Nakayama, Yoshihiro] Hokkaido Univ, Inst Low Temp Sci, Sapporo, Hokkaido, Japan; [Hirata, Toshiki] Hokkaido Univ, Grad Sch Environ Sci, Sapporo, Hokkaido, Japan; [Goldberg, Daniel] Univ Edinburgh, Sch Geosci, Edinburgh, Midlothian, Scotland; [Greene, Chad A.] CALTECH, Jet Prop Lab, Pasadena, CA USA</t>
  </si>
  <si>
    <t>Hokkaido University; Hokkaido University; University of Edinburgh; California Institute of Technology; National Aeronautics &amp; Space Administration (NASA); NASA Jet Propulsion Laboratory (JPL)</t>
  </si>
  <si>
    <t>Nakayama, Y (corresponding author), Hokkaido Univ, Inst Low Temp Sci, Sapporo, Hokkaido, Japan.;Hirata, T (corresponding author), Hokkaido Univ, Grad Sch Environ Sci, Sapporo, Hokkaido, Japan.</t>
  </si>
  <si>
    <t>Yoshihiro.Nakayama@lowtem.hokudai.ac.jp; t.hira2112@gmail.com</t>
  </si>
  <si>
    <t>Greene, Chad/HTQ-9931-2023</t>
  </si>
  <si>
    <t>Greene, Chad/0000-0001-6710-6297</t>
  </si>
  <si>
    <t>NOV 28</t>
  </si>
  <si>
    <t>e2022GL101272</t>
  </si>
  <si>
    <t>10.1029/2022GL101272</t>
  </si>
  <si>
    <t>6N4QP</t>
  </si>
  <si>
    <t>Bronze, Green Published, Green Accepted</t>
  </si>
  <si>
    <t>WOS:000889542700001</t>
  </si>
  <si>
    <t>Finucane, G; Hautala, S</t>
  </si>
  <si>
    <t>Finucane, G.; Hautala, S.</t>
  </si>
  <si>
    <t>Transport of Antarctic Bottom Water Entering the Brazil Basin in a Planetary Geostrophic Inverse Model</t>
  </si>
  <si>
    <t>Brazil Basin; inverse model; planetary vorticity; AABW; WOCE</t>
  </si>
  <si>
    <t>DEEP CIRCULATION; ABYSSAL; SOUTH; ATLANTIC; OCEAN; FLOW</t>
  </si>
  <si>
    <t>The abyssal circulation in the interior portions of the Brazil Basin and northern Argentine Basin were estimated using an overdetermined inverse method conserving neutral surface planetary potential vorticity and salinity. Antarctic Bottom Water (AABW) flows with a northward component through 30 degrees S west of the Rio Grande Rise (RGR), as expected. However, in the area east of the RGR, the model shows southward transport in the upper part of the AABW across 30 degrees S. This finding suggests that previous calculations of northward transport through Hunter Channel reaching the broader Brazil Basin may be overestimates. Reduced northward transport through the Hunter Channel has significant implications for the heat budget, implying less diapycnal mixing across the warmer AABW classes, compared to earlier studies.</t>
  </si>
  <si>
    <t>[Finucane, G.] Univ Calif Los Angeles, Los Angeles, CA 90095 USA; [Finucane, G.; Hautala, S.] Univ Washington, Seattle, WA 98195 USA</t>
  </si>
  <si>
    <t>University of California System; University of California Los Angeles; University of Washington; University of Washington Seattle</t>
  </si>
  <si>
    <t>Finucane, G (corresponding author), Univ Calif Los Angeles, Los Angeles, CA 90095 USA.;Finucane, G (corresponding author), Univ Washington, Seattle, WA 98195 USA.</t>
  </si>
  <si>
    <t>gdf@ucla.edu</t>
  </si>
  <si>
    <t>Hautala, Susan/KHD-4226-2024</t>
  </si>
  <si>
    <t>Hautala, Susan/0000-0001-7935-8125; Finucane, Garrett/0000-0001-9665-6458</t>
  </si>
  <si>
    <t>e2022GL100121</t>
  </si>
  <si>
    <t>10.1029/2022GL100121</t>
  </si>
  <si>
    <t>6N3RS</t>
  </si>
  <si>
    <t>WOS:000889477300001</t>
  </si>
  <si>
    <t>Jourdain, NC; Mathiot, P; Burgard, C; Caillet, J; Kittel, C</t>
  </si>
  <si>
    <t>Jourdain, Nicolas C.; Mathiot, Pierre; Burgard, Clara; Caillet, Justine; Kittel, Christoph</t>
  </si>
  <si>
    <t>Ice Shelf Basal Melt Rates in the Amundsen Sea at the End of the 21st Century</t>
  </si>
  <si>
    <t>Antarctica; Amundsen Sea; ice shelves; melting; projection; NEMO</t>
  </si>
  <si>
    <t>SURFACE MASS-BALANCE; CIRCUMPOLAR DEEP-WATER; LEVEL RISE; SOUTHERN-OCEAN; LAND ICE; CLIMATE; MODEL; SECTOR; CIRCULATION; ICEBERGS</t>
  </si>
  <si>
    <t>Antarctic Ice Sheet projections show the highest sensitivity to increased basal melting in the Amundsen Sea. However, little is known about the processes that control future increase in melt rates. We build an ensemble of three ocean-sea-ice-ice-shelf simulations for both the recent decades and the late 21st century, constrained by regional atmosphere simulations and the multi-model mean climate change of the fifth Climate Model Intercomparison Project under the RCP8.5 scenario. The ice-shelf melt rates are typically multiplied by 1.4-2.2 from present day to future, for a total basal mass loss increased by 346 Gt yr(-1) on average. This is equally explained by advection of warmer water from remote locations and regional changes in Ekman downwelling and in the ice-shelf melt-induced circulation, while increased iceberg melt plays no significant role. Our simulations suggest that high-end melt projections previously used to constrain recent sea level projections may have been significantly overestimated.</t>
  </si>
  <si>
    <t>[Jourdain, Nicolas C.; Mathiot, Pierre; Burgard, Clara; Caillet, Justine; Kittel, Christoph] Univ Grenoble Alpes, CNRS IRD G INP, Inst Geosci &amp; Environm, Grenoble, France</t>
  </si>
  <si>
    <t>Communaute Universite Grenoble Alpes; Universite Grenoble Alpes (UGA)</t>
  </si>
  <si>
    <t>Jourdain, NC (corresponding author), Univ Grenoble Alpes, CNRS IRD G INP, Inst Geosci &amp; Environm, Grenoble, France.</t>
  </si>
  <si>
    <t>nicolas.jourdain@univ-grenoble-alpes.fr</t>
  </si>
  <si>
    <t>; Jourdain, Nicolas/B-6899-2015</t>
  </si>
  <si>
    <t>Caillet, Justine/0000-0001-9435-7585; Mathiot, Pierre/0000-0002-2001-0762; Burgard, Clara/0000-0003-3847-3172; Jourdain, Nicolas/0000-0002-1372-2235</t>
  </si>
  <si>
    <t>e2022GL100629</t>
  </si>
  <si>
    <t>10.1029/2022GL100629</t>
  </si>
  <si>
    <t>6N3QC</t>
  </si>
  <si>
    <t>WOS:000889472900001</t>
  </si>
  <si>
    <t>Chaplin-Kramer, R; Neugarten, RA; Sharp, RP; Collins, PM; Polasky, S; Hole, D; Schuster, R; Strimas-Mackey, M; Mulligan, M; Brandon, C; Diaz, S; Fluet-Chouinard, E; Gorenflo, LJ; Johnson, JA; Kennedy, CM; Keys, PW; Longley-Wood, K; McIntyre, PB; Noon, M; Pascual, U; Liermann, CR; Roehrdanz, PR; Schmidt-Traub, G; Shaw, MR; Spalding, M; Turner, WR; van Soesbergen, A; Watson, RA</t>
  </si>
  <si>
    <t>Chaplin-Kramer, Rebecca; Neugarten, Rachel A.; Sharp, Richard P.; Collins, Pamela M.; Polasky, Stephen; Hole, David; Schuster, Richard; Strimas-Mackey, Matthew; Mulligan, Mark; Brandon, Carter; Diaz, Sandra; Fluet-Chouinard, Etienne; Gorenflo, L. J.; Johnson, Justin A.; Kennedy, Christina M.; Keys, Patrick W.; Longley-Wood, Kate; McIntyre, Peter B.; Noon, Monica; Pascual, Unai; Liermann, Catherine Reidy; Roehrdanz, Patrick R.; Schmidt-Traub, Guido; Shaw, M. Rebecca; Spalding, Mark; Turner, Will R.; van Soesbergen, Arnout; Watson, Reg A.</t>
  </si>
  <si>
    <t>Mapping the planet's critical natural assets</t>
  </si>
  <si>
    <t>NATURE ECOLOGY &amp; EVOLUTION</t>
  </si>
  <si>
    <t>CONSERVATION; BIODIVERSITY; PEOPLE; MODEL; STATE; HALF</t>
  </si>
  <si>
    <t>Sustaining the organisms, ecosystems and processes that underpin human wellbeing is necessary to achieve sustainable development. Here we define critical natural assets as the natural and semi-natural ecosystems that provide 90% of the total current magnitude of 14 types of nature's contributions to people (NCP), and we map the global locations of these critical natural assets at 2 km resolution. Critical natural assets for maintaining local-scale NCP (12 of the 14 NCP) account for 30% of total global land area and 24% of national territorial waters, while 44% of land area is required to also maintain two global-scale NCP (carbon storage and moisture recycling). These areas overlap substantially with cultural diversity (areas containing 96% of global languages) and biodiversity (covering area requirements for 73% of birds and 66% of mammals). At least 87% of the world's population live in the areas benefitting from critical natural assets for local-scale NCP, while only 16% live on the lands containing these assets. Many of the NCP mapped here are left out of international agreements focused on conserving species or mitigating climate change, yet this analysis shows that explicitly prioritizing critical natural assets and the NCP they provide could simultaneously advance development, climate and conservation goals. Bringing together multiple models and databases on nature's contributions to people, the authors map these contributions globally and determine the critical areas where their magnitude is the highest and where they provide the highest potential human benefit.</t>
  </si>
  <si>
    <t>[Chaplin-Kramer, Rebecca; Sharp, Richard P.] SPRING, Oakland, CA 94612 USA; [Chaplin-Kramer, Rebecca] Univ Minnesota, Inst Environm, St Paul, MN 55108 USA; [Chaplin-Kramer, Rebecca] Stanford Univ, Nat Capital Project, Stanford, CA 94305 USA; [Neugarten, Rachel A.; McIntyre, Peter B.] Cornell Univ, Dept Nat Resources &amp; Environm, Ithaca, NY USA; [Neugarten, Rachel A.; Collins, Pamela M.; Hole, David; Noon, Monica; Roehrdanz, Patrick R.; Turner, Will R.] Conservat Int, Arlington, VA USA; [Polasky, Stephen; Johnson, Justin A.] Univ Minnesota, Dept Appl Econ, St Paul, MN 55108 USA; [Schuster, Richard] Carleton Univ, Dept Biol, 1125 Colonel By Dr, Ottawa, ON, Canada; [Schuster, Richard] Nat Conservancy Canada, Toronto, ON, Canada; [Strimas-Mackey, Matthew] Cornell Lab Ornithol, Ithaca, NY USA; [Mulligan, Mark; van Soesbergen, Arnout] Kings Coll London, Dept Geog, Bush House, London, England; [Brandon, Carter] World Resources Inst, Washington, DC 20006 USA; [Diaz, Sandra] Consejo Nacl Invest Cient &amp; Tecn, Inst Multidisciplinario Biol Vegetal IMBIV, Casilla Correo 495, Cordoba, Argentina; [Diaz, Sandra] Univ Nacl Cordoba, Fac Ciencias Exactas Fis &amp; Nat, Dept Diversidad Biol &amp; Ecol, Cordoba, Argentina; [Fluet-Chouinard, Etienne] Stanford Univ, Dept Earth Syst Sci, Stanford, CA 94305 USA; [Gorenflo, L. J.] Penn State Univ, Dept Landscape Architecture, University Pk, PA 16802 USA; [Kennedy, Christina M.] Nature Conservancy, Global Protect Oceans Lands &amp; Waters Program, Ft Collins, CO USA; [Keys, Patrick W.] Colorado State Univ, Sch Global Environm Sustainabil, Ft Collins, CO 80523 USA; [Longley-Wood, Kate; Spalding, Mark] Nature Conservancy, 4245 Fairfax Dr, Arlington, VA USA; [Pascual, Unai] Basque Ctr Climate Change, Sede Bldg 1,1st Floor, Leioa, Spain; [Pascual, Unai] Basque Fdn Sci, Ikerbasque, Bilbao, Spain; [Pascual, Unai] Univ Bern, Ctr Dev &amp; Environm, Bern, Switzerland; [Liermann, Catherine Reidy] Western Washington Univ Salish Sea Reg, Coll Environm, Everett, WA USA; [Schmidt-Traub, Guido] SYSTEMIQ Ltd, 110 High Holborn, London, England; [Shaw, M. Rebecca] World Wildlife Fund, San Francisco, CA USA; [Spalding, Mark] Univ Siena, Dept Phys Earth &amp; Environm Sci, Siena, Italy; [van Soesbergen, Arnout] Environm World Conservat Monitoring Ctr, Cambridge, England; [Watson, Reg A.] Univ Tasmania, Inst Marine &amp; Antarctic Studies, 20 Castray Esplanade, Hobart, Tas, Australia</t>
  </si>
  <si>
    <t>University of Minnesota System; University of Minnesota Twin Cities; Stanford University; Cornell University; Conservation International; University of Minnesota System; University of Minnesota Twin Cities; Carleton University; Cornell University; University of London; King's College London; Consejo Nacional de Investigaciones Cientificas y Tecnicas (CONICET); National University of Cordoba; Stanford University; Pennsylvania Commonwealth System of Higher Education (PCSHE); Pennsylvania State University; Pennsylvania State University - University Park; Nature Conservancy; Colorado State University; Nature Conservancy; Basque Centre for Climate Change (BC3); Basque Foundation for Science; University of Bern; World Wildlife Fund; University of Siena; University of Tasmania</t>
  </si>
  <si>
    <t>Chaplin-Kramer, R (corresponding author), SPRING, Oakland, CA 94612 USA.;Chaplin-Kramer, R (corresponding author), Univ Minnesota, Inst Environm, St Paul, MN 55108 USA.;Chaplin-Kramer, R (corresponding author), Stanford Univ, Nat Capital Project, Stanford, CA 94305 USA.</t>
  </si>
  <si>
    <t>rchaplin@umn.edu</t>
  </si>
  <si>
    <t>Neugarten, Rachel A/AAH-9166-2021; Spalding, Mark/GVU-0739-2022; Keys, Patrick/AAK-1359-2021; PASCUAL, UNAI/B-4766-2012; Hole, David/Q-1692-2019; Schuster, Richard/E-1619-2011; Díaz, Sandra/Q-9804-2018</t>
  </si>
  <si>
    <t>Neugarten, Rachel A/0000-0003-0647-0516; Keys, Patrick/0000-0002-7250-1563; Hole, David/0000-0001-9117-2956; Schuster, Richard/0000-0003-3191-7869; Díaz, Sandra/0000-0003-0012-4612; McIntyre, Peter/0000-0003-1809-7552; Chaplin-Kramer, Rebecca/0000-0002-1539-5231; Strimas-Mackey, Matthew/0000-0001-8929-7776; Fluet-Chouinard, Etienne/0000-0003-4380-2153</t>
  </si>
  <si>
    <t>Marianne Wallenberg Foundation; Betty and Gordon Moore</t>
  </si>
  <si>
    <t>We thank all the participants of two working groups hosted by Conservation International and the Natural Capital Project for their insights and intellectual contributions. For further advice or assistance, we thank A. Adams, K. Brandon, K. Brauman, A. Cramer, G. Daily, J. Fisher, R. Gould, L. Mandle, J. Montgomery, A. Rodewald, D. Rossiter, E. Selig, A. Vogl and T. M. Wright. The two working groups that provided the foundation for this analysis were funded by support from the Marcus and Marianne Wallenberg Foundation to the Natural Capital Project (R.C.-K. and R.P.S.) and the Betty and Gordon Moore to Conservation International (R.A.N. and P.M.C.).</t>
  </si>
  <si>
    <t>2397-334X</t>
  </si>
  <si>
    <t>NAT ECOL EVOL</t>
  </si>
  <si>
    <t>Nat. Ecol. Evol.</t>
  </si>
  <si>
    <t>2022 NOV 28</t>
  </si>
  <si>
    <t>10.1038/s41559-022-01934-5</t>
  </si>
  <si>
    <t>6N2WJ</t>
  </si>
  <si>
    <t>WOS:000889419000002</t>
  </si>
  <si>
    <t>Liang, YJ; Chen, ST; Wang, YJ; Zhao, K; Yang, SH; Wang, ZJ; Huang, YZ; Cheng, H; Edwards, RL</t>
  </si>
  <si>
    <t>Liang, Yi-Jia; Chen, Shi-Tao; Wang, Yong-Jin; Zhao, Kan; Yang, Shao-Hua; Wang, Zhen-Jun; Huang, Yu-Zheng; Cheng, Hai; Edwards, R. Lawrence</t>
  </si>
  <si>
    <t>Asian monsoon intensity coupled to Antarctic climate during Dansgaard-Oeschger 8 and Heinrich 4 glacial intervals</t>
  </si>
  <si>
    <t>EUROPEAN ICE-SHEET; MILLENNIAL-SCALE; ATLANTIC-OCEAN; SOUTHERN-OCEAN; GREENLAND; VARIABILITY; CIRCULATION; RECORD; ONSET; CHRONOLOGY</t>
  </si>
  <si>
    <t>The transition from glacial to interglacial periods has been hypothesized to be linked to millennial-scale changes in oceanic/atmospheric circulation, but the relationships between these phenomena remain poorly constrained. Here we present a speleothem oxygen isotope record from Yongxing Cave, China, spanning 40.9 to 33.1 ka and compare this to existing Antarctic proxy records. We find that decadal-to-centennial rapid shifts in the Asian summer monsoon, Antarctic temperature, atmospheric methane and carbon dioxide are all coupled together during Dansgaard-Oeschger cycles, which may suggest an important role of the Intertropical Convergence Zone and Southern Ocean in driving the global greenhouse gas changes. Analogous to millennial-scale variations in trend, amplitude and internal sub-centennial-scale structures during Dansgaard-Oeschger 8 and Heinrich Stadial 4, the Younger Dryas and Heinrich Stadial 1 during the last ice termination provided critical positive feedbacks to changes in terrestrial vegetation and northern ice volume, and may have contributed to glacial to interglacial transition. Decadal to centennial variations in the intensity of the Asian summer monsoon were coupled with Antarctic temperatures during the Dansgaard-Oeschger 8 and Heinrich 4 intervals, according to a speleothem oxygen isotope record from Yongxing Cave, China.</t>
  </si>
  <si>
    <t>[Liang, Yi-Jia] Nantong Univ, Sch Geog Sci, Nantong 226007, Peoples R China; [Liang, Yi-Jia; Chen, Shi-Tao; Wang, Yong-Jin; Zhao, Kan; Wang, Zhen-Jun; Huang, Yu-Zheng; Edwards, R. Lawrence] Nanjing Normal Univ, Sch Geog, Nanjing 210023, Peoples R China; [Yang, Shao-Hua] Nanjing Vocat Univ Ind Technol, Coll Econ &amp; Management, Nanjing 210023, Peoples R China; [Cheng, Hai] Xi An Jiao Tong Univ, Inst Global Environm Change, Xian 710054, Peoples R China; [Edwards, R. Lawrence] Univ Minnesota, Dept Earth &amp; Environm Sci, Minneapolis, MN 55455 USA</t>
  </si>
  <si>
    <t>Nantong University; Nanjing Normal University; Nanjing Vocational University of Industry Technology; Xi'an Jiaotong University; University of Minnesota System; University of Minnesota Twin Cities</t>
  </si>
  <si>
    <t>Chen, ST (corresponding author), Nanjing Normal Univ, Sch Geog, Nanjing 210023, Peoples R China.</t>
  </si>
  <si>
    <t>chenshitao@njnu.edu.cn</t>
  </si>
  <si>
    <t>Edwards, Richard/JAX-3732-2023</t>
  </si>
  <si>
    <t>Wang, Zhenjun/0000-0002-9786-6606</t>
  </si>
  <si>
    <t>National Research Foundation of China [42072207, 41931178, 42071105]; Jiangsu Center for Collaborative Innovation in Geographical Information Resource Development and Application; U.S. National Science Foundation [1702816]; 111 Program of China [D19002]; State Key Laboratory of Loess and Quaternary Geology, Institute of Earth Environment, CAS [SKLLQG2120]; Div Atmospheric &amp; Geospace Sciences; Directorate For Geosciences [1702816] Funding Source: National Science Foundation</t>
  </si>
  <si>
    <t>National Research Foundation of China(National Research Foundation of Korea); Jiangsu Center for Collaborative Innovation in Geographical Information Resource Development and Application; U.S. National Science Foundation(National Science Foundation (NSF)); 111 Program of China(Ministry of Education, China - 111 Project); State Key Laboratory of Loess and Quaternary Geology, Institute of Earth Environment, CAS(Chinese Academy of Sciences); Div Atmospheric &amp; Geospace Sciences; Directorate For Geosciences(National Science Foundation (NSF)NSF - Directorate for Geosciences (GEO))</t>
  </si>
  <si>
    <t>We would like to thank Dr. A. Landais for sharing the EDC and TALDICE ice core delta18O data. This work was funded by the National Research Foundation of China (award no. 42072207 to S.C., 41931178 to Y.W., no. 42071105 to K.Z.), Jiangsu Center for Collaborative Innovation in Geographical Information Resource Development and Application, the U.S. National Science Foundation (award no. 1702816 to R.L.E.), the 111 Program of China (award no. D19002 to R.L.E.) and the State Key Laboratory of Loess and Quaternary Geology, Institute of Earth Environment, CAS (award no. SKLLQG2120 to Y.L).</t>
  </si>
  <si>
    <t>10.1038/s43247-022-00633-0</t>
  </si>
  <si>
    <t>6N4VR</t>
  </si>
  <si>
    <t>WOS:000889556000003</t>
  </si>
  <si>
    <t>Vento, B; Agrain, F; Puebla, G</t>
  </si>
  <si>
    <t>Vento, Barbara; Agrain, Federico; Puebla, Griselda</t>
  </si>
  <si>
    <t>Ancient Antarctica: the early evolutionary history of Nothofagus</t>
  </si>
  <si>
    <t>HISTORICAL BIOLOGY</t>
  </si>
  <si>
    <t>Nothofagaceae; fossil; leaves; phylogeny; biogeography; southern beech</t>
  </si>
  <si>
    <t>KING GEORGE ISLAND; JAMES-ROSS-ISLAND; SUBGENUS BRASSOSPORA; WEST ANTARCTICA; NEW-ZEALAND; TERTIARY; BIOGEOGRAPHY; DISPERSAL; MACROFOSSILS; SYSTEMATICS</t>
  </si>
  <si>
    <t>The genus Nothofagus (southern beech) has an extensive fossil record and extant species exclusively distributed in the Southern Hemisphere. It is divided into four subgenera widespread across eastern Australasia and southern South America. The origin and evolution among closely related species remain an important question in palaeontology. The goal of this work is to reconstruct the biogeography of Nothofagus incorporating a complete leaf fossil dataset to better understand its origin, diversification, and colonisation history. The most ancient fossil leaves were discovered in Antarctica and are herein included for the first time into phylogenetic and biogeographic analyses. We employed statistical biogeographic methods implemented in BioGeoBEARS to estimate ancestral areas. The results support a high probability that the ancient ancestor of Nothofagus may have originated in Antarctica during the Late Cretaceous which is also supported by the fossil pollen record found in the Antarctic Peninsula. Subgenera Fuscospora and Lophozonia resulted in the most ancient clades, while the subgenera Nothofagus and Brassospora evolved later (Palaeogene). Our model supports that subgenera divergences were characterised by both dispersal and vicariance events from the Late Cretaceous to the early-middle Eocene.</t>
  </si>
  <si>
    <t>[Vento, Barbara] CCT CONICET, Dept Geobot &amp; Phytogeog, Inst Argentino Invest Zonas Aridas, IADIZA, Adrian Ruiz Leal S-N,Parque Gen San Martin, RA-5500 Mendoza, Argentina; [Agrain, Federico] CCT CONICET, Dept Entomol, Inst Argentino Invest Zonas Aridas, IADIZA, Mendoza, Argentina; [Puebla, Griselda] CCT CONICET, Dept Paleobotany, IANIGLA, Inst Argentino Nivol Glaciol &amp; Ciencias Ambientale, Mendoza, Argentina</t>
  </si>
  <si>
    <t>Consejo Nacional de Investigaciones Cientificas y Tecnicas (CONICET); Consejo Nacional de Investigaciones Cientificas y Tecnicas (CONICET); Consejo Nacional de Investigaciones Cientificas y Tecnicas (CONICET); University Nacional Cuyo Mendoza</t>
  </si>
  <si>
    <t>Vento, B (corresponding author), CCT CONICET, Dept Geobot &amp; Phytogeog, Inst Argentino Invest Zonas Aridas, IADIZA, Adrian Ruiz Leal S-N,Parque Gen San Martin, RA-5500 Mendoza, Argentina.</t>
  </si>
  <si>
    <t>bvento@mendoza-conicet.gov.ar</t>
  </si>
  <si>
    <t>CONICET (National Council of Science and Technology, Argentina); ANPCyT (Agencia Nacional de Promocion Cientifica y Tecnica, Argentina) [11220200102638CO]; CONICET; [PICT-2019-03121]</t>
  </si>
  <si>
    <t>CONICET (National Council of Science and Technology, Argentina)(Consejo Nacional de Investigaciones Cientificas y Tecnicas (CONICET)); ANPCyT (Agencia Nacional de Promocion Cientifica y Tecnica, Argentina)(ANPCyT); CONICET(Consejo Nacional de Investigaciones Cientificas y Tecnicas (CONICET));</t>
  </si>
  <si>
    <t>This work was funded by CONICET (National Council of Science and Technology, Argentina). FAA is gratefully to the additional support for the completion of this study provided by ANPCyT (Agencia Nacional de Promocion Cientifica y Tecnica, Argentina) PICT-2019-03121, and to CONICET PIP 2021-2023 (11220200102638CO). We would like to express a special acknowledgement to M. Pramparo for the valuable comments and suggestions made on the final version of the manuscript. We also thank the Willi Hennig Society for making the TNT program freely available. We kindly thank the comments of the anonymous reviewers that improved our work.</t>
  </si>
  <si>
    <t>0891-2963</t>
  </si>
  <si>
    <t>1029-2381</t>
  </si>
  <si>
    <t>HIST BIOL</t>
  </si>
  <si>
    <t>Hist. Biol.</t>
  </si>
  <si>
    <t>10.1080/08912963.2022.2150549</t>
  </si>
  <si>
    <t>Biology; Paleontology</t>
  </si>
  <si>
    <t>Life Sciences &amp; Biomedicine - Other Topics; Paleontology</t>
  </si>
  <si>
    <t>EC1I7</t>
  </si>
  <si>
    <t>WOS:000891862700001</t>
  </si>
  <si>
    <t>Moore, KA; Alexander, SP; Humphries, RS; Jensen, J; Protat, A; Reeves, JM; Sanchez, KJ; Kreidenweis, SM; DeMott, PJ</t>
  </si>
  <si>
    <t>Moore, Kathryn A.; Alexander, Simon P.; Humphries, Ruhi S.; Jensen, Jorgen; Protat, Alain; Reeves, J. Michael; Sanchez, Kevin J.; Kreidenweis, Sonia M.; DeMott, Paul J.</t>
  </si>
  <si>
    <t>Estimation of Sea Spray Aerosol Surface Area Over the Southern Ocean Using Scattering Measurements</t>
  </si>
  <si>
    <t>JOURNAL OF GEOPHYSICAL RESEARCH-ATMOSPHERES</t>
  </si>
  <si>
    <t>Southern Ocean; sea spray aerosol; aerosol surface area</t>
  </si>
  <si>
    <t>CLOUD CONDENSATION NUCLEI; MARINE AEROSOL; ICE NUCLEI; POLARIZATION LIDAR; OPTICAL-PROPERTIES; PARTICLE FORMATION; SIZE-DISTRIBUTION; BOUNDARY-LAYER; DESERT-DUST; SALT</t>
  </si>
  <si>
    <t>This study focuses on methods to estimate dry marine aerosol surface area (SA) from bulk optical measurements. Aerosol SA is used in many models' ice nucleating particle (INP) parameterizations, as well as influencing particle light scattering, hygroscopic growth, and reactivity, but direct observations are scarce in the Southern Ocean (SO). Two campaigns jointly conducted in austral summer 2018 provided co-located measurements of aerosol SA from particle size distributions and lidar to evaluate SA estimation methods in this region. Mie theory calculations based on measured size distributions were used to test a proposed approximation for dry aerosol SA, which relies on estimating effective scattering efficiency (Q) as a function of angstrom ngstrom exponent (a). For distributions with dry a &lt; 1, Q = 2 was found to be a good approximation within +/- 50%, but for distributions with dry a &gt; 1, an assumption of Q = 3 as in some prior studies underestimates dry aerosol SA by a factor of 2 or more. We propose a new relationship between dry a and Q, which can be used for -0.2 &lt; a &lt; 2, and suggest a = 0.8 as the cutoff between primary and secondary marine aerosol-dominated distributions. Application of a published methodology to retrieve dry marine aerosol SA from lidar extinction profiles overestimated aerosol SA by a factor of 3-5 during these campaigns. Using Microtops aerosol optical thickness measurements, we derive alternative lidar conversion parameters from our observations, applicable to marine aerosol over the SO.</t>
  </si>
  <si>
    <t>[Moore, Kathryn A.; Kreidenweis, Sonia M.; DeMott, Paul J.] Colorado State Univ, Dept Atmospher Sci, Ft Collins, CO 80521 USA; [Alexander, Simon P.] Australian Antarctic Div, Hobart, Tas, Australia; [Alexander, Simon P.; Humphries, Ruhi S.; Protat, Alain] Univ Tasmania, Inst Marine &amp; Antarctic Sci, Australian Antarctic Programme Partnership, Hobart, Tas, Australia; [Humphries, Ruhi S.] CSIRO Oceans &amp; Atmosphere, Climate Sci Ctr, Melbourne, Vic, Australia; [Jensen, Jorgen; Reeves, J. Michael] Natl Ctr Atmospher Res, Boulder, CO USA; [Protat, Alain] Australian Bur Meteorol, Melbourne, Vic, Australia; [Sanchez, Kevin J.] NASA, Langley Res Ctr, Hampton, VA USA</t>
  </si>
  <si>
    <t>Colorado State University; Australian Antarctic Division; University of Tasmania; Melbourne Genomics Health Alliance; Commonwealth Scientific &amp; Industrial Research Organisation (CSIRO); National Center Atmospheric Research (NCAR) - USA; Bureau of Meteorology - Australia; National Aeronautics &amp; Space Administration (NASA); NASA Langley Research Center</t>
  </si>
  <si>
    <t>Moore, KA (corresponding author), Colorado State Univ, Dept Atmospher Sci, Ft Collins, CO 80521 USA.</t>
  </si>
  <si>
    <t>kathryn.a.moore@colostate.edu</t>
  </si>
  <si>
    <t>Kreidenweis, Sonia M/E-5993-2011; DeMott, Paul/C-4389-2011</t>
  </si>
  <si>
    <t>Sanchez, Kevin/0000-0003-4456-0918; Kreidenweis, Sonia/0000-0002-2561-2914; Jensen, Jorgen/0000-0002-2504-1277; Alexander, Simon/0000-0001-6823-8857; DeMott, Paul/0000-0002-3719-1889</t>
  </si>
  <si>
    <t>National Center for Atmospheric Research; National Science Foundation [DE-SC0021116]; CSIRO Marine National Facility (MNF); National Science Foundation (NSF) [006784]; United States Department of Energy [4292]; NSF Graduate Research Fellowship; Australian Antarctic Science; Australian Government as part of the Antarctic Science Collaboration Initiative program; [1852977]; [AGS-1660486]; [DE-SC0018929]; U.S. Department of Energy (DOE) [DE-SC0021116] Funding Source: U.S. Department of Energy (DOE)</t>
  </si>
  <si>
    <t>National Center for Atmospheric Research; National Science Foundation(National Science Foundation (NSF)); CSIRO Marine National Facility (MNF); National Science Foundation (NSF)(National Science Foundation (NSF)); United States Department of Energy(United States Department of Energy (DOE)); NSF Graduate Research Fellowship(National Science Foundation (NSF)); Australian Antarctic Science; Australian Government as part of the Antarctic Science Collaboration Initiative program(Australian Government); ; ; ; U.S. Department of Energy (DOE)(United States Department of Energy (DOE))</t>
  </si>
  <si>
    <t>The authors thank Cory Wolff and Pavel Romashkin, NCAR project managers for the SOCRATES project, as well as the G-V crew, and the UCAR/NCAR-Earth Observing Laboratory for all their assistance and support. The material in the article is based upon work supported by the National Center for Atmospheric Research, which is a major facility sponsored by the National Science Foundation under Cooperative Agreement 1852977. The data collected during SOCRATES used NSF's Lower Atmosphere Observing Facilities, which are managed and operated by NCAR's Earth Observing Laboratory. The authors also thank the CSIRO Marine National Facility (MNF) for its support in the form of sea time on the RV Investigator, support personnel, scientific equipment, and data management during CAPRICORN-2. All data and samples acquired on the voyage are made publicly available in accordance with MNF Policy. In particular, the authors thank Ian McRobert (CSIRO Technical Services Officer) for assistance with the RV Investigator's electrical and data management systems and aerosol lab instrumentation during and after CAPRICORN-2, as well as Jason Ward (CSIRO Senior Experimental Scientist) and Melita Keywood (CSIRO Senior Principal Research Scientist) for their work in maintaining aerosol equipment on the RV Investigator. The authors also thank Jay Mace and the CAPRICORN-2 planning team for assistance and support. This work was primarily supported by the National Science Foundation (NSF) through Grant AGS-1660486 (PJD, KAM, SMK) and by the United States Department of Energy through Grants DE-SC0018929 and DE-SC0021116 (PJD, SMK). KAM acknowledges support by an NSF Graduate Research Fellowship under Grant 006784. The contribution of SPA was supported by the Australian Antarctic Science project 4292. This project also received grant funding from the Australian Government as part of the Antarctic Science Collaboration Initiative program. Any opinions, findings, and conclusions or recommendations expressed in this material are those of the author(s) and do not necessarily reflect the views of the National Science Foundation. The authors gratefully acknowledge the NOAA Air Resources Laboratory (ARL) for the provision of the HYSPLIT transport and dispersion model and READY website () used in this publication.</t>
  </si>
  <si>
    <t>2169-897X</t>
  </si>
  <si>
    <t>2169-8996</t>
  </si>
  <si>
    <t>J GEOPHYS RES-ATMOS</t>
  </si>
  <si>
    <t>J. Geophys. Res.-Atmos.</t>
  </si>
  <si>
    <t>NOV 27</t>
  </si>
  <si>
    <t>e2022JD037009</t>
  </si>
  <si>
    <t>10.1029/2022JD037009</t>
  </si>
  <si>
    <t>9A4IT</t>
  </si>
  <si>
    <t>WOS:000934023800001</t>
  </si>
  <si>
    <t>Ballesteros, GI; Acuña-Rodríguez, IS; Barrera, A; Gundel, PE; Newsham, KK; Molina-Montenegro, MA</t>
  </si>
  <si>
    <t>Ballesteros, Gabriel, I; Acuna-Rodriguez, Ian S.; Barrera, Andrea; Gundel, Pedro E.; Newsham, Kevin K.; Molina-Montenegro, Marco A.</t>
  </si>
  <si>
    <t>Seed fungal endophytes promote the establishment of invasive Poa annua in maritime Antarctica</t>
  </si>
  <si>
    <t>Antarctica; fungal endophytes; invasion; Poa annua; seed-microbiome</t>
  </si>
  <si>
    <t>SPATIAL STRUCTURE; ANNUAL BLUEGRASS; PLANTS; COMPETITION; INCREASE; HOST; L.</t>
  </si>
  <si>
    <t>BackgroundInvasive plants may displace native species. This is the case for Poa annua, the only non-native plant species successfully established in Maritime Antarctica. Nonetheless, it is uncertain which factors drive the competitive success of P. annua in the harsh environmental conditions of the region. The ability of this plant species to establish novel mutualistic interactions with resident soil fungi may be crucial for its invasiveness. Such ability may be linked to the vertical transmission of fungal endophytes via seeds.AimsWe undertook a study to assess the role of seed fungal endophytes as promoters of the establishment and invasion of Poa annua in Maritime Antarctica.MethodsWe explored the composition and diversity of fungal communities associated with different P. annua tissues (seeds, leaves and roots) and the soil. We also measured parameters including germination rate, above-ground biomass, reproductive structures, and the survival of invasive P. annua as well as of the native Colobanthus quitensis and Deschampsia antarctica grown from seeds with and without endophytes. Furthermore, we conducted inter- and intraspecific competition experiments among native and invasive plants, where chemically mediated plant-to-plant interference (allelopathy) and plant growth rate were measured to calculate a relative competition index.ResultsWe found that fungal endophyte taxa associated with P. annua tissues were very different from those in the soil. Fungal endophytes in P. annua differed among seed, root and shoot tissues, which suggests low transmission among different organs. The removal of endophytes from P. annua seeds was associated with reduced seed germination, plant growth and survivorship, while the competitive ability of P. annua (assessed by accumulated biomass) relative to native species, as well as levels of allelochemicals in soils, were higher in the presence of seed fungal endophytes.ConclusionOur results suggest that fungal endophytes, maternally inherited through seeds, improve host fitness and may contribute to the invasive success of P. annua in Antarctica.</t>
  </si>
  <si>
    <t>[Ballesteros, Gabriel, I; Acuna-Rodriguez, Ian S.] Univ Talca, Inst Invest Interdisciplinaria, Talca, Chile; [Ballesteros, Gabriel, I; Acuna-Rodriguez, Ian S.; Barrera, Andrea; Gundel, Pedro E.; Molina-Montenegro, Marco A.] Univ Talca, Ctr Ecol Integrat, Inst Ciencias Biol, Talca, Chile; [Gundel, Pedro E.] Univ Buenos Aires, Fac Agron, CONICET, Inst Invest Fisiol &amp; Ecol Vinculadas Agr, Buenos Aires, DF, Argentina; [Newsham, Kevin K.] British Antarctic Survey, Nat Environm Res Council, Cambridge, England; [Molina-Montenegro, Marco A.] Univ Catolica Norte, Fac Ciencias Mar, Ctr Estudios Avanzados Zonas Aridas, Coquimbo, Chile; [Molina-Montenegro, Marco A.] Univ Catolica Maule, Ctr Invest Estudios Avanzados Maule, Talca, Chile</t>
  </si>
  <si>
    <t>Universidad de Talca; Universidad de Talca; Consejo Nacional de Investigaciones Cientificas y Tecnicas (CONICET); University of Buenos Aires; UK Research &amp; Innovation (UKRI); Natural Environment Research Council (NERC); NERC British Antarctic Survey; Universidad Catolica del Norte; Universidad Catolica del Maule</t>
  </si>
  <si>
    <t>Molina-Montenegro, MA (corresponding author), Univ Talca, Ctr Ecol Integrat, Inst Ciencias Biol, Talca, Chile.;Molina-Montenegro, MA (corresponding author), Univ Catolica Norte, Fac Ciencias Mar, Ctr Estudios Avanzados Zonas Aridas, Coquimbo, Chile.;Molina-Montenegro, MA (corresponding author), Univ Catolica Maule, Ctr Invest Estudios Avanzados Maule, Talca, Chile.</t>
  </si>
  <si>
    <t>marco.molina@utalca.cl</t>
  </si>
  <si>
    <t>Gundel, Pedro Emilio/A-5314-2013; Ballesteros, Gabriel/IAN-7082-2023; Ballesteros, Gabriel/AAW-7032-2021</t>
  </si>
  <si>
    <t>Gundel, Pedro Emilio/0000-0003-3246-0282; Ballesteros, Gabriel/0000-0002-3179-3168;</t>
  </si>
  <si>
    <t>FONDECYT; ANID-PIA-Anillo INACH [1181034]; [ACT192057]</t>
  </si>
  <si>
    <t>FONDECYT(Comision Nacional de Investigacion Cientifica y Tecnologica (CONICYT)CONICYT FONDECYT); ANID-PIA-Anillo INACH;</t>
  </si>
  <si>
    <t>This study was funded by FONDECYT 1181034 and ANID-PIA-Anillo INACH ACT192057</t>
  </si>
  <si>
    <t>10.1080/17550874.2022.2145579</t>
  </si>
  <si>
    <t>WOS:000891085200001</t>
  </si>
  <si>
    <t>Dempsey, SM; Noble, PE; Wright, CJ; Mitchell, NJ; Moffat-Griffin, T</t>
  </si>
  <si>
    <t>Dempsey, Shaun M.; Noble, Phoebe E.; Wright, Corwin J.; Mitchell, Nicholas J.; Moffat-Griffin, Tracy</t>
  </si>
  <si>
    <t>Interannual Variability of the 12-hr Tide in the Mesosphere and Lower Thermosphere in 15 Years of Meteor-Radar Observations Over Rothera (68°S, 68°W)</t>
  </si>
  <si>
    <t>MLT tides; interannual variability</t>
  </si>
  <si>
    <t>QUASI-BIENNIAL OSCILLATION; SOLAR-CYCLE DEPENDENCE; SOUTHERN ANNULAR MODE; SEMIDIURNAL TIDES; PLANETARY-WAVES; MEAN WINDS; MIDDLE ATMOSPHERE; TERM; MODULATION; DYNAMICS</t>
  </si>
  <si>
    <t>The solar tides of the mesosphere and lower thermosphere (MLT) show great variability on time scales of days to years, with significant variability at interannual time scales. However, the nature and causes of this variability remain poorly understood. Here, we present measurements made over the interval 2005-2020 of the interannual variability of the 12-hr tide as measured at heights of 80-100 km by a meteor radar over Rothera (68 degrees S, 68 degrees W). We use a linear regression analysis to investigate correlations between the 12-hr tidal amplitudes and several climate indices, specifically the solar cycle (as measured by F10.7 solar flux), El Nino Southern Oscillation (ENSO), the Quasi-Biennial Oscillation (QBO) at 10 and 30 hPa and the Southern Annular Mode (SAM). Our observations reveal that the 12-hr tide has a large amplitude and a clearly defined seasonal cycle with monthly mean values as large as 35 m s(-1). We observe substantial interannual variability, with monthly mean 12-hr tidal amplitudes at 95 km exhibiting a two standard-deviation range (2 sigma) in spring of 13.4 m s(-1), 11.2 m s(-1) in summer, 18.6 m s(-1) in autumn, and 7.0 m s(-1) in winter. We find that F10.7, QBO10, QBO30, and SAM all have significant correlations to the 12-hr tidal amplitudes at the 95% level, with a linear trend also present. Whereas we detect very minimal correlation with ENSO. These results suggest that variations in F10.7, the QBO and SAM may contribute significantly to the interannual variability of 12-hr tidal amplitudes in the Antarctic MLT.</t>
  </si>
  <si>
    <t>[Dempsey, Shaun M.; Noble, Phoebe E.; Wright, Corwin J.; Mitchell, Nicholas J.] Univ Bath, Ctr Atmospher &amp; Ocean Sci, Dept Elect &amp; Elect Engn, Bath, Avon, England; [Dempsey, Shaun M.; Noble, Phoebe E.; Mitchell, Nicholas J.; Moffat-Griffin, Tracy] British Antarctic Survey, Cambridge, England</t>
  </si>
  <si>
    <t>University of Bath; UK Research &amp; Innovation (UKRI); Natural Environment Research Council (NERC); NERC British Antarctic Survey</t>
  </si>
  <si>
    <t>Dempsey, SM (corresponding author), Univ Bath, Ctr Atmospher &amp; Ocean Sci, Dept Elect &amp; Elect Engn, Bath, Avon, England.;Dempsey, SM (corresponding author), British Antarctic Survey, Cambridge, England.</t>
  </si>
  <si>
    <t>smd62@bath.ac.uk</t>
  </si>
  <si>
    <t>; Wright, Corwin/J-4598-2014</t>
  </si>
  <si>
    <t>Dempsey, Shaun/0000-0002-3693-963X; Wright, Corwin/0000-0003-2496-953X</t>
  </si>
  <si>
    <t>NERC [NE/R001235/1, NE/S00985X/1, NE/R001391/1] Funding Source: UKRI</t>
  </si>
  <si>
    <t>e2022JD036694</t>
  </si>
  <si>
    <t>10.1029/2022JD036694</t>
  </si>
  <si>
    <t>6M0TE</t>
  </si>
  <si>
    <t>WOS:000888590200001</t>
  </si>
  <si>
    <t>Krafft, BA; Lowther, A; Krag, LA</t>
  </si>
  <si>
    <t>Krafft, Bjorn A.; Lowther, Andrew; Krag, Ludvig A.</t>
  </si>
  <si>
    <t>Bycatch in the Antarctic krill (Euphausia superba) trawl fishery</t>
  </si>
  <si>
    <t>FISHERIES MANAGEMENT AND ECOLOGY</t>
  </si>
  <si>
    <t>crustaceans; euphausiids; icefish; fisheries management; Scotia Sea; Southern Ocean</t>
  </si>
  <si>
    <t>SOUTHERN-OCEAN; GEORGIA</t>
  </si>
  <si>
    <t>Bycatch of nontarget species can contribute to overfishing and slow efforts to rebuild fish stocks. Controlling bycatch is fundamental to sustainable fishing and maintaining healthy populations of target species. The Antarctic krill (Euphausia superba) fishery is the largest volume fishery in the Southern Ocean. Understanding the significance of bycatch and its diversity is critical to managing this keystone species. Registered bycatch data from the Antarctic krill fishery in the southwest Atlantic sector of the Southern Ocean were analysed. Observers collected data following an internationally agreed method during the 2010-2020 fishing seasons, with a 20 (+/- 9) % coverage of fishing activity of Total catch of Antarctic krill which increased from 200,000 tonnes to 450,000 tonnes, with the greatest increase over the last 3 years. Except in 2010 (2.2%), the bycatch ratio was stable and ranged 0.1-0.3%. Fish dominated the bycatch, followed by tunicates and other crustaceans. Observer coverage was high, and bycatch levels were generally low across gear types. Given that accurate information on bycatch is important for sustaining developing fisheries, maintaining high observer coverage of this fishery will be important for detecting impacts from a warming climate and for moving back into historical fishing grounds.</t>
  </si>
  <si>
    <t>[Krafft, Bjorn A.] Inst Marine Res, Bergen, Norway; [Lowther, Andrew] Norwegian Polar Res Inst, Fram Ctr, Tromso, Norway; [Krag, Ludvig A.] Tech Univ Denmark, Inst Aquat Resources, Hirtshals, Denmark; [Krafft, Bjorn A.] Inst Marine Res, POB 1870, NO-5817 Bergen, Norway</t>
  </si>
  <si>
    <t>Institute of Marine Research - Norway; Norwegian Polar Institute; Technical University of Denmark; Institute of Marine Research - Norway</t>
  </si>
  <si>
    <t>Krafft, BA (corresponding author), Inst Marine Res, POB 1870, NO-5817 Bergen, Norway.</t>
  </si>
  <si>
    <t>bjorn.krafft@hi.no</t>
  </si>
  <si>
    <t>Krag, Ludvig Ahm/0000-0002-1531-1499; Lowther, Andrew/0000-0003-4294-3157</t>
  </si>
  <si>
    <t>Havforskningsinstituttet [14246, 15666]; Norsk Polarinstitutt [15666]</t>
  </si>
  <si>
    <t>Havforskningsinstituttet; Norsk Polarinstitutt</t>
  </si>
  <si>
    <t>Havforskningsinstituttet, Grant/Award Number: 14246 and 15666; Norsk Polarinstitutt, Grant/Award Number: 15666</t>
  </si>
  <si>
    <t>0969-997X</t>
  </si>
  <si>
    <t>1365-2400</t>
  </si>
  <si>
    <t>FISHERIES MANAG ECOL</t>
  </si>
  <si>
    <t>Fisheries Manag. Ecol.</t>
  </si>
  <si>
    <t>10.1111/fme.12607</t>
  </si>
  <si>
    <t>9S1AS</t>
  </si>
  <si>
    <t>WOS:000891062500001</t>
  </si>
  <si>
    <t>Egidi, E; Delgado-Baquerizo, M; Berdugo, M; Guirado, E; Albanese, D; Singh, BK; Coleine, C</t>
  </si>
  <si>
    <t>Egidi, Eleonora; Delgado-Baquerizo, Manuel; Berdugo, Miguel; Guirado, Emilio; Albanese, Davide; Singh, Brajesh K.; Coleine, Claudia</t>
  </si>
  <si>
    <t>UV index and climate seasonality explain fungal community turnover in global drylands</t>
  </si>
  <si>
    <t>GLOBAL ECOLOGY AND BIOGEOGRAPHY</t>
  </si>
  <si>
    <t>climate change; drylands; environmental predictors; fungal traits; fungi</t>
  </si>
  <si>
    <t>PLANT-SPECIES RICHNESS; ULTRAVIOLET-RADIATION; LITTER DECOMPOSITION; GRADIENT FORESTS; PATTERNS; PRECIPITATION; DIVERSITY; ABUNDANCE; MODELS; ENERGY</t>
  </si>
  <si>
    <t>AimFungi are major drivers of ecosystem functioning. Increases in aridity are known to negatively impact fungal community composition in dryland ecosystems globally; yet, much less is known on the potential influence of other environmental drivers, and whether these relationships are linear or nonlinear. Time period2017-2021. LocationGlobal. Major taxa studiedFungi. MethodsWe re-analysed multiple datasets from different dryland biogeographical regions, for a total of 912 samples and 1,483 taxa. We examined geographical patterns in community diversity and composition, and spatial, edaphic and climatic factors driving them. ResultsUV index, climate seasonality, and sand content were the most important environmental predictors of community shifts, showing the strongest association with the richness of putative plant pathogens and saprobes. Important nonlinear relationships existed with each of these fungal guilds, with increases in UV and temperature seasonality above 7.5 and 900 SD (standard deviation x 100 of the mean monthly temperature), respectively, being associated with an increased probability of plant pathogen and unspecified saprotroph occurrence. Conversely, these environmental parameters had a negative relationship with litter and soil saprotroph richness. Consequently, these ecological groups might be particularly sensitive to shifts in UV radiation and climate seasonality, which is likely to disturb current plant-soil dynamics in drylands. Main conclusionsOur synthesis integrates fungal community data from drylands across the globe, allowing the investigation of fungal distribution and providing the first evidence of shifts in fungal diversity and composition of key fungal ecological groups along diverse spatial, climatic and edaphic gradients in these widely distributed ecosystems. Our findings imply that shifts in soil structure and seasonal climatic patterns induced by global change will have disproportionate consequences for the distribution of fungal groups linked to vegetation and biogeochemical cycling in drylands, with implications for plant-soil interactions in drylands.</t>
  </si>
  <si>
    <t>[Egidi, Eleonora; Singh, Brajesh K.] Western Sydney Univ, Hawkesbury Inst Environm, Penrith, NSW, Australia; [Egidi, Eleonora; Singh, Brajesh K.] Western Sydney Univ, Global Ctr Land Based Innovat, Penrith, NSW, Australia; [Delgado-Baquerizo, Manuel] Inst Recursos Nat &amp; Agrobiol Sevilla IRNAS, Lab Biodivers &amp; Funcionamiento Ecosistem, CSIC, Seville, Spain; [Delgado-Baquerizo, Manuel] Univ Pablo de Olavide, Unidad Asociada CSIC UPO BioFun, Seville, Spain; [Berdugo, Miguel; Guirado, Emilio] Univ Alicante, Inst Multidisciplinar Estudio Medio Ramon Margalef, Edificio Nuevos Inst, San Vicente Del Raspeig, Spain; [Berdugo, Miguel] Swiss Fed Inst Technol, Inst Dept Environm Syst Sci, Zurich, Switzerland; [Albanese, Davide] Fdn Edmund Mach FEM, Res &amp; Innovat Ctr, San Michele All Adige, Italy; [Coleine, Claudia] Univ Tuscia, Dept Ecol &amp; Biol Sci, Viterbo, Italy</t>
  </si>
  <si>
    <t>Western Sydney University; Western Sydney University; Consejo Superior de Investigaciones Cientificas (CSIC); CSIC - Instituto de Recursos Naturales y Agrobiologia de Sevilla (IRNAS); Universidad Pablo de Olavide; Universitat d'Alacant; Swiss Federal Institutes of Technology Domain; ETH Zurich; Fondazione Edmund Mach; Tuscia University</t>
  </si>
  <si>
    <t>Egidi, E (corresponding author), Western Sydney Univ, Hawkesbury Inst Environm, Penrith, NSW, Australia.;Coleine, C (corresponding author), Univ Tuscia, Dept Ecol &amp; Biol Sci, Viterbo, Italy.</t>
  </si>
  <si>
    <t>e.egidi@westernsydney.edu.au; coleine@unitus.it</t>
  </si>
  <si>
    <t>Guirado, Emilio/GOG-9161-2022; Egidi, Eleonora/AAG-7513-2020; Berdugo, Miguel/AEX-9525-2022; Singh, Brajesh/R-6321-2019; Delgado-Baquerizo, Manuel/L-3653-2017; Coleine, Claudia/AAE-1889-2020</t>
  </si>
  <si>
    <t>Guirado, Emilio/0000-0001-5348-7391; Egidi, Eleonora/0000-0002-1211-2355; Berdugo, Miguel/0000-0003-1053-8907; Singh, Brajesh/0000-0003-4413-4185; Delgado-Baquerizo, Manuel/0000-0002-6499-576X; Coleine, Claudia/0000-0002-9289-6179; Albanese, Davide/0000-0002-9493-3850</t>
  </si>
  <si>
    <t>European Commission [702057]; Italian National Program for Antarctic Research (PNRA); PNRA postdoctoral fellowship; Australian Research Council DECRA (Discovery Early Career Researcher Award) fellowship [DE210101822]; Spanish Ministry of Science and Innovation [PID2020-115813RA-I00]; project PAIDI (Andalusian Research, Development and Innovation Plan) 2020 from the Junta de Andalucia [P20_00879]; Australian Research Council [DP210102081]; European Research Council [647038]; Australian Research Council [DE210101822] Funding Source: Australian Research Council</t>
  </si>
  <si>
    <t>European Commission(European Union (EU)European Commission Joint Research Centre); Italian National Program for Antarctic Research (PNRA); PNRA postdoctoral fellowship; Australian Research Council DECRA (Discovery Early Career Researcher Award) fellowship(Australian Research Council); Spanish Ministry of Science and Innovation(Spanish Government); project PAIDI (Andalusian Research, Development and Innovation Plan) 2020 from the Junta de Andalucia; Australian Research Council(Australian Research Council); European Research Council(European Research Council (ERC)); Australian Research Council(Australian Research Council)</t>
  </si>
  <si>
    <t>C.C. is supported by the European Commission under the Marie Sklodowska-Curie Grant Agreement No. 702057 (DRYLIFE). C.C. ac-knowledges funding from the Italian National Program for Antarctic Research (PNRA) and is supported by a PNRA postdoctoral fellowship. E.E. is supported by an Australian Research Council DECRA (Discovery Early Career Researcher Award) fellowship (DE210101822). M.D-B. is supported by a project from the Spanish Ministry of Science and Innovation (PID2020-115813RA-I00), and a project PAIDI (Andalusian Research, Development and Innovation Plan) 2020 from the Junta de Andalucia (P20_00879). Microbial distribution and colonization research in B.K.S.'s lab is funded by the Australian Research Council (DP210102081). E.G. is supported by the European Research Council Grant agreement 647038 (BIODESERT)</t>
  </si>
  <si>
    <t>1466-822X</t>
  </si>
  <si>
    <t>1466-8238</t>
  </si>
  <si>
    <t>GLOBAL ECOL BIOGEOGR</t>
  </si>
  <si>
    <t>Glob. Ecol. Biogeogr.</t>
  </si>
  <si>
    <t>10.1111/geb.13607</t>
  </si>
  <si>
    <t>Ecology; Geography, Physical</t>
  </si>
  <si>
    <t>8X7RN</t>
  </si>
  <si>
    <t>WOS:000891070100001</t>
  </si>
  <si>
    <t>Rajala, T; Redenbach, C; Särkkä, A; Sormani, M</t>
  </si>
  <si>
    <t>Rajala, T.; Redenbach, C.; Sarkka, A.; Sormani, M.</t>
  </si>
  <si>
    <t>Tests for isotropy in spatial point patterns - A comparison of statistical indices</t>
  </si>
  <si>
    <t>SPATIAL STATISTICS</t>
  </si>
  <si>
    <t>Fry plot; Monte-Carlo test; Power analysis; Second-order characteristics; Spatial summary statistics; Test statistics</t>
  </si>
  <si>
    <t>ANISOTROPY</t>
  </si>
  <si>
    <t>Isotropy of a point process, defined as invariance of the distribu-tion under rotation, is often assumed in spatial statistics. Formal tests for the hypothesis of isotropy can be created by comparing directional summary statistics in different directions. In this pa-per, the statistical powers of tests based on a variety of summary statistics and several choices of deviance measures are compared in a simulation study. Four models for anisotropic point pro-cesses are considered covering both regular and clustered cases. We discuss the robustness of the results to changes of the tuning parameters, and highlight the strengths and limitations of the methods. (c) 2022 Elsevier B.V. All rights reserved.</t>
  </si>
  <si>
    <t>[Rajala, T.] Nat Resources Inst Finland, PL 2, Helsinki 00791, Finland; [Redenbach, C.; Sormani, M.] Tech Univ Kaiserslautern, Math Dept, D-67663 Kaiserslautern, Germany; [Sarkka, A.] Chalmers Univ Technol, S-41296 Gothenburg, Sweden; [Sarkka, A.] Univ Gothenburg, Dept Math Sci, S-41296 Gothenburg, Sweden; [Sormani, M.] Fraunhofer Inst Techno &amp; Wirtschaftsmath, Fraunhofer Pl 1, D-67663 Kaiserslautern, Germany</t>
  </si>
  <si>
    <t>Natural Resources Institute Finland (Luke); University of Kaiserslautern; Chalmers University of Technology; University of Gothenburg; Fraunhofer Gesellschaft</t>
  </si>
  <si>
    <t>Redenbach, C (corresponding author), Tech Univ Kaiserslautern, Math Dept, D-67663 Kaiserslautern, Germany.</t>
  </si>
  <si>
    <t>redenbach@mathematik.uni-kl.de</t>
  </si>
  <si>
    <t>Rajala, Tuomas/S-5135-2019</t>
  </si>
  <si>
    <t>Rajala, Tuomas/0000-0002-1343-8058; Redenbach, Claudia/0000-0002-8030-069X</t>
  </si>
  <si>
    <t>Deutsche Forschungsgemeinschaft (DFG), Germany [RE 3002/3-1]; Swedish Research Council [VR 2018-03986]; Vinnova [2018-03986] Funding Source: Vinnova; Swedish Research Council [2018-03986] Funding Source: Swedish Research Council</t>
  </si>
  <si>
    <t>Deutsche Forschungsgemeinschaft (DFG), Germany(German Research Foundation (DFG)); Swedish Research Council(Swedish Research Council); Vinnova; Swedish Research Council(Swedish Research Council)</t>
  </si>
  <si>
    <t>This work was supported by the Deutsche Forschungsgemeinschaft (DFG), Germany in the framework of the priority programme Antarctic Research with comparative investigations in Arctic ice areasby grant RE 3002/3-1 and by grant VR 2018-03986 from the Swedish Research Council. We wish to acknowledge CSC - IT Center for Science, Finland, for computational resources. We would also like to thank the two anonymous reviewers for their valuable comments that improved the paper.</t>
  </si>
  <si>
    <t>2211-6753</t>
  </si>
  <si>
    <t>SPAT STAT-NETH</t>
  </si>
  <si>
    <t>Spat. Stat.</t>
  </si>
  <si>
    <t>10.1016/j.spasta.2022.100716</t>
  </si>
  <si>
    <t>Geosciences, Multidisciplinary; Mathematics, Interdisciplinary Applications; Remote Sensing; Statistics &amp; Probability</t>
  </si>
  <si>
    <t>Geology; Mathematics; Remote Sensing</t>
  </si>
  <si>
    <t>7C8MQ</t>
  </si>
  <si>
    <t>WOS:000900060500005</t>
  </si>
  <si>
    <t>de Souza, LMD; Teixeira, EAA; Coelho, LD; Lopes, FAC; Convey, P; Carvalho-Silva, M; Câmara, PEAS; Rosa, LH</t>
  </si>
  <si>
    <t>Drumond de Souza, Lauren Machado; Amancio Teixeira, Elisa Amorim; Coelho, Livia da Costa; Cardoso Lopes, Fabyano Alvares; Convey, Peter; Carvalho-Silva, Micheline; Aguiar Saraiva Camara, Paulo Eduardo; Rosa, Luiz Henrique</t>
  </si>
  <si>
    <t>Cryptic fungal diversity revealed by DNA metabarcoding in historic wooden structures at Whalers Bay, Deception Island, maritime Antarctic</t>
  </si>
  <si>
    <t>BRAZILIAN JOURNAL OF MICROBIOLOGY</t>
  </si>
  <si>
    <t>Antarctica; Extremophiles; Heritage site; Fungi; Taxonomy</t>
  </si>
  <si>
    <t>EXPEDITION HUTS; ROSS ISLAND; SOILS; PHIALEMONIUM; ECOLOGY</t>
  </si>
  <si>
    <t>We provide the first assessment of fungal diversity associated with historic wooden structures at Whalers Bay (Heritage Monument 71), Deception Island, maritime Antarctic, using DNA metabarcoding. We detected a total of 177 fungal amplicon sequence variants (ASVs) dominated by the phyla Ascomycota, Basidiomycota, Mortierellomycota, Chytridiomycota, Monoblepharomycota, Rozellomycota, and Zoopagomycota. The assemblages were dominated by Helotiales sp. 1 and Herpotrichiellaceae sp. 1. Functional assignments indicated that the taxa detected were dominated by saprotrophic, plant and animal pathogenic, and symbiotic taxa. Metabarcoding revealed the presence of a rich and complex fungal community, which may be due to the wooden structures acting as baits attracting taxa to niches sheltered against extreme conditions, generating a hotspot for fungi in Antarctica. The sequences assigned included both cosmopolitan and endemic taxa, as well as potentially unreported diversity. The detection of DNA assigned to taxa of human and animal opportunistic pathogens raises a potential concern as Whalers Bay is one of the most popular visitor sites in Antarctica. The use of metabarcoding to detect DNA present in environmental samples does not confirm the presence of viable or metabolically active fungi and further studies using different culturing conditions and media, different growth temperatures and incubation periods, in combination with further molecular approaches such as shotgun sequencing are now required to clarify the functional ecology of these fungi.</t>
  </si>
  <si>
    <t>[Drumond de Souza, Lauren Machado; Amancio Teixeira, Elisa Amorim; Coelho, Livia da Costa; Rosa, Luiz Henrique] Univ Fed Minas Gerais, Inst Ciencias Biol, Dept Microbiol, Lab Microbiol Polar &amp; Conexoes Trop, POB 486, BR-31270901 Belo Horizonte, MG, Brazil; [Cardoso Lopes, Fabyano Alvares] Univ Fed Tocantins, Lab Microbiol, Porto Nacl, Brazil; [Convey, Peter] British Antarctic Survey, NERC, Madingley Rd, Cambridge CB3 0ET, England; [Convey, Peter] Univ Johannesburg, Dept Zool, POB 524, ZA-2006 Auckland Pk, South Africa; [Carvalho-Silva, Micheline; Aguiar Saraiva Camara, Paulo Eduardo] Univ Brasilia, Dept Bot, Brasilia, DF, Brazil</t>
  </si>
  <si>
    <t>Universidade Federal de Minas Gerais; Universidade Federal do Tocantins (UFT); UK Research &amp; Innovation (UKRI); Natural Environment Research Council (NERC); NERC British Antarctic Survey; University of Johannesburg; Universidade de Brasilia</t>
  </si>
  <si>
    <t>Rosa, LH (corresponding author), Univ Fed Minas Gerais, Inst Ciencias Biol, Dept Microbiol, Lab Microbiol Polar &amp; Conexoes Trop, POB 486, BR-31270901 Belo Horizonte, MG, Brazil.</t>
  </si>
  <si>
    <t>Convey, Peter/AAV-5728-2020; Lopes, Fabyano/F-7558-2018; Camara, Paulo/GPP-2054-2022</t>
  </si>
  <si>
    <t>Convey, Peter/0000-0001-8497-9903; Lopes, Fabyano/0000-0002-4565-9103; Camara, Paulo/0000-0002-3944-996X</t>
  </si>
  <si>
    <t>CNPq; CAPES; FNDCT; FAPEMIG; FAPT; PROANTAR; NERC</t>
  </si>
  <si>
    <t>CNPq(Conselho Nacional de Desenvolvimento Cientifico e Tecnologico (CNPQ)); CAPES(Coordenacao de Aperfeicoamento de Pessoal de Nivel Superior (CAPES)); FNDCT; FAPEMIG(Fundacao de Amparo a Pesquisa do Estado de Minas Gerais (FAPEMIG)); FAPT; PROANTAR; NERC(UK Research &amp; Innovation (UKRI)Natural Environment Research Council (NERC))</t>
  </si>
  <si>
    <t>This study received financial support from CNPq, CAPES, FNDCT, FAPEMIG, FAPT, and PROANTAR. P. Convey is supported by NERC core funding to the British Antarctic Survey's Biodiversity, Evolution and Adaptation Team.</t>
  </si>
  <si>
    <t>1517-8382</t>
  </si>
  <si>
    <t>1678-4405</t>
  </si>
  <si>
    <t>BRAZ J MICROBIOL</t>
  </si>
  <si>
    <t>Braz. J. Microbiol.</t>
  </si>
  <si>
    <t>10.1007/s42770-022-00869-0</t>
  </si>
  <si>
    <t>9E7ZC</t>
  </si>
  <si>
    <t>WOS:000888789300001</t>
  </si>
  <si>
    <t>Palmero, S; Guidi, C; Kulikovskiy, V; Sanguineti, M; Manghi, M; Sommer, M; Pesce, G</t>
  </si>
  <si>
    <t>Palmero, Stefano; Guidi, Carlo; Kulikovskiy, Vladimir; Sanguineti, Matteo; Manghi, Michele; Sommer, Matteo; Pesce, Gaia</t>
  </si>
  <si>
    <t>Towards automatic detection and classification of orca (Orcinus orca) calls using cross-correlation methods</t>
  </si>
  <si>
    <t>MARINE MAMMAL SCIENCE</t>
  </si>
  <si>
    <t>bioacoustic; call repertoire; cross-correlation; Orcinus orca; PCoA; Pearson correlation coefficient; Pelagos Sanctuary; warbleR</t>
  </si>
  <si>
    <t>RESIDENT KILLER WHALES; VOCALIZATIONS</t>
  </si>
  <si>
    <t>Orcas (Orcinus orca) are known for complex vocalization. Their social structure consists of pods with unique call repertoires and clans sharing vocal traditions. Call repertoires are typically established visually and aurally and are used for pod identification. Automatic tools are, however, more suited for large data sets. An Icelandic orca pod occurring in 2019 in the Ligurian Sea provided a unique occasion for collecting recordings of an isolated pod in natural conditions. Recordings were analyzed visually and aurally to create a pod catalog. The R package warbleR was used for the first time on a small subsample of orca data to automatically detect sound samples and classify sound types. We found cross-correlation methods with the Pearson correlation coefficient (PCC) to successfully classify sound types, though false positives occur. We compared our catalog to Icelandic and Antarctic ones checking for similarities and dissimilarities. We found five matches in the Icelandic catalog, two of which had high PCCs ranges (0.62-0.67; 0.60-0.65). Our automatic approach was limited by background noise and variability of orca vocalizations, and it was computationally demanding. We show cross-correlation methods with the PCC can be a powerful tool to verify audio-visual repertoire matches between orca from different regions.</t>
  </si>
  <si>
    <t>[Palmero, Stefano; Guidi, Carlo; Sanguineti, Matteo] Univ Genoa, Genoa, Italy; [Guidi, Carlo; Kulikovskiy, Vladimir; Sanguineti, Matteo] Sez Genova, INFN, Genoa, Italy; [Manghi, Michele] NAUTA Sci, Milan, Italy; [Sommer, Matteo] Costa Edutainment SpA, Genoa, Italy; [Pesce, Gaia] Acquario Genova, Genoa, Italy; [Palmero, Stefano] V Chiuso Eroi 3-4, I-16128 Genoa, Italy</t>
  </si>
  <si>
    <t>University of Genoa; Istituto Nazionale di Fisica Nucleare (INFN)</t>
  </si>
  <si>
    <t>Palmero, S (corresponding author), V Chiuso Eroi 3-4, I-16128 Genoa, Italy.</t>
  </si>
  <si>
    <t>st.palmero@gmail.com</t>
  </si>
  <si>
    <t>Sanguineti, Matteo/ABI-2984-2020</t>
  </si>
  <si>
    <t>Sanguineti, Matteo/0000-0002-7206-2097</t>
  </si>
  <si>
    <t>0824-0469</t>
  </si>
  <si>
    <t>1748-7692</t>
  </si>
  <si>
    <t>MAR MAMMAL SCI</t>
  </si>
  <si>
    <t>Mar. Mamm. Sci.</t>
  </si>
  <si>
    <t>10.1111/mms.12990</t>
  </si>
  <si>
    <t>Marine &amp; Freshwater Biology; Zoology</t>
  </si>
  <si>
    <t>C9MH4</t>
  </si>
  <si>
    <t>WOS:000889710500001</t>
  </si>
  <si>
    <t>Meredith, MP; Inall, ME; Brearley, JA; Ehmen, T; Sheen, K; Munday, D; Cook, A; Retallick, K; Van Landeghem, K; Gerrish, L; Annett, A; Carvalho, F; Jones, R; Garabato, ACN; Bull, CYS; Wallis, BJ; Hogg, AE; Scourse, J</t>
  </si>
  <si>
    <t>Meredith, Michael P.; Inall, Mark E.; Brearley, J. Alexander; Ehmen, Tobias; Sheen, Katy; Munday, David; Cook, Alison; Retallick, Katherine; Van Landeghem, Katrien; Gerrish, Laura; Annett, Amber; Carvalho, Filipa; Jones, Rhiannon; Garabato, Alberto C. Naveira; Bull, Christopher Y. S.; Wallis, Benjamin J.; Hogg, Anna E.; Scourse, James</t>
  </si>
  <si>
    <t>Internal tsunamigenesis and ocean mixing driven by glacier calving in Antarctica</t>
  </si>
  <si>
    <t>SCIENCE ADVANCES</t>
  </si>
  <si>
    <t>CLIMATE-CHANGE; ICE-SHELF; PENINSULA; MODEL; DISSIPATION; FJORD; REPRESENTATION; CIRCULATION; INSIGHTS; ABYSSAL</t>
  </si>
  <si>
    <t>Ocean mixing around Antarctica exerts key influences on glacier dynamics and ice shelf retreats, sea ice, and marine productivity, thus affecting global sea level and climate. The conventional paradigm is that this is dominated by winds, tides, and buoyancy forcing. Direct observations from the Antarctic Peninsula demonstrate that glacier calving triggers internal tsunamis, the breaking of which drives vigorous mixing. Being widespread and frequent, these internal tsunamis are at least comparable to winds, and much more important than tides, in driving regional shelf mixing. They are likely relevant everywhere that marine-terminating glaciers calve, including Greenland and across the Arctic. Calving frequency may change with higher ocean temperatures, suggesting possible shifts to internal tsunamigenesis and mixing in a warming climate.</t>
  </si>
  <si>
    <t>[Meredith, Michael P.; Brearley, J. Alexander; Munday, David; Gerrish, Laura] British Antarctic Survey, Cambridge, England; [Inall, Mark E.; Cook, Alison] Scottish Assoc Marine Sci, Oban, Scotland; [Ehmen, Tobias; Sheen, Katy; Scourse, James] Univ Exeter, Exeter, England; [Retallick, Katherine; Van Landeghem, Katrien] Bangor Univ, Bangor, Wales; [Annett, Amber; Jones, Rhiannon; Garabato, Alberto C. Naveira] Univ Southampton, Ocean &amp; Earth Sci, Southampton, England; [Carvalho, Filipa] Natl Oceanog Ctr, Southampton, England; [Bull, Christopher Y. S.] Northumbria Univ, Dept Geog &amp; Environm Sci, Newcastle Upon Tyne, England; [Wallis, Benjamin J.; Hogg, Anna E.] Univ Leeds, Sch Earth &amp; Environm, Leeds, England</t>
  </si>
  <si>
    <t>UK Research &amp; Innovation (UKRI); Natural Environment Research Council (NERC); NERC British Antarctic Survey; UHI Millennium Institute; University of Exeter; Bangor University; University of Southampton; NERC National Oceanography Centre; Northumbria University; University of Leeds</t>
  </si>
  <si>
    <t>Meredith, MP (corresponding author), British Antarctic Survey, Cambridge, England.</t>
  </si>
  <si>
    <t>mmm@bas.ac.uk</t>
  </si>
  <si>
    <t>Munday, David R/R-1986-2016; Carvalho, Filipa/B-7223-2017; /I-4835-2014; Van Landeghem, Katrien/G-7423-2011</t>
  </si>
  <si>
    <t>Munday, David R/0000-0003-1920-708X; Wallis, Benjamin/0000-0003-3671-2862; Jones, Rhiannon/0000-0002-3182-9685; Bull, Christopher/0000-0001-8362-3446; Brearley, Alexander/0000-0003-3700-8017; Carvalho, Filipa/0000-0002-8355-4329; Annett, Amber/0000-0002-3730-2438; /0000-0002-1624-4275; Retallick, Kate/0000-0003-4687-3950; Van Landeghem, Katrien/0000-0002-1040-9956; Ehmen, Tobias/0000-0002-0102-8916</t>
  </si>
  <si>
    <t>Natural Environment Research Council/CONICYT [NE/P003087/1, NE/P003060/1]; European Union [820575]; Natural Environment Research Council [NE/N018095/1, NE/V013254/1, NE/R016038/1, NE/L011166/1, NE/L002531/1]; College of Life and Environmental Science at the University of Exeter; Natural Environment Research Council Independent Research Fellowship [NE/P017630/1]; Natural Environment Research Council INSPIRE Doctoral Training Partnership; Harry Elderfield Memorial Scholarship; Natural Environment Research Council PANORAMA Doctoral Training Partnership grant [NE/S007458/1]; European Space Agency Polar+ Ice Shelves project (ESA) [4000132186/20/I-EF]; European Space Agency Polar+ SO-ICE project (ESA) [4000135062/21/I-NB]; European Research Council [724416]; NERC [NE/P003087/1, NE/L011166/1, NE/W004933/1] Funding Source: UKRI; European Research Council (ERC) [724416] Funding Source: European Research Council (ERC)</t>
  </si>
  <si>
    <t>Natural Environment Research Council/CONICYT; European Union(European Union (EU)); Natural Environment Research Council(UK Research &amp; Innovation (UKRI)Natural Environment Research Council (NERC)); College of Life and Environmental Science at the University of Exeter; Natural Environment Research Council Independent Research Fellowship(UK Research &amp; Innovation (UKRI)Natural Environment Research Council (NERC)); Natural Environment Research Council INSPIRE Doctoral Training Partnership; Harry Elderfield Memorial Scholarship; Natural Environment Research Council PANORAMA Doctoral Training Partnership grant; European Space Agency Polar+ Ice Shelves project (ESA); European Space Agency Polar+ SO-ICE project (ESA); European Research Council(European Research Council (ERC)); NERC(UK Research &amp; Innovation (UKRI)Natural Environment Research Council (NERC)); European Research Council (ERC)(European Research Council (ERC)Spanish Government)</t>
  </si>
  <si>
    <t>This work was supported by the Natural Environment Research Council/CONICYT grants NE/P003087/1 and NE/P003060/1 (ICEBERGS) (to J.S., K.S., K.V.L., and M.P.M.), the European Union Horizon 2020 Research and Innovation Programme grant no. 821001 (SO-CHIC) (to M.P.M., J.A.B., and A.C.N.G.), the Natural Environment Research Council grant NE/N018095/1 (ORCHESTRA) (to M.P.M., J.A.B., and D.M.), the Natural Environment Research Council grant NE/V013254/1 (ENCORE) (to M.P.M., J.A.B., and D.M.), the Natural Environment Research Council grant NE/R016038/1 (BAS LTSS; RaTS) (to M.P.M. and J.A.B.), the Natural Environment Research Council grant NE/L003287/1 (PycnMix) (to M.E.I.), the Natural Environment Research Council grant NE/L011166/1 (Independent Research Fellowship) (to J.A.B.), the European Union's Horizon 2020 Research and Innovation Programme grant agreement no. 820575 (TiPACCs) (to C.Y.S.B.), the Natural Environment Research Council NEXUSS Centre for Doctoral Training (NE/L002531/1) (to T.E.), the College of Life and Environmental Science at the University of Exeter (to T.E.), the Natural Environment Research Council Independent Research Fellowship NE/P017630/1 (to A.A.), the Natural Environment Research Council INSPIRE Doctoral Training Partnership (RLCJ), the Harry Elderfield Memorial Scholarship (to R.J.), the Natural Environment Research Council PANORAMA Doctoral Training Partnership grant NE/S007458/1 (to B.J.W.), the European Space Agency Polar+ Ice Shelves project (ESA contract number 4000132186/20/I-EF) (to A.E.H.), the European Space Agency Polar+ SO-ICE project (ESA contract number 4000135062/21/I-NB) (to A.E.H. and M.P.M.), and the European Research Council Consolidator Grant (GOCART, 754 agreement number 724416) (to F.C.).</t>
  </si>
  <si>
    <t>AMER ASSOC ADVANCEMENT SCIENCE</t>
  </si>
  <si>
    <t>1200 NEW YORK AVE, NW, WASHINGTON, DC 20005 USA</t>
  </si>
  <si>
    <t>2375-2548</t>
  </si>
  <si>
    <t>SCI ADV</t>
  </si>
  <si>
    <t>Sci. Adv.</t>
  </si>
  <si>
    <t>NOV 25</t>
  </si>
  <si>
    <t>eadd0720</t>
  </si>
  <si>
    <t>10.1126/sciadv.add0720</t>
  </si>
  <si>
    <t>D4AD0</t>
  </si>
  <si>
    <t>WOS:000968162100018</t>
  </si>
  <si>
    <t>Wang, ZW; Chen, T; Zhu, DY; Jia, K; Plaza, A</t>
  </si>
  <si>
    <t>Wang, Ziwei; Chen, Tao; Zhu, Dongyu; Jia, Kun; Plaza, Antonio</t>
  </si>
  <si>
    <t>RSEIFE: A new remote sensing ecological index for simulating the land surface eco-environment</t>
  </si>
  <si>
    <t>JOURNAL OF ENVIRONMENTAL MANAGEMENT</t>
  </si>
  <si>
    <t>Eco-environment quality; Entropy method; Surface ecological simulation; Remote sensing ecological index (RSEI)</t>
  </si>
  <si>
    <t>TM</t>
  </si>
  <si>
    <t>With the development of remote sensing technology, significant progress has been made in the evaluation of the eco-environment. The remote sensing ecological index (RSEI) is one of the most widely used indices for the comprehensive evaluation of eco-environmental quality. This index is entirely based on remote sensing data and can monitor eco-environmental aspects quickly for a large area. However, the use of RSEI has some limitations. For example, its application is generally not uniform, the obtained results are stochastic in nature, and its calculation process cannot consider all ecological elements (especially the water element). In spite of the widespread application of the RSEI, improvements to its limitations are scarce. In this paper, we propose a new index named the remote sensing ecological index considering full elements (RSEIFE). The proposed RSEIFE is compared with commonly used evaluation models such as RSEI and RSEILA (Remote Sensing Ecological Index with Local Adaptability) in several types of study areas to assess the stability and accuracy of our model. The results show that the calculation process of RSEIFE is more stable than those of RSEI and RSEILA, and the results of RSEIFE are consistent with the real eco-environment surface and reveal more details about its features. Meanwhile, compared with RSEI and RSEILA, the results of RSEIFE effectively reveal the ecological benefits of both water bodies themselves and their surrounding environments, which lead to more accurate and compre-hensive basis for the implementation of environmental protection policies.</t>
  </si>
  <si>
    <t>[Wang, Ziwei; Chen, Tao] China Univ Geosci, Sch Geophys &amp; Geomat, Wuhan 430074, Peoples R China; [Zhu, Dongyu] Wuhan Univ, Chinese Antarctic Ctr Surveying &amp; Mapping, Wuhan 430079, Peoples R China; [Jia, Kun] Beijing Normal Univ, Fac Geog Sci, State Key Lab Remote Sensing Sci, Beijing 100875, Peoples R China; [Jia, Kun] Beijing Normal Univ, Fac Geog Sci, Beijing Engn Res Ctr Global Land Remote Sensing Pr, Beijing 100875, Peoples R China; [Plaza, Antonio] Univ Extremadura, Escuela Politecn, Dept Technol Comp &amp; Commun, Hyperspectral Comp Lab, Caceres 10071, Spain</t>
  </si>
  <si>
    <t>China University of Geosciences; Wuhan University; Beijing Normal University; Beijing Normal University; Universidad de Extremadura</t>
  </si>
  <si>
    <t>Chen, T (corresponding author), China Univ Geosci, Sch Geophys &amp; Geomat, Wuhan 430074, Peoples R China.</t>
  </si>
  <si>
    <t>taochen@cug.edu.cn</t>
  </si>
  <si>
    <t>liu, sha/JXL-6600-2024; wang, ziwei/HQY-9921-2023; , 陈涛/H-5740-2019; ren, jing/JXN-8411-2024; Plaza, Antonio/C-4455-2008; Jia, Kun/Q-6539-2016</t>
  </si>
  <si>
    <t>, 陈涛/0000-0001-6965-1256; Plaza, Antonio/0000-0002-9613-1659; Jia, Kun/0000-0001-8586-4243</t>
  </si>
  <si>
    <t>National Natural Science Foundation of China [62071439, 61601418, 61871259]; Open Fund of State Key Laboratory of Remote Sensing Science [OFSLRSS202207]; Opening fund of State Key Laboratory of Geohazard Prevention and Geoenvironment Protection (Chengdu University of Technology) [SKLGP 2022K016]; Opening Foundation of Qilian Mountain National Park Research Center (Qinghai) [GKQ 2019- 01]; Opening Foundation of Beijing Key Laboratory of Urban Spatial Information Engineering [20210209]; Opening Foundation of Geomatics Technology and Application Key Laboratory of Qinghai Province [QHDX-2019-01]</t>
  </si>
  <si>
    <t>National Natural Science Foundation of China(National Natural Science Foundation of China (NSFC)); Open Fund of State Key Laboratory of Remote Sensing Science; Opening fund of State Key Laboratory of Geohazard Prevention and Geoenvironment Protection (Chengdu University of Technology); Opening Foundation of Qilian Mountain National Park Research Center (Qinghai); Opening Foundation of Beijing Key Laboratory of Urban Spatial Information Engineering; Opening Foundation of Geomatics Technology and Application Key Laboratory of Qinghai Province</t>
  </si>
  <si>
    <t>This work was supported in part by the National Natural Science Foundation of China under Grant 62071439, Grant 61601418, and Grant 61871259; in part by the Open Fund of State Key Laboratory of Remote Sensing Science (Grant No. OFSLRSS202207); in part by the Opening fund of State Key Laboratory of Geohazard Prevention and Geoenvironment Protection (Chengdu University of Technology), SKLGP 2022K016; in part by the Opening Foundation of Qilian Mountain National Park Research Center (Qinghai) under Grant GKQ 2019- 01, in part by the Opening Foundation of Beijing Key Laboratory of Urban Spatial Information Engineering, under Grant 20210209, and in part by the Opening Foundation of Geomatics Technology and Application Key Laboratory of Qinghai Province, under Grant QHDX-2019-01.</t>
  </si>
  <si>
    <t>0301-4797</t>
  </si>
  <si>
    <t>1095-8630</t>
  </si>
  <si>
    <t>J ENVIRON MANAGE</t>
  </si>
  <si>
    <t>J. Environ. Manage.</t>
  </si>
  <si>
    <t>JAN 15</t>
  </si>
  <si>
    <t>A</t>
  </si>
  <si>
    <t>10.1016/j.jenvman.2022.116851</t>
  </si>
  <si>
    <t>8B5XP</t>
  </si>
  <si>
    <t>WOS:000916997700002</t>
  </si>
  <si>
    <t>Liu, H; Beutel, RG; Makarov, KV; Jarzembowski, EA; Xiao, CT; Luo, CH</t>
  </si>
  <si>
    <t>Liu, Hua; Beutel, Rolf G.; V. Makarov, Kirill; Jarzembowski, Edmund A.; Xiao, Chuantao; Luo, Cihang</t>
  </si>
  <si>
    <t>The first larval record of Migadopinae (Coleoptera: Adephaga: Carabidae) from mid-Cretaceous Kachin amber, northern Myanmar</t>
  </si>
  <si>
    <t>CRETACEOUS RESEARCH</t>
  </si>
  <si>
    <t>Coleoptera; Carabidae; Migadopinae; Mid-Cretaceous; Myanmar; New species</t>
  </si>
  <si>
    <t>SYSTEMATIC POSITION; INSECTA COLEOPTERA; RHYSODIDAE; CHARACTERS; PHYLOGENY; SYNOPSIS</t>
  </si>
  <si>
    <t>A new genus and species of Carabidae (Coleoptera: Adephaga), Cretomigadops bidentatus gen. et sp. nov., is described based on a well-preserved specimen from mid-Cretaceous Kachin amber from northern Myanmar. It is a first instar shortly after hatching, with distinct, elongate frontal eggbursters and a disproportionally large head. Cretomigadops bidentatus gen. et sp. nov. displays typical adephagan fea -tures and is classified as a larva of Carabidae based on a strongly sinuate frontal suture. It is assigned to Migadopinae based on characters of the head, especially the presence of two acute subapical mandibular teeth. It differs from other known genera of this small subantarctic subfamily by its long urogomphus, elongate legs with equal pretarsal claws and a long abdominal segment X. It is the first definite Mesozoic larval record of Carabidae from amber. Differences between C. bidentatus gen. et sp. nov. and four other fossil caraboid larvae are also discussed. The mandibles with a falcate apical tooth and two additional sharp subapical teeth indicate that C. bidentatus gen. et sp. nov. was a specialized active predator and good at grasping and piercing small arthropods. The elongate and articulated urogomphi, the long legs, the well-developed stemmata and the pigmented cuticle indicate that the larva was a surface runner, moving mostly on the soil surface and hunting more or less fast-moving prey. In contrast to the sub-antarctic distribution of Migadopinae, C. bidentatus gen. et sp. nov. preserved in Burmite shows that the distribution range of the subfamily was wider in the Mesozoic.(c) 2022 Elsevier Ltd. All rights reserved.</t>
  </si>
  <si>
    <t>[Liu, Hua; Xiao, Chuantao] Yangtze Univ, Sch GeoSci, Wuhan 430100, Hubei, Peoples R China; [Liu, Hua; Jarzembowski, Edmund A.; Luo, Cihang] Chinese Acad Sci, Nanjing Inst Geol &amp; Palaeontol, State Key Lab Palaeobiol &amp; Stratig, 39 East Beijing Rd, Nanjing 210008, Peoples R China; [Liu, Hua; Jarzembowski, Edmund A.; Luo, Cihang] Chinese Acad Sci, Ctr Excellence Life &amp; Paleoenvironm, 39 East Beijing Rd, Nanjing 210008, Chin, Myanmar; [Beutel, Rolf G.] Friedrich Schiller Univ Jena, Inst Zool &amp; Evolut Forsch, D-07743 Jena, Germany; [V. Makarov, Kirill] Moscow State Pedag Univ, Zool &amp; Ecol Dept, Kibalchicha Str 6, Build 3, Moscow 129164, Russia; [Luo, Cihang] Univ Chinese Acad Sci, Beijing 100049, Peoples R China</t>
  </si>
  <si>
    <t>Yangtze University; Chinese Academy of Sciences; Friedrich Schiller University of Jena; Moscow State University of Education; Chinese Academy of Sciences; University of Chinese Academy of Sciences, CAS</t>
  </si>
  <si>
    <t>Xiao, CT (corresponding author), Yangtze Univ, Sch GeoSci, Wuhan 430100, Hubei, Peoples R China.;Luo, CH (corresponding author), Chinese Acad Sci, Nanjing Inst Geol &amp; Palaeontol, State Key Lab Palaeobiol &amp; Stratig, 39 East Beijing Rd, Nanjing 210008, Peoples R China.;Luo, CH (corresponding author), Chinese Acad Sci, Ctr Excellence Life &amp; Paleoenvironm, 39 East Beijing Rd, Nanjing 210008, Chin, Myanmar.</t>
  </si>
  <si>
    <t>ctxiao@yangtzeu.edu.cn; chluo@nigpas.ac.cn</t>
  </si>
  <si>
    <t>Luo, Cihang/ISB-0378-2023</t>
  </si>
  <si>
    <t>Luo, Cihang/0000-0002-4855-6185</t>
  </si>
  <si>
    <t>Strategic Priority Research Program of the Chinese Academy of Sciences [XDB26000000]; National Natural Science Foundation of China [42125201, 42288201]; Second Tibetan Plateau Scienti fic Expedition and Research [2019QZKK0706]; CAS President's International Fellowship Initiative (PIFI); UNESCO-IUGS IGCP Project [679]</t>
  </si>
  <si>
    <t>Strategic Priority Research Program of the Chinese Academy of Sciences(Chinese Academy of Sciences); National Natural Science Foundation of China(National Natural Science Foundation of China (NSFC)); Second Tibetan Plateau Scienti fic Expedition and Research; CAS President's International Fellowship Initiative (PIFI); UNESCO-IUGS IGCP Project</t>
  </si>
  <si>
    <t>We express our sincere thanks to the anonymous reviewers for their thoughtful comments on the manuscript. This research was supported by the Strategic Priority Research Program of the Chinese Academy of Sciences (XDB26000000) , National Natural Science Foundation of China (42125201, 42288201) , the Second Tibetan Plateau Scienti fic Expedition and Research (2019QZKK0706) and the CAS President's International Fellowship Initiative (PIFI) . This is a contribution to UNESCO-IUGS IGCP Project 679.</t>
  </si>
  <si>
    <t>0195-6671</t>
  </si>
  <si>
    <t>1095-998X</t>
  </si>
  <si>
    <t>CRETACEOUS RES</t>
  </si>
  <si>
    <t>Cretac. Res.</t>
  </si>
  <si>
    <t>10.1016/j.cretres.2022.105413</t>
  </si>
  <si>
    <t>6V8TG</t>
  </si>
  <si>
    <t>WOS:000895312200004</t>
  </si>
  <si>
    <t>García-Plazaola, JI; Arzac, MI; Brazales, L; Fernández, J; Laza, JM; Vilas, JL; López-Pozo, M; Perera-Castro, A; Fernández-Marín, B</t>
  </si>
  <si>
    <t>Ignacio Garcia-Plazaola, Jose; Irati Arzac, Miren; Brazales, Laura; Fernandez, Javier; Manuel Laza, Jose; Luis Vilas, Jose; Lopez-Pozo, Marina; Perera-Castro, Alicia, V; Fernandez-Marin, Beatriz</t>
  </si>
  <si>
    <t>Freezing and desiccation tolerance in the Antarctic bangiophyte Pyropia endiviifolia (Rhodophyta): a chicken and egg problem?</t>
  </si>
  <si>
    <t>EUROPEAN JOURNAL OF PHYCOLOGY</t>
  </si>
  <si>
    <t>Antarctica; cross-tolerance; desiccation tolerance; freezing tolerance; macroalgae; PAM; Porphyra; rhodophyte; supercooling</t>
  </si>
  <si>
    <t>XANTHOPHYLL CYCLE; ABIOTIC STRESS; RED ALGAE; BANGIALES; EVOLUTION; LIGHT; PHOTOSYNTHESIS; CAROTENOIDS; INSIGHTS; SEAWEEDS</t>
  </si>
  <si>
    <t>Antarctic macroalgal communities of the upper intertidal zone are particularly poor compared with other coastal regions. Exposure to desiccation and freezing combined with the abrasive effect of ice threatens the life of sessile organisms. One of the few species able to colonize this environment is the rhodophyte Pyropia endiviifolia. It belongs to the Bangiales, one of the oldest extant clades of photosynthetic eukaryotes, which has occurred for more than one billion years with basically the same morphological structure. Considering that the extent of Antarctic glaciation is a geologically recent event, we hypothesized that pre-adaptations to desiccation in bangiophytes may have contributed to the success of P. endiviifolia in Antarctica. To test this, we compared its photosynthetic performance and tolerance to desiccation and freezing with those from a related intertidal species, the temperate Atlantic species Porphyra linearis. As evidenced by gas exchange and chlorophyll fluorescence, P. endiviifolia is more adapted to high irradiances than P. linearis. The former species was also more desiccation-tolerant, and showed a higher glass transition temperature. Both species did not differ in chlorophyll content per dry weight, and tolerance to -20 degrees C, even though the ice-nucleation temperature was much higher in P. endiviifolia. Membrane integrity may depend on fatty acid composition in P. endiviifolia, while on enhanced tocopherol in P. linearis. Overall, both species show different strategies to deal with freezing temperatures: supercooling in P. linearis vs. freezing-tolerance in P. endiviifolia. This matches with the probability of being subjected to sub-zero temperatures in their natural environments (lower in the case of P. linearis). Surprisingly, the higher risk of dehydration in the natural habitat of P. linearis is not matched by a higher desiccation tolerance. This observation does not support the initial hypothesis of the study but suggests the opposite: the acclimation to a cold environment results in higher desiccation tolerance.HIGHLIGHTS? Porphyra linearis and Pyropia endiviifolia are remarkably tolerant to desiccation and freezing.? Antarctic P. endiviifolia is remarkably tolerant to desiccation and freezing.? Mechanisms of freezing tolerance could induce a higher tolerance to desiccation.</t>
  </si>
  <si>
    <t>[Ignacio Garcia-Plazaola, Jose; Irati Arzac, Miren; Brazales, Laura; Fernandez, Javier; Lopez-Pozo, Marina] Univ Basque Country, Dept Plant Biol &amp; Ecol, UPV EHU, Barrio Sarriena S-N, Leioa 48940, Spain; [Manuel Laza, Jose; Luis Vilas, Jose] Univ Basque Country, Dept Phys Chem, Lab Macromol Chem Labquimac, UPV EHU, Barrio Sarriena S-N, Leioa 48940, Spain; [Perera-Castro, Alicia, V; Fernandez-Marin, Beatriz] Univ La Laguna ULL, Dept Bot Ecol &amp; Plant Physiol, Tenerife 38200, Spain</t>
  </si>
  <si>
    <t>University of Basque Country; University of Basque Country; Universidad de la Laguna</t>
  </si>
  <si>
    <t>García-Plazaola, JI (corresponding author), Univ Basque Country, Dept Plant Biol &amp; Ecol, UPV EHU, Barrio Sarriena S-N, Leioa 48940, Spain.</t>
  </si>
  <si>
    <t>joseignacio.garcia@ehu.eus</t>
  </si>
  <si>
    <t>Perera Castro, Alicia V./C-4856-2019; Vilas, Jose Luis/L-7178-2015; Garcia-Plazaola, Jose Ignacio/B-8188-2009; Lopez Pozo, Marina/AFJ-4452-2022</t>
  </si>
  <si>
    <t>Perera Castro, Alicia V./0000-0001-8451-6052; Vilas, Jose Luis/0000-0002-0188-4579; Garcia-Plazaola, Jose Ignacio/0000-0001-6498-975X; Arzac, Miren Irati/0000-0003-0184-470X; Lopez Pozo, Marina/0000-0002-0425-4062; LAZA, JOSE MANUEL/0000-0003-0412-621X</t>
  </si>
  <si>
    <t>MCIN/AEI [CTM2014-53902-C2-2-P, CTM2014-53902-C2-1-P, PGC2018-093824-B-C44]; ERDF A way of making Europe'; Basque Government [UPV/EHU IT-1018-16, IT1648-22]</t>
  </si>
  <si>
    <t>MCIN/AEI; ERDF A way of making Europe'; Basque Government(Basque Government)</t>
  </si>
  <si>
    <t>This research was funded through the following projects: CTM2014-53902-C2-2-P, CTM2014-53902-C2-1-P and PGC2018-093824-B-C44 funded by MCIN/AEI/ 10.13039/501100011033 and by ERDF A way of making Europe', and by UPV/EHU IT-1018-16 and IT1648-22 funded by the Basque Government.</t>
  </si>
  <si>
    <t>0967-0262</t>
  </si>
  <si>
    <t>1469-4433</t>
  </si>
  <si>
    <t>EUR J PHYCOL</t>
  </si>
  <si>
    <t>Eur. J. Phycol.</t>
  </si>
  <si>
    <t>OCT 2</t>
  </si>
  <si>
    <t>10.1080/09670262.2022.2136405</t>
  </si>
  <si>
    <t>W0CN5</t>
  </si>
  <si>
    <t>WOS:000890938600001</t>
  </si>
  <si>
    <t>Guo, JZ; Jiang, J; Peng, ZF; Zhong, YH; Jiang, YG; Jiang, Z; Hu, YD; Dong, YR; Shi, L</t>
  </si>
  <si>
    <t>Guo, Jinzhi; Jiang, Jie; Peng, Zhaofeng; Zhong, Yuhong; Jiang, Yongguang; Jiang, Zhou; Hu, Yidan; Dong, Yiran; Shi, Liang</t>
  </si>
  <si>
    <t>Global occurrence of the bacteria with capability for extracellular reduction of iodate</t>
  </si>
  <si>
    <t>DmsEFAB; MtrCAB; extracellular reduction of iodate; Ferrimonas; Shewanella; global biogeochemical cycling of iodine</t>
  </si>
  <si>
    <t>HIGH IODINE GROUNDWATER; SHEWANELLA-ONEIDENSIS; SP-NOV.; MULTICOPPER OXIDASE; ELECTRON-TRANSFER; PROTEIN COMPLEX; STRAIN; MARINE; CYTOCHROMES; MTRC</t>
  </si>
  <si>
    <t>The gamma-proteobacterium Shewanella oneidensis MR-1 reduces iodate to iodide extracellularly. Both dmsEFAB and mtrCAB gene clusters are involved in extracellular reduction of iodate by S. oneidensis MR-1. DmsEFAB reduces iodate to hypoiodous acid and hydrogen peroxide (H2O2). Subsequently, H2O2 is reduced by MtrCAB to facilitate DmsEFAB-mediated extracellular reduction of iodate. To investigate the distribution of bacteria with the capability for extracellular reduction of iodate, bacterial genomes were systematically searched for both dmsEFAB and mtrCAB gene clusters. The dmsEFAB and mtrCAB gene clusters were found in three Ferrimonas and 26 Shewanella species. Coexistence of both dmsEFAB and mtrCAB gene clusters in these bacteria suggests their potentials for extracellular reduction of iodate. Further analyses demonstrated that these bacteria were isolated from a variety of ecosystems, including the lakes, rivers, and subsurface rocks in East and Southeast Asia, North Africa, and North America. Importantly, most of the bacteria with both dmsEFAB and mtrCAB gene clusters were found in different marine environments, which ranged from the Arctic Ocean to Antarctic coastal marine environments as well as from the Atlantic Ocean to the Indian and Pacific Oceans. Widespread distribution of the bacteria with capability for extracellular reduction of iodate around the world suggests their significant importance in global biogeochemical cycling of iodine. The genetic organization of dmsEFAB and mtrCAB gene clusters also varied substantially. The identified mtrCAB gene clusters often contained additional genes for multiheme c-type cytochromes. The numbers of dmsEFAB gene cluster detected in a given bacterial genome ranged from one to six. In latter, duplications of dmsEFAB gene clusters occurred. These results suggest different paths for these bacteria to acquire their capability for extracellular reduction of iodate.</t>
  </si>
  <si>
    <t>[Guo, Jinzhi; Jiang, Jie; Peng, Zhaofeng; Zhong, Yuhong; Jiang, Yongguang; Jiang, Zhou; Hu, Yidan; Dong, Yiran; Shi, Liang] China Univ Geosci, Sch Environm Studies, Dept Biol Sci &amp; Technol, Wuhan, Peoples R China; [Jiang, Zhou; Dong, Yiran; Shi, Liang] China Univ Geosci, State Key Lab Biogeol &amp; Environm Geol, Wuhan, Peoples R China; [Dong, Yiran; Shi, Liang] China Univ Geosci, Hubei Key Lab Yangtze Catchment Environm Aquat Sci, Wuhan, Peoples R China; [Dong, Yiran; Shi, Liang] China Univ Geosci, State Environm Protect Key Lab Source Apportionmen, Minist Ecol &amp; Environm, Wuhan, Peoples R China</t>
  </si>
  <si>
    <t>China University of Geosciences; China University of Geosciences; China University of Geosciences; China University of Geosciences</t>
  </si>
  <si>
    <t>Peng, ZF; Shi, L (corresponding author), China Univ Geosci, Sch Environm Studies, Dept Biol Sci &amp; Technol, Wuhan, Peoples R China.;Shi, L (corresponding author), China Univ Geosci, State Key Lab Biogeol &amp; Environm Geol, Wuhan, Peoples R China.;Shi, L (corresponding author), China Univ Geosci, Hubei Key Lab Yangtze Catchment Environm Aquat Sci, Wuhan, Peoples R China.;Shi, L (corresponding author), China Univ Geosci, State Environm Protect Key Lab Source Apportionmen, Minist Ecol &amp; Environm, Wuhan, Peoples R China.</t>
  </si>
  <si>
    <t>pzf.soe@126.com; liang.shi@cug.edu.cn</t>
  </si>
  <si>
    <t>National Key Research and Development Program of China; National Natural Science Foundation of China; Fundamental Research Funds for the Universities of Chinese Central Government, China University of Geosciences-Wuhan; [2018YFA0901303]; [NSFC91851211]; [42277065]; [42272353]; [122-G1323522144]</t>
  </si>
  <si>
    <t>National Key Research and Development Program of China; National Natural Science Foundation of China(National Natural Science Foundation of China (NSFC)); Fundamental Research Funds for the Universities of Chinese Central Government, China University of Geosciences-Wuhan; ; ; ; ;</t>
  </si>
  <si>
    <t>Funding We would like to thank the National Key Research and Development Program of China (2018YFA0901303), National Natural Science Foundation of China (NSFC91851211, 42277065, 42272353), and the Fundamental Research Funds for the Universities of Chinese Central Government, China University of Geosciences-Wuhan (122-G1323522144) for their support.</t>
  </si>
  <si>
    <t>10.3389/fmicb.2022.1070601</t>
  </si>
  <si>
    <t>6U9UH</t>
  </si>
  <si>
    <t>WOS:000894704700001</t>
  </si>
  <si>
    <t>Dietz, S; Koninx, F</t>
  </si>
  <si>
    <t>Dietz, Simon; Koninx, Felix</t>
  </si>
  <si>
    <t>Economic impacts of melting of the Antarctic Ice Sheet</t>
  </si>
  <si>
    <t>s.dietz@lse.ac.uk</t>
  </si>
  <si>
    <t>Dietz, Simon/AAX-9362-2020</t>
  </si>
  <si>
    <t>Dietz, Simon/0000-0001-5002-018X; Koninx, Felix/0000-0002-2001-9863</t>
  </si>
  <si>
    <t>10.1038/s41467-022-35107-6</t>
  </si>
  <si>
    <t>6M5KF</t>
  </si>
  <si>
    <t>WOS:000888905100028</t>
  </si>
  <si>
    <t>Xu, L; Shi, S; Gong, W; Shi, ZX; Qu, FF; Tang, XT; Chen, BW; Sun, J</t>
  </si>
  <si>
    <t>Xu, Lu; Shi, Shuo; Gong, Wei; Shi, Zixi; Qu, Fangfang; Tang, Xingtao; Chen, Bowen; Sun, Jia</t>
  </si>
  <si>
    <t>Improving leaf chlorophyll content estimation through constrained PROSAIL model from airborne hyperspectral and LiDAR data</t>
  </si>
  <si>
    <t>INTERNATIONAL JOURNAL OF APPLIED EARTH OBSERVATION AND GEOINFORMATION</t>
  </si>
  <si>
    <t>Hyperspectral image; Airborne LiDAR; PROSAIL model; Leaf chlorophyll content</t>
  </si>
  <si>
    <t>REMOTE-SENSING DATA; AREA INDEX; BIOPHYSICAL PARAMETERS; VEGETATION INDEXES; GAP FRACTION; FOREST; INVERSION; REFLECTANCE; PREDICTION; RETRIEVAL</t>
  </si>
  <si>
    <t>Leaf chlorophyll plays an important role in forest management and ecosystem balance. Hyperspectral images have been widely applied in leaf chlorophyll content (LCC) estimation. However, the complexity of canopy structures, such as leaf area index (LAI), weakens the performance of LCC estimation from hyperspectral images. The effect of LAI must be considered. Light detection and ranging (LiDAR) has advantages in LAI extraction. Therefore, this study theoretically and experimentally explored the potential of integrating the hyperspectral image and LiDAR data to improve LCC estimation. The PROSAIL model constrained by LiDAR-derived LAI was developed when the hyperspectral image was applied to LCC estimation. Theoretical evaluation and experimental validation were conducted to determine the performance of constrained PROSAIL models with four minimization algorithms. Four minimization algorithms included the fminsearchbnd, simulated annealing, genetic algorithm and Pareto sets. Three datasets were used: the synthetic dataset followed a uniform distribution, the synthetic dataset followed a normal distribution, and the airborne sensor dataset (airborne hyperspectral and LiDAR data). The non-constrained PROSAIL model was as a comparison. Results showed the effectiveness of the constrained PROSAIL model through integrating hyperspectral and LiDAR data for the improvement of LCC estimation. The constrained PROSAIL model always had better performance than non-constrained PROSAIL model among all datasets and minimization algorithms. It demonstrated that constrained PROSAIL model with LAI constraint could improve the accuracy of LCC estimation, where the R2 could be increased by 10% to 29%, and 9% to 62% for the synthetic datasets and airborne sensor dataset, respectively. The constrained PROSAIL model with Pareto sets had the best accuracy with an R2 of 0.81 from airborne sensor dataset. This study provides a new strategy for the improvement of LCC estimation and has great potential to serve precision forestry.</t>
  </si>
  <si>
    <t>[Xu, Lu; Shi, Shuo; Gong, Wei; Shi, Zixi; Qu, Fangfang; Tang, Xingtao; Chen, Bowen] Wuhan Univ, State Key Lab Informat Engn Surveying Mapping &amp; Re, Wuhan 430079, Hubei, Peoples R China; [Gong, Wei] Wuhan Univ, Elect Informat Sch, Wuhan 430072, Hubei, Peoples R China; [Chen, Bowen] Wuhan Univ, Chinese Antarctic Ctr Surveying &amp; Mapping, Wuhan 430079, Hubei, Peoples R China; [Sun, Jia] China Univ Geosci, Sch Geog &amp; Informat Engn, Wuhan 430074, Hubei, Peoples R China</t>
  </si>
  <si>
    <t>Wuhan University; Wuhan University; Wuhan University; China University of Geosciences</t>
  </si>
  <si>
    <t>Shi, S (corresponding author), Wuhan Univ, State Key Lab Informat Engn Surveying Mapping &amp; Re, Wuhan 430079, Hubei, Peoples R China.</t>
  </si>
  <si>
    <t>shishuo@whu.edu.cn</t>
  </si>
  <si>
    <t>National Natural Science Foundation of China [41971307]; Fundamental Research Funds for the Central Universities [2042022kf1200]; Wuhan University Specific Fund for Major School -level Internationalization Initiatives; LIES-MARS Special Funding</t>
  </si>
  <si>
    <t>National Natural Science Foundation of China(National Natural Science Foundation of China (NSFC)); Fundamental Research Funds for the Central Universities(Fundamental Research Funds for the Central Universities); Wuhan University Specific Fund for Major School -level Internationalization Initiatives; LIES-MARS Special Funding</t>
  </si>
  <si>
    <t>This work was supported by National Natural Science Foundation of China (41971307) ; the Fundamental Research Funds for the Central Universities (Grant No.2042022kf1200) ; Wuhan University Specific Fund for Major School -level Internationalization Initiatives, and LIES-MARS Special Funding. The authors thank National Forestry and Grassland Administration for providing airborne hyperspectral and LiDAR data. The authors also thank European Space Agency for freely sharing the Sentinel -2 images and SNAP toolbox.</t>
  </si>
  <si>
    <t>1569-8432</t>
  </si>
  <si>
    <t>1872-826X</t>
  </si>
  <si>
    <t>INT J APPL EARTH OBS</t>
  </si>
  <si>
    <t>Int. J. Appl. Earth Obs. Geoinf.</t>
  </si>
  <si>
    <t>10.1016/j.jag.2022.103128</t>
  </si>
  <si>
    <t>6Q7FX</t>
  </si>
  <si>
    <t>WOS:000891777700003</t>
  </si>
  <si>
    <t>Figuerola, B; Griffiths, HJ; Krzeminska, M; Piwoni-Piorewicz, A; Iglikowska, A; Kuklinski, P</t>
  </si>
  <si>
    <t>Figuerola, Blanca; Griffiths, Huw J.; Krzeminska, Malgorzata; Piwoni-Piorewicz, Anna; Iglikowska, Anna; Kuklinski, Piotr</t>
  </si>
  <si>
    <t>Temperature as a likely driver shaping global patterns in mineralogical composition in bryozoans: implications for marine calcifiers under global change</t>
  </si>
  <si>
    <t>ECOGRAPHY</t>
  </si>
  <si>
    <t>acidification; Antarctic; aragonite; calcifying organisms; Mg-calcite; ocean warming</t>
  </si>
  <si>
    <t>SKELETAL CARBONATE MINERALOGY; OCEAN ACIDIFICATION; SOUTHERN-OCEAN; MG-CALCITE; DEEP-WATER; CHEILOSTOMATA BRYOZOA; SEAWATER; VARIABILITY; SALINITY; ISLANDS</t>
  </si>
  <si>
    <t>The Southern Ocean is showing one of the most rapid responses to human-induced global change, thus acting as a sentinel of the effects on marine species and ecosystems. Ocean warming and acidification are already impacting benthic species with carbonate skeletons, but the magnitude of these changes to species and ecosystems remains largely unknown. Here we provide the largest carbonate mineralogical dataset to date for Southern Ocean bryozoans, which are diverse, abundant and important as carbonate producers, thus making them excellent for monitoring the effects of ocean warming and acidification. To improve our understanding of how bryozoans might respond to ocean warming and acidification, we assess latitudinal and seafloor temperature patterns of skeletal mineralogy using bryozoan species occurrences together with temperature data for the first time. Our findings, combining new mineralogical data with published data from warmer regions, show that the proportions of high-Mg calcite and bimineralic species increase significantly towards lower latitudes and with increasing seawater temperature. These patterns are consistent with the hypothesis that seawater temperature is likely a significant driver of variations in bryozoan mineralogy at a global scale.</t>
  </si>
  <si>
    <t>[Figuerola, Blanca] CSIC, ICM, Inst Marine Sci, Barcelona, Spain; [Griffiths, Huw J.] British Antarctic Survey, Cambridge, England; [Krzeminska, Malgorzata; Kuklinski, Piotr] Polish Acad Sci, Inst Oceanol, Sopot, Poland; [Piwoni-Piorewicz, Anna] Univ Gdansk, Inst Oceanog, Gdynia, Poland; [Iglikowska, Anna] Univ Gdansk, Dept Evolutionary Genet &amp; Biosystemat, Lab Biosystemat &amp; Ecol Aquat Invertebrates, Fac Biol, Gdansk, Poland</t>
  </si>
  <si>
    <t>Consejo Superior de Investigaciones Cientificas (CSIC); CSIC - Centro Mediterraneo de Investigaciones Marinas y Ambientales (CMIMA); CSIC - Instituto de Ciencias del Mar (ICM); UK Research &amp; Innovation (UKRI); Natural Environment Research Council (NERC); NERC British Antarctic Survey; Polish Academy of Sciences; Institute of Oceanology of the Polish Academy of Sciences; Fahrenheit Universities; University of Gdansk; Fahrenheit Universities; University of Gdansk</t>
  </si>
  <si>
    <t>Figuerola, B (corresponding author), CSIC, ICM, Inst Marine Sci, Barcelona, Spain.</t>
  </si>
  <si>
    <t>bfiguerola@gmail.com</t>
  </si>
  <si>
    <t>Figuerola, Blanca/C-6252-2015; Griffiths, Huw J/D-4234-2009; Iglikowska, Anna/GSM-6722-2022</t>
  </si>
  <si>
    <t>Figuerola, Blanca/0000-0003-4731-9337; Griffiths, Huw J/0000-0003-1764-223X; Iglikowska, Anna/0000-0002-3932-9079; Piwoni-Piorewicz, Anna/0000-0003-2131-161X</t>
  </si>
  <si>
    <t>National Science Centre Poland [2016/23/B/ST10/01936, 2021/40/C/ ST10/00225]; Secretary of Universities and Research (Government of Catalonia); Horizon 2020 programme of research and innovation of the European Union under the Marie Sklodowska-Curie grant [801370, 2019 BP 00183]; MCIN/AEI [PID2021-125323OA-I00]; ERDF A way of making Europe; 'Severo Ochoa Centre of Excellence' accreditation [CEX2019-000928-S]</t>
  </si>
  <si>
    <t>National Science Centre Poland(National Science Centre, Poland); Secretary of Universities and Research (Government of Catalonia); Horizon 2020 programme of research and innovation of the European Union under the Marie Sklodowska-Curie grant; MCIN/AEI; ERDF A way of making Europe; 'Severo Ochoa Centre of Excellence' accreditation</t>
  </si>
  <si>
    <t>The study was supported by National Science Centre Poland (project contracts 2016/23/B/ST10/01936 and 2021/40/C/ ST10/00225). BF has received funding from the postdoctoral fellowships programme Beatriu de Pinos funded by the Secretary of Universities and Research (Government of Catalonia) and by the Horizon 2020 programme of research and innovation of the European Union under the Marie Sklodowska-Curie grant agreement no. 801370 (Incorporation grant 2019 BP 00183). This work has been developed in the framework of MedCalRes project Grant PID2021-125323OA-I00 to BF funded by MCIN/ AEI/10.13039/501100011033 and by `ERDF A way of making Europe'. With the institutional support of the `Severo Ochoa Centre of Excellence' accreditation (CEX2019-000928-S).</t>
  </si>
  <si>
    <t>0906-7590</t>
  </si>
  <si>
    <t>1600-0587</t>
  </si>
  <si>
    <t>Ecography</t>
  </si>
  <si>
    <t>10.1111/ecog.06381</t>
  </si>
  <si>
    <t>7G9BS</t>
  </si>
  <si>
    <t>Green Submitted, Green Accepted, Green Published</t>
  </si>
  <si>
    <t>WOS:000890232000001</t>
  </si>
  <si>
    <t>Zheng, C; Li, F; Yan, JG; Deng, QY; Qiu, DG; Barriot, JP</t>
  </si>
  <si>
    <t>Zheng, Chong; Li, Fei; Yan, Jianguo; Deng, Qingyun; Qiu, Denggao; Barriot, Jean-Pierre</t>
  </si>
  <si>
    <t>The potential cryptomaria in Balmer-Kapteyn region revealed by GRAIL data</t>
  </si>
  <si>
    <t>PLANETARY AND SPACE SCIENCE</t>
  </si>
  <si>
    <t>Cryptomaria; Gravity field; Inversion</t>
  </si>
  <si>
    <t>LUNAR CRATERS IMPLICATIONS; 3-D INVERSION; MOON; ANOMALIES; VOLUMES; SURFACE; CRUST</t>
  </si>
  <si>
    <t>Cryptomare, buried basalt deposits by impact ejecta, is a significant component of the lunar mare. Current research has focused on searching for cryptomaria through dark halo craters (DHCs), but there are limitations to this approach, while the cryptomaria may actually cover a much wider area. In this research, we invert the threedimensional density structure in the Balmer-Kapteyn region (centered on 68 degrees E, 18 degrees S) using GRAIL data based on the density difference between basaltic mare and feldspathic highland, to analyze the cryptomaria in this region. The results show that the volume of the high density material is about 2.3 x 104 km3 and the depth of the bottom of the material is 8 km in our inversion target area. Our inversion results combined with the distribution of DHCs, revealing what may be the unexposed cryptomaria.</t>
  </si>
  <si>
    <t>[Zheng, Chong; Li, Fei; Yan, Jianguo; Deng, Qingyun; Qiu, Denggao; Barriot, Jean-Pierre] Wuhan Univ, State Key Lab Informat Engn Surveying Mapping Remo, Wuhan, Peoples R China; [Li, Fei] Wuhan Univ, Chinese Antarctic Ctr Surveying &amp; Mapping, Wuhan, Peoples R China; [Barriot, Jean-Pierre] Geodesy Observ Tahiti, Tahiti, French Polynesi, France</t>
  </si>
  <si>
    <t>Li, F (corresponding author), Wuhan Univ, State Key Lab Informat Engn Surveying Mapping Remo, Wuhan, Peoples R China.</t>
  </si>
  <si>
    <t>fli@whu.edu.cn</t>
  </si>
  <si>
    <t>Li, Kexin/KAO-2519-2024; LI, MINGZE/KEI-2317-2024; JIANG, Peng/KGL-3427-2024; Yuan, Yu/KBQ-0606-2024; Qiu, Denggao/IVU-9713-2023</t>
  </si>
  <si>
    <t>Qiu, Denggao/0000-0002-4388-9634; Barriot, Jean-Pierre/0000-0002-2112-9685</t>
  </si>
  <si>
    <t>National Natural Science Foundation of China [42030110, 41864010, U1831132]; Innovation Group of Natural Fund of Hubei Province [2018CFA087]</t>
  </si>
  <si>
    <t>National Natural Science Foundation of China(National Natural Science Foundation of China (NSFC)); Innovation Group of Natural Fund of Hubei Province</t>
  </si>
  <si>
    <t>We thank the GRAIL and LRO science teams and their hard work in producing the various kinds of data that are used in this study. F. L is supported by the National Natural Science Foundation of China (42030110, 41864010), and J. Y. is supported by the National Natural Science Foundation of China (U1831132) and Innovation Group of Natural Fund of Hubei Province (2018CFA087).</t>
  </si>
  <si>
    <t>0032-0633</t>
  </si>
  <si>
    <t>1873-5088</t>
  </si>
  <si>
    <t>PLANET SPACE SCI</t>
  </si>
  <si>
    <t>Planet Space Sci.</t>
  </si>
  <si>
    <t>10.1016/j.pss.2022.105598</t>
  </si>
  <si>
    <t>7I2TF</t>
  </si>
  <si>
    <t>WOS:000903745000007</t>
  </si>
  <si>
    <t>Nunes, AJP; Dalen, LL; Leonardi, G; Burri, L</t>
  </si>
  <si>
    <t>Nunes, Alberto J. P.; Dalen, Lise Lotte; Leonardi, Geronimo; Burri, Lena</t>
  </si>
  <si>
    <t>Developing sustainable, cost-effective and high-performance shrimp feed formulations containing low fish meal levels</t>
  </si>
  <si>
    <t>Antarctic krill; Cost-effective; Feed formulation; Fish meal; Growth performance; Shrimp</t>
  </si>
  <si>
    <t>PACIFIC WHITE SHRIMP; PENAEUS-MONODON FABRICIUS; SOY PROTEIN-CONCENTRATE; LITOPENAEUS-VANNAMEI; PRACTICAL DIETS; NATURAL PRODUCTIVITY; TIGER SHRIMP; BLUE SHRIMP; KRILL MEAL; FOOD</t>
  </si>
  <si>
    <t>Feed formulations for marine shrimp have adapted to the stagnant fish meal supplies and increasing prices by progressively moving to alternative protein sources such as plant and rendered animal by-products. This review presents the current challenges on the use of conventional and non-conventional feed sources, with a focus on solving the economical, sustainability and performance challenges of low-fish meal diets. As a case study, this review shows that krill meal can be included to address some of these concerns, such as missing essential nu-trients, lower attractability/palatability and antinutritional factors that suppress feeding stimulus, reduce nutrient bioavailability and hence increase production costs. The combination of protein, nutrients and feed attractants of krill meal is useful to address the disadvantages of alternative feed ingredients which range from being poorer feeding effectors to having lower bioavailability of nutrients. It can therefore be used as a formulation tool to decrease the reliance on fish meal, which opens the way for alternative ingredients that improve the cost efficiency and sustainability of feeds.</t>
  </si>
  <si>
    <t>[Nunes, Alberto J. P.] Univ Fed Ceara, LABOMAR, Inst Ciencias Mar, Ave Abolicao 3207, BR-60165081 Fortaleza, Ceara, Brazil; [Dalen, Lise Lotte; Leonardi, Geronimo; Burri, Lena] Aker BioMarine Antarctic AS, Oksenoyveien 10, N-1366 Lysaker, Norway</t>
  </si>
  <si>
    <t>Universidade Federal do Ceara</t>
  </si>
  <si>
    <t>Burri, L (corresponding author), Aker BioMarine Antarctic AS, Oksenoyveien 10, N-1366 Lysaker, Norway.</t>
  </si>
  <si>
    <t>alberto.nunes@ufc.br; lldalen@hotmail.com; geronimo.leonardi@akerbiomarine.com; lena.burri@akerbiomarine.com</t>
  </si>
  <si>
    <t>10.1016/j.aqrep.2022.101422</t>
  </si>
  <si>
    <t>6W6SK</t>
  </si>
  <si>
    <t>WOS:000895857600006</t>
  </si>
  <si>
    <t>Kwon, YS; La, HS; Kang, HW; Park, J</t>
  </si>
  <si>
    <t>Kwon, Young Shin; La, Hyoung Sul; Kang, Hyoun-Woo; Park, Jisoo</t>
  </si>
  <si>
    <t>A regional-scale approach for modeling primary production and biogenic silica export in the Southern Ocean</t>
  </si>
  <si>
    <t>ENVIRONMENTAL RESEARCH</t>
  </si>
  <si>
    <t>Marine ecosystem model; Southern ocean; Polar front; Polynya; Ross sea; Primary production; Vertical export</t>
  </si>
  <si>
    <t>PHYTOPLANKTON COMMUNITY STRUCTURE; ANTARCTIC CIRCUMPOLAR CURRENT; PARTICULATE ORGANIC-CARBON; POLAR FRONTAL ZONE; ROSS SEA; PHAEOCYSTIS-ANTARCTICA; IRON LIMITATION; PACIFIC SECTOR; NUTRIENT UTILIZATION; CLIMATE-CHANGE</t>
  </si>
  <si>
    <t>Persistent uncertainties in the representations of net primary production (NPP) and silicate in the Southern Ocean have been noted in recent assessments ofthe ocean biogeochemical components of Earth system models (ESMs). Consequently, more mechanistic studies at the regional scale are required. To reduce these uncertainties, we applied a one-dimensional (1D) marine ecosystem model to different bioregions in the Southern Ocean: the Polar Frontal Zone in the Pacific sector, the seasonal sea ice zone in the northwestern Ross Sea, and the inner shelf of Terra Nova Bay. To make the existing ecosystem model applicable to the Southern Ocean, we modified the phytoplankton physiology (stoichiometry depending on species) and the silicate cycle (dissolution rate of biogenic silica (BSi) depending on latitude) in the model. We quantified and compared seasonal variations in several limitation factors of NPP, namely, iron, irradiance, silicate and temperature, in the three regions. The simulation results showed that dissolved iron plays the most significant role in determining the magnitude of NPP and the phytoplankton community structure during summer. Additionally, the modified model successfully reproduced the vertical flux of BSi and particulate organic carbon (POC). The POC export efficiency was high in the inner shelf zone, which had high levels of iron concentration, NPP, and Phaeocystis biomass. In contrast, BSi export occurred most efficiently in the Polar Frontal Zone, where diatoms are dominant, the BSi dissolution rate is low, and NPP is extremely low. Our results from the integrated mechanistic framework at the regional scale demonstrate which specific processes should be urgently included in ESMs for better representation of the biogeochemical dynamics in the Southern Ocean.</t>
  </si>
  <si>
    <t>[Kwon, Young Shin; Kang, Hyoun-Woo] Korea Inst Ocean Sci &amp; Technol, Busan, South Korea; [Kwon, Young Shin; La, Hyoung Sul; Park, Jisoo] Korea Polar Res Inst, Incheon, South Korea; [La, Hyoung Sul] Univ Sci &amp; Technol, Daejeon, South Korea</t>
  </si>
  <si>
    <t>Korea Institute of Ocean Science &amp; Technology (KIOST); Korea Polar Research Institute (KOPRI); University of Science &amp; Technology (UST)</t>
  </si>
  <si>
    <t>La, HS (corresponding author), Korea Polar Res Inst, Incheon, South Korea.</t>
  </si>
  <si>
    <t>hsla@kopri.re.kr</t>
  </si>
  <si>
    <t>La, Hyoung Sul/0000-0003-1285-580X; Park, Jisoo/0000-0003-0428-8358; Kwon, Young Shin/0000-0002-3634-8397; Kang, Hyoun-Woo/0000-0003-4983-3217</t>
  </si>
  <si>
    <t>Korea Polar Research Institute [PE22110]; Korea Institute of Ocean Science amp; Technology grant [PEA0013]; Ministry of Oceans and Fisheries, Korea [20170336]</t>
  </si>
  <si>
    <t>Korea Polar Research Institute(Korea Polar Research Institute of Marine Research Placement (KOPRI)); Korea Institute of Ocean Science amp; Technology grant; Ministry of Oceans and Fisheries, Korea</t>
  </si>
  <si>
    <t>This work was supported by a Korea Polar Research Institute grant (PE22110), a Korea Institute of Ocean Science &amp; Technology grant (PEA0013), and the project titled Ecosystem Structure and Function of Marine Protected Area (MPA) in Antarctica (PM22060) funded by the Ministry of Oceans and Fisheries, Korea (20170336).</t>
  </si>
  <si>
    <t>0013-9351</t>
  </si>
  <si>
    <t>1096-0953</t>
  </si>
  <si>
    <t>ENVIRON RES</t>
  </si>
  <si>
    <t>Environ. Res.</t>
  </si>
  <si>
    <t>10.1016/j.envres.2022.114811</t>
  </si>
  <si>
    <t>6V8FY</t>
  </si>
  <si>
    <t>WOS:000895277600003</t>
  </si>
  <si>
    <t>da Silva, JRMC; Bergami, E; Gomes, V; Corsi, I</t>
  </si>
  <si>
    <t>da Silva, Jose Roberto Machado Cunha; Bergami, Elisa; Gomes, Vicente; Corsi, Ilaria</t>
  </si>
  <si>
    <t>Occurrence and distribution of legacy and emerging pollutants including plastic debris in Antarctica: Sources, distribution and impact on marine biodiversity</t>
  </si>
  <si>
    <t>Pollutants; Antarctic; Plastic; Oil; Impact; Biodiversity</t>
  </si>
  <si>
    <t>KING GEORGE ISLAND; STATION COMANDANTE FERRAZ; PERSISTENT ORGANIC POLLUTANTS; URCHIN STERECHINUS-NEUMAYERI; TRACE-ELEMENT CONTAMINATION; ODONTASTER-VALIDUS KOEHLER; IN-VITRO PHAGOCYTOSIS; DEEP-SEA SEDIMENTS; TERRA-NOVA BAY; ADMIRALTY BAY</t>
  </si>
  <si>
    <t>Since the first explorers reached Antarctica, their activities have quickly impacted both land and sea and thus, together with the long-range transport, hazardous chemicals began to accumulate. It is commonly recognized that anthropogenic pollution in Antarctica can originate from either global or local sources. Heavy metals, organohalogenated compounds, hydrocarbons, and (more recently) plastic, have been found in Antarctic biota, soil sediments, seawater, air, snow and sea-ice. Studies in such remote areas are challenging and expensive, and the complexity of potential interactions occurring in such extreme climate conditions (i.e., low temperature) makes any accurate prediction on potential impacts difficult. The present review aims to summarize the current state of knowledge on occurrence and distribution of legacy and emerging pollutants in Antarctica, such as plastic, from either global or local sources. Future actions to monitor and mitigate any potential impact on Antarctic biodiversity are discussed.</t>
  </si>
  <si>
    <t>[da Silva, Jose Roberto Machado Cunha] Univ Sao Paulo, Inst Biomed Sci, CEBIMar Ctr Biol Marinha, Dept Cell &amp; Dev Biol, Av Prof Lineu Prestes 1524, BR-05509900 Sao Paulo, SP, Brazil; [Bergami, Elisa] Univ Modena &amp; Reggio Emilia, Dept Life Sci, Via Campi 213 D, I-41125 Modena, Italy; [Gomes, Vicente] Univ Sao Paulo, Oceanog Inst, Dept Biol Oceanog, Praca Oceanog 191, BR-05508120 Sao Paulo, SP, Brazil; [Corsi, Ilaria] Univ Siena, Dept Phys Earth &amp; Environm Sci, Via Mattioli 4, I-53100 Siena, Italy</t>
  </si>
  <si>
    <t>Universidade de Sao Paulo; Universita di Modena e Reggio Emilia; Universidade de Sao Paulo; University of Siena</t>
  </si>
  <si>
    <t>da Silva, JRMC (corresponding author), Univ Sao Paulo, Inst Biomed Sci, CEBIMar Ctr Biol Marinha, Dept Cell &amp; Dev Biol, Av Prof Lineu Prestes 1524, BR-05509900 Sao Paulo, SP, Brazil.</t>
  </si>
  <si>
    <t>jrmcs@usp.br</t>
  </si>
  <si>
    <t>Gomes, Vicente/C-5880-2015; Bergami, Elisa/JFJ-1703-2023; Corsi, Ilaria/D-3795-2012; Machado Cunha da Silva, Jose Robhttp://buscatextual.cnpq.br/buscatextual/visualizacv.do?id=K4790649H9erto/H-7496-2016</t>
  </si>
  <si>
    <t>Bergami, Elisa/0000-0001-8149-9584; Corsi, Ilaria/0000-0002-1811-3041; Machado Cunha da Silva, Jose Robhttp://buscatextual.cnpq.br/buscatextual/visualizacv.do?id=K4790649H9erto/0000-0002-1687-8526</t>
  </si>
  <si>
    <t>Brazilian Antarctic Program (PROANTAR); Italian National Antarctic Research Program; [PNRA 14_00090]; [PNRA 16_00075]</t>
  </si>
  <si>
    <t>Brazilian Antarctic Program (PROANTAR); Italian National Antarctic Research Program; ;</t>
  </si>
  <si>
    <t>Images of anthropogenic impacts in Antarctica were taken by JRMCS, EB and colleagues within projects funded by the Brazilian Antarctic Program (PROANTAR) and by the Italian National Antarctic Research Program (PNRA 14_00090, PNRA 16_00075) .</t>
  </si>
  <si>
    <t>10.1016/j.marpolbul.2022.114353</t>
  </si>
  <si>
    <t>6Q7AG</t>
  </si>
  <si>
    <t>WOS:000891762500002</t>
  </si>
  <si>
    <t>Roche, M</t>
  </si>
  <si>
    <t>Roche, Michael</t>
  </si>
  <si>
    <t>The Rediscovery of Reginald Ford and his New Zealand Antarctic Lectures, 1905 to 1926</t>
  </si>
  <si>
    <t>POLAR RECORD</t>
  </si>
  <si>
    <t>Reginald Ford; Discovery expedition; New Zealand; Public lectures</t>
  </si>
  <si>
    <t>Reginald Ford, steward on Scott's Discovery expedition, settled in New Zealand in 1905 and over the next two decades gave public lectures about his Antarctic experiences. Hitherto unrelated biographical details of Ford's early life are assembled, and something of the character of his lantern slide lectures are reconstructed from various sources. The means by which Ford established his authority as a public speaker included his actual participation in the events he lectured about, his credentialling as a Fellow of the Royal Geographical Society, and the use of his own lantern slides. The performative triangle established around the audience, the lantern slide images, and Ford as lecturer, is examined via contemporary newspaper accounts and Ford's other writings.</t>
  </si>
  <si>
    <t>[Roche, Michael] Massey Univ, Sch People Environm &amp; Planning, Palmerston North, New Zealand</t>
  </si>
  <si>
    <t>Massey University</t>
  </si>
  <si>
    <t>Roche, M (corresponding author), Massey Univ, Sch People Environm &amp; Planning, Palmerston North, New Zealand.</t>
  </si>
  <si>
    <t>m.m.roche@massey.ac.nz</t>
  </si>
  <si>
    <t>Roche, Michael/0000-0003-4252-9175</t>
  </si>
  <si>
    <t>0032-2474</t>
  </si>
  <si>
    <t>1475-3057</t>
  </si>
  <si>
    <t>POLAR REC</t>
  </si>
  <si>
    <t>POLAR REC.</t>
  </si>
  <si>
    <t>NOV 24</t>
  </si>
  <si>
    <t>e39</t>
  </si>
  <si>
    <t>10.1017/S0032247422000341</t>
  </si>
  <si>
    <t>6N9TT</t>
  </si>
  <si>
    <t>WOS:000889891600001</t>
  </si>
  <si>
    <t>Pallin, LJ; Botero-Acosta, N; Steel, D; Baker, CS; Casey, C; Costa, DP; Goldbogen, JA; Johnston, DW; Kellar, NM; Modest, M; Nichols, R; Roberts, D; Roberts, M; Savenko, O; Friedlaender, AS</t>
  </si>
  <si>
    <t>Pallin, L. J.; Botero-Acosta, N.; Steel, D.; Baker, C. S.; Casey, C.; Costa, D. P.; Goldbogen, J. A.; Johnston, D. W.; Kellar, N. M.; Modest, M.; Nichols, R.; Roberts, D.; Roberts, M.; Savenko, O.; Friedlaender, A. S.</t>
  </si>
  <si>
    <t>Variation in blubber cortisol levels in a recovering humpback whale population inhabiting a rapidly changing environment</t>
  </si>
  <si>
    <t>FECAL GLUCOCORTICOIDS; MICROSATELLITE LOCI; THYROID-HORMONES; STRESS; SERUM; INDICATORS; PREGNANCY; MAMMALS; AMPLIFICATION; PHYSIOLOGY</t>
  </si>
  <si>
    <t>Glucocorticoids are regularly used as biomarkers of relative health for individuals and populations. Around the Western Antarctic Peninsula (WAP), baleen whales have and continue to experience threats, including commercial harvest, prey limitations and habitat change driven by rapid warming, and increased human presence via ecotourism. Here, we measured demographic variation and differences across the foraging season in blubber cortisol levels of humpback whales (Megaptera novaeangliae) over two years around the WAP. Cortisol concentrations were determined from 305 biopsy samples of unique individuals. We found no significant difference in the cortisol concentration between male and female whales. However, we observed significant differences across demographic groups of females and a significant decrease in the population across the feeding season. We also assessed whether COVID-19-related reductions in tourism in 2021 along the WAP correlated with lower cortisol levels across the population. The decline in vessel presence in 2021 was associated with a significant decrease in humpback whale blubber cortisol concentrations at the population level. Our findings provide critical contextual data on how these hormones vary naturally in a population over time, show direct associations between cortisol levels and human presence, and will enable comparisons among species experiencing different levels of human disturbance.</t>
  </si>
  <si>
    <t>[Botero-Acosta, N.] Fdn Macuat Colombia, Calle 27 79-167, Medellin, Colombia; [Botero-Acosta, N.] Edif World Business Ctr WBC, Programa Antartico Colombiano, Ave Ciudad Cali 51-66,Oficina 306, Bogota 306, DC, Colombia; [Steel, D.; Baker, C. S.] Oregon State Univ, Hatfield Marine Sci Ctr, Marine Mammal Inst, Dept Fisheries Wildlife &amp; Conservat Sci, 2030 SE Marine Sci Dr, Newport, OR 97365 USA; [Casey, C.] Univ Calif Santa Cruz, Inst Marine Sci, Ocean Hlth Bldg,115 McAllister Way, Santa Cruz, CA 95060 USA; [Casey, C.; Roberts, D.; Roberts, M.; Friedlaender, A. S.] Calif Ocean Alliance, 9099 Soquel Ave, Aptos, CA 95003 USA; [Goldbogen, J. A.] Stanford Univ, Dept Biol, Hopkins Marine Stn, 120 Ocean View Blvd, Pacific Grove, CA 93950 USA; [Johnston, D. W.] Duke Univ, Nicholas Sch Environm, Div Marine Sci &amp; Conservat, Marine Lab, 135 Duke Marine Lab Rd, Beaufort, NC 28516 USA; [Kellar, N. M.] NOAA, Marine Mammal Turtle Div, Southwest Fisheries Sci Ctr, Natl Marine Fisheries Serv, 8901 La Jolla Shores Dr, La Jolla, CA 92037 USA; [Nichols, R.; Friedlaender, A. S.] Univ Calif Santa Cruz, Dept Ocean Sci, Ocean Hlth Bldg,115 McAllister Way, Santa Cruz, CA 95060 USA; [Savenko, O.] Natl Antarctic Sci Ctr Ukraine, 16 Taras Shevchenko Blvd, UA-01601 Kiev, Ukraine; [Savenko, O.] Ukrainian Sci Ctr Ecol Sea, 89 Frantsuzsky Blvd, UA-65009 Odesa, Ukraine; [Pallin, L. J.; Costa, D. P.; Modest, M.] Univ Calif Santa Cruz, Dept Ecol &amp; Evolutionary Biol, Ocean Hlth Bldg,115 McAllister Way, Santa Cruz, CA 95060 USA</t>
  </si>
  <si>
    <t>Oregon State University; University of California System; University of California Santa Cruz; Stanford University; Duke University; National Oceanic Atmospheric Admin (NOAA) - USA; University of California System; University of California Santa Cruz; Ministry of Education &amp; Science of Ukraine; State Institution National Antarctic Scientific Center; Ukrainian Scientific Center of Ecology of the Sea (UkrSCES); University of California System; University of California Santa Cruz</t>
  </si>
  <si>
    <t>Pallin, LJ (corresponding author), Univ Calif Santa Cruz, Dept Ecol &amp; Evolutionary Biol, Ocean Hlth Bldg,115 McAllister Way, Santa Cruz, CA 95060 USA.</t>
  </si>
  <si>
    <t>lpallin@ucsc.edu</t>
  </si>
  <si>
    <t>Steel, David H W/I-8053-2015; Savenko, Oksana/ABI-4737-2020</t>
  </si>
  <si>
    <t>Savenko, Oksana/0000-0001-6719-4602; Pallin, Logan/0000-0001-8024-9663; Johnston, David/0000-0003-2424-036X</t>
  </si>
  <si>
    <t>National Science Foundation Office of Polar Programs [1643877]; National Science Foundation Graduate Research Fellowship Program [DGE1339067]; National Geographic Society [NGS-909906R-21]; UC Santa Cruz's Graduate Division and department of Ecology and Evolutionary Biology; Dr. Earl H. Myers &amp; Ethel M. Myers Oceanographic &amp; Marine Biology Trust; World Wildlife Fund; International Whaling Commission's Southern Ocean Research Partnership; US Biological Adaptations to Environmental Change in Antarctica; Scientific Committee of Antarctic Research (SCAR); American Cetacean Society-Monterey Bay Chapter, OneOcean Expeditions, Hurtigruten cruises, M.D. Anita North; State of the State Institution National Antarctic Scientific Center; Ministry of Education and Science of Ukraine's State Institution National Antarctic Scientific Center Special-Purpose Research Program in Antarctica; Palmer Long-term Ecological Research Program [1440435, 2026045]; Directorate For Geosciences [1643877] Funding Source: National Science Foundation; Office of Polar Programs (OPP) [1643877] Funding Source: National Science Foundation</t>
  </si>
  <si>
    <t>National Science Foundation Office of Polar Programs(National Science Foundation (NSF)NSF - Directorate for Geosciences (GEO)); National Science Foundation Graduate Research Fellowship Program(National Science Foundation (NSF)); National Geographic Society(National Geographic Society); UC Santa Cruz's Graduate Division and department of Ecology and Evolutionary Biology; Dr. Earl H. Myers &amp; Ethel M. Myers Oceanographic &amp; Marine Biology Trust; World Wildlife Fund; International Whaling Commission's Southern Ocean Research Partnership; US Biological Adaptations to Environmental Change in Antarctica; Scientific Committee of Antarctic Research (SCAR); American Cetacean Society-Monterey Bay Chapter, OneOcean Expeditions, Hurtigruten cruises, M.D. Anita North; State of the State Institution National Antarctic Scientific Center; Ministry of Education and Science of Ukraine's State Institution National Antarctic Scientific Center Special-Purpose Research Program in Antarctica; Palmer Long-term Ecological Research Program; Directorate For Geosciences(National Science Foundation (NSF)NSF - Directorate for Geosciences (GEO)); Office of Polar Programs (OPP)(National Science Foundation (NSF)NSF - Directorate for Geosciences (GEO))</t>
  </si>
  <si>
    <t>The research was supported by the National Science Foundation Office of Polar Programs (Grant #1643877), the Palmer Long-term Ecological Research Program (Grant #s 1440435 and 2026045), the National Science Foundation Graduate Research Fellowship Program (DGE1339067), National Geographic Society (NGS-909906R-21), UC Santa Cruz's Graduate Division and department of Ecology and Evolutionary Biology, the Dr. Earl H. Myers &amp; Ethel M. Myers Oceanographic &amp; Marine Biology Trust, the World Wildlife Fund, The International Whaling Commission's Southern Ocean Research Partnership, the US Biological Adaptations to Environmental Change in Antarctica, Scientific Committee of Antarctic Research (SCAR), American Cetacean Society-Monterey Bay Chapter, OneOcean Expeditions, Hurtigruten cruises, M.D. Anita North, and the State of the State Institution National Antarctic Scientific Center, and the Ministry of Education and Science of Ukraine's State Institution National Antarctic Scientific Center Special-Purpose Research Program in Antarctica for 2011-2023.</t>
  </si>
  <si>
    <t>10.1038/s41598-022-24704-6</t>
  </si>
  <si>
    <t>6L3AM</t>
  </si>
  <si>
    <t>WOS:000888059100018</t>
  </si>
  <si>
    <t>Brown, AM; Allen, SJ; Kelly, N; Hodgson, AJ</t>
  </si>
  <si>
    <t>Brown, Alexander M.; Allen, Simon J.; Kelly, Nat; Hodgson, Amanda J.</t>
  </si>
  <si>
    <t>Using Unoccupied Aerial Vehicles to estimate availability and group size error for aerial surveys of coastal dolphins</t>
  </si>
  <si>
    <t>REMOTE SENSING IN ECOLOGY AND CONSERVATION</t>
  </si>
  <si>
    <t>Abundance estimation; availability bias; cetaceans; drone; UAS; UAV</t>
  </si>
  <si>
    <t>WESTERN-AUSTRALIA; HUMPBACK DOLPHINS; HARBOR PORPOISE; ABUNDANCE; CONSERVATION; WATERS; BIAS</t>
  </si>
  <si>
    <t>Aerial surveys are frequently used to estimate the abundance of marine mammals, but their accuracy is dependent upon obtaining a measure of the availability of animals to visual detection. Existing methods for characterizing availability have limitations and do not necessarily reflect true availability. Here, we present a method of using small, vessel-launched, multi-rotor Unoccupied Aerial Vehicles (UAVs, or drones) to collect video of dolphins to characterize availability and investigate error surrounding group size estimates. We collected over 20 h of aerial video of dive-surfacing behaviour across 32 encounters with Australian humpback dolphins Sousa sahulensis off north-western Australia. Mean surfacing and dive periods were 7.85 sec (se = 0.26) and 39.27 sec (se = 1.31) respectively. Dolphin encounters were split into 56 focal follows of consistent group composition to which example approaches to estimating availability were applied. Non-instantaneous availability estimates, assuming a 7 sec observation window, ranged between 0.22 and 0.88, with a mean availability of 0.46 (CV = 0.34). Availability tended to increase with increasing group size. We found a downward bias in group size estimation, with true group size typically one individual more than would have been estimated by a human observer during a standard aerial survey. The variability of availability estimates between focal follows highlights the importance of sampling across a variety of group sizes, compositions and environmental conditions. Through data re-sampling exercises, we explored the influence of sample size on availability estimates and their precision, with results providing an indication of target sample sizes to minimize bias in future research. We show that UAVs can provide an effective and relatively inexpensive method of characterizing dolphin availability with several advantages over existing approaches. The example estimates obtained for humpback dolphins are within the range of values obtained for other shallow-water, small cetaceans, and will directly inform a government-run program of aerial surveys in the region.</t>
  </si>
  <si>
    <t>[Brown, Alexander M.; Hodgson, Amanda J.] Murdoch Univ, Harry Butler Inst, Ctr Sustainable Aquat Ecosyst, Perth, WA 6150, Australia; [Brown, Alexander M.] Univ St Andrews, Scottish Oceans Inst, SMRU Consulting, St Andrews KY16 8LB, Scotland; [Allen, Simon J.] Univ Bristol, Sch Biol Sci, Bristol BS8 1TQ, England; [Allen, Simon J.] Univ Western Australia, Sch Biol Sci, Crawley, WA 6009, Australia; [Allen, Simon J.] Univ Zurich, Dept Anthropol, CH-8057 Zurich, Switzerland; [Kelly, Nat] Australian Antarctic Div, 203 Channel Highway, Kingston, Tas 7050, Australia</t>
  </si>
  <si>
    <t>Murdoch University; University of St Andrews; University of Bristol; University of Western Australia; University of Zurich; Australian Antarctic Division</t>
  </si>
  <si>
    <t>Brown, AM (corresponding author), Univ St Andrews, Scottish Oceans Inst, SMRU Consulting, St Andrews KY16 8LB, Scotland.</t>
  </si>
  <si>
    <t>ab@smruconsulting.com</t>
  </si>
  <si>
    <t>Hodgson, Amanda Jane/ITV-9262-2023</t>
  </si>
  <si>
    <t>Hodgson, Amanda Jane/0000-0002-9479-3018; Kelly, Nat/0000-0002-9664-354X</t>
  </si>
  <si>
    <t>111 RIVER ST, HOBOKEN, NJ 07030 USA</t>
  </si>
  <si>
    <t>2056-3485</t>
  </si>
  <si>
    <t>REMOTE SENS ECOL CON</t>
  </si>
  <si>
    <t>Remote Sens. Ecol. Conserv.</t>
  </si>
  <si>
    <t>10.1002/rse2.313</t>
  </si>
  <si>
    <t>Ecology; Remote Sensing</t>
  </si>
  <si>
    <t>Environmental Sciences &amp; Ecology; Remote Sensing</t>
  </si>
  <si>
    <t>K3GJ6</t>
  </si>
  <si>
    <t>WOS:000889989200001</t>
  </si>
  <si>
    <t>Prillaman, M</t>
  </si>
  <si>
    <t>Prillaman, McKenzie</t>
  </si>
  <si>
    <t>US AGENCY FORMS PLAN TO STOP HARASSMENT IN THE ANTARCTIC</t>
  </si>
  <si>
    <t>10.1038/d41586-022-03723-3</t>
  </si>
  <si>
    <t>6L1HC</t>
  </si>
  <si>
    <t>WOS:000887940100012</t>
  </si>
  <si>
    <t>Hu, JH; Cui, XB; Kulachinskaya, A; Hu, A</t>
  </si>
  <si>
    <t>Hu, Jianhui; Cui, Xiangbin; Kulachinskaya, Anastasia; Hu, Ang</t>
  </si>
  <si>
    <t>Energy resources and building demands in cold region and polar areas</t>
  </si>
  <si>
    <t>POLAR SCIENCE</t>
  </si>
  <si>
    <t>Artificial intelligence; Building demands; Cold region; Energy; Ice; Air temperature; Geology; Arctic; Antarctic; Polar science</t>
  </si>
  <si>
    <t>Numerous countries demonstrate their strong interests in cold region and polar areas and thus it has never been more important to perform the research on energy resources and building demands in such areas. The topic of this special issue in Polar Science is the energy resources, building demands and the interactions, aiming to overview the recent scientific research, new technology and future perspectives. The current topic is very different and intense inter-and multi-disciplinary, giving an opportunity to draw more attention from the aca-demic and engineering community to enhance or start the research work and to contribute to the further development of buildings and relevant technologies. The papers to be published in this special issue cover a wide variety of scientific and technical topics, showing that these papers will make them interesting to the general readers who focus on energy resources and buildings in the cold region and polar areas.</t>
  </si>
  <si>
    <t>[Hu, Jianhui] Shanghai Jiao Tong Univ, State Key Lab Ocean Engn, Shanghai 200030, Peoples R China; [Hu, Jianhui] Xian Univ Architecture &amp; Technol, State Key Lab Green Bldg Western China, Xian 710000, Peoples R China; [Cui, Xiangbin] Polar Res Inst China, Shanghai 200136, Peoples R China; [Kulachinskaya, Anastasia] Peter Great St Petersburg Polytech Univ, Grad Sch Ind Econ, St Petersburg 195251, Russia; [Hu, Ang] Univ Tokyo, Inst Ind Sci, Tokyo 1538505, Japan</t>
  </si>
  <si>
    <t>Shanghai Jiao Tong University; Xi'an University of Architecture &amp; Technology; Polar Research Institute of China; Peter the Great St. Petersburg Polytechnic University; University of Tokyo</t>
  </si>
  <si>
    <t>Hu, JH (corresponding author), Shanghai Jiao Tong Univ, State Key Lab Ocean Engn, Shanghai 200030, Peoples R China.</t>
  </si>
  <si>
    <t>j.hu@sjtu.edu.cn</t>
  </si>
  <si>
    <t>Shanghai Pujiang Program; Opening Fund of State Key Laboratory of Green Building in Western China; [22PJ1405600]; [LSKF202205]</t>
  </si>
  <si>
    <t>Shanghai Pujiang Program(Shanghai Pujiang Program); Opening Fund of State Key Laboratory of Green Building in Western China; ;</t>
  </si>
  <si>
    <t>Acknowledgements The guest editor team would like to express many thanks to all contributors and reviewers of the papers submitted to this issue. The special thanks go to Prof. Takashi Yamanouchi who gave us the chance to organize a special issue in the prestigious journal, and useful sug-gestions during the process of the special issue. We also want to thank Akiko Ishikawa and Kana Tadaki for their high-quality working and consistent encouragement, who tackled the difficulties caused by the COVID-19 pandemic. JH highly appreciated the support from Shanghai Pujiang Program (22PJ1405600) and the Opening Fund of State Key Laboratory of Green Building in Western China (No. LSKF202205) .</t>
  </si>
  <si>
    <t>1873-9652</t>
  </si>
  <si>
    <t>1876-4428</t>
  </si>
  <si>
    <t>POLAR SCI</t>
  </si>
  <si>
    <t>Polar Sci.</t>
  </si>
  <si>
    <t>10.1016/j.polar.2022.100903</t>
  </si>
  <si>
    <t>7M8LM</t>
  </si>
  <si>
    <t>WOS:000906902900002</t>
  </si>
  <si>
    <t>Pan, CF; Peng, D; Xu, N; Wang, YH</t>
  </si>
  <si>
    <t>Pan, Chuanfei; Peng, Dong; Xu, Ning; Wang, Yihe</t>
  </si>
  <si>
    <t>Determination of initial breaking pattern in the bending failure of a semi-infinite ice sheet</t>
  </si>
  <si>
    <t>Bending failure; Breaking pattern; Ice breaker</t>
  </si>
  <si>
    <t>PART-THROUGH CRACKS; PLATE; PENETRATION; FRACTURE; MODEL</t>
  </si>
  <si>
    <t>There is a growing interest in the development of real-time ice-ship or ice-structure interaction simulators based on theoretical ice sheet bending failure models. The initial ice-structure interaction process is commonly idealized as a bending failure of semi-infinite ice sheets. Existing theoretical models either assume a breaking pattern of radial-before-circumferential cracking, or that of a circumferential-before-radial cracking. However, field observations indicate that the breaking pattern depends on various factors. For generic applications of real-time simulators, the determination of breaking patterns is thus an essential first step towards reasonable ice load predictions. This paper addresses the current research gap by considering a normalized formulation of the ice sheet bending failure. The locations and orientations of the maximum principal stresses at the upper and bottom surfaces of a semi-infinite ice sheet are obtained, from which the criterion for breaking pattern determinations is determined. It is found that factors such as large structure waterline curvature radii, small ice thicknesses, large ice flexural strengths, and small ice compressive strengths induce a breaking pattern of circumferential-before -radial cracking. Conversely, small structure waterline curvature radii, large ice thicknesses, small ice flexural strengths, and large ice compressive strengths result in a breaking pattern of radial-before-circumferential cracking.</t>
  </si>
  <si>
    <t>[Pan, Chuanfei; Peng, Dong; Wang, Yihe] Zhejiang Univ ZJU, Ocean Acad, Hangzhou, Peoples R China; [Xu, Ning] Polar Res Inst China, Shanghai, Peoples R China</t>
  </si>
  <si>
    <t>Zhejiang University; Polar Research Institute of China</t>
  </si>
  <si>
    <t>Wang, YH (corresponding author), Zhejiang Univ ZJU, Ocean Acad, Hangzhou, Peoples R China.</t>
  </si>
  <si>
    <t>yihewang@zju.edu.cn</t>
  </si>
  <si>
    <t>Chinese Arctic and Antarctic Administration [IRASCC2020-2022]; Natural Science Foundation of Zhejiang Province [LQ20E090007]; Science and Technology Plan Project of Zhoushan City [2019C81161]</t>
  </si>
  <si>
    <t>Chinese Arctic and Antarctic Administration; Natural Science Foundation of Zhejiang Province(Natural Science Foundation of Zhejiang Province); Science and Technology Plan Project of Zhoushan City</t>
  </si>
  <si>
    <t>This work was supported by Chinese Arctic and Antarctic Administration [grant number IRASCC2020-2022] , Natural Science Foundation of Zhejiang Province [grant number LQ20E090007] , and Science and Technology Plan Project of Zhoushan City [grant number 2019C81161] .</t>
  </si>
  <si>
    <t>10.1016/j.polar.2022.100869</t>
  </si>
  <si>
    <t>WOS:000906902900005</t>
  </si>
  <si>
    <t>de Dios, VR; Camprubí, AC; He, YP; Han, Y; Yao, YA</t>
  </si>
  <si>
    <t>Resco de Dios, Victor; Cunill Camprubi, Angel; He, Yingpeng; Han, Ying; Yao, Yinan</t>
  </si>
  <si>
    <t>North-south antiphase of wildfire activity across the pyroregions of continental China driven by NAO and the Antarctic oscillation</t>
  </si>
  <si>
    <t>AAO; Burned area; China; NAO; Pyroregions; Wildfire; Forests</t>
  </si>
  <si>
    <t>FIRE; PRECIPITATION; CLIMATE; MOUNTAINS; PATTERNS</t>
  </si>
  <si>
    <t>Wildfires are a natural disturbance in many parts of the world, but fire regimes are changing as a result of anthropogenic pressures. A key uncertainty towards anticipating future changes in burned area lies in understanding the effects of climate teleconnections (CTs). Here we test how different CTs impact burned area in China, a large country comprising different biomes and where similar fire-suppression and post-fire afforestation policies are implemented. We observed diverging temporal trends in burned area across the different pyroregions of China, from increases in the Northeastern grasslands and mixed forests pyroregion to decreases in the Southern tropical forests pyroregion. This North-South antiphase in fire activity was being partly driven by joint effects of the North Atlantic Oscillation and the Antarctic Oscillation, which exerted contrasting effects on fire weather across latitude. El Nino Southern Oscillation and the other examined teleconnections had minor effects over burned area. The increasing burned area in the NE-mixed forests pyroregion indicates that mega-fires may increase under global warming but their occurrence may be modulated by potential strengthening or weakening of NAO and AAO.</t>
  </si>
  <si>
    <t>[Resco de Dios, Victor; He, Yingpeng; Han, Ying; Yao, Yinan] Southwest Univ Sci &amp; Technol, Sch Life Sci &amp; Engn, Mianyang 621010, Sichuan, Peoples R China; [Resco de Dios, Victor] Unversitat Lleida, Dept Crop &amp; Forest Sci, Lleida 25198, Spain; [Resco de Dios, Victor; Cunill Camprubi, Angel] Joint Res Unit CTFC AGROTECNIO CERCA Ctr, Lleida 25198, Spain</t>
  </si>
  <si>
    <t>Southwest University of Science &amp; Technology - China</t>
  </si>
  <si>
    <t>Yao, YA (corresponding author), Southwest Univ Sci &amp; Technol, Sch Life Sci &amp; Engn, Mianyang 621010, Sichuan, Peoples R China.;de Dios, VR (corresponding author), Unversitat Lleida, Dept Crop &amp; Forest Sci, Lleida 25198, Spain.</t>
  </si>
  <si>
    <t>v.rescodedios@gmail.com; yinanyao@swust.edu.cn</t>
  </si>
  <si>
    <t>de Dios, Víctor Resco/AAH-3655-2019</t>
  </si>
  <si>
    <t>de Dios, Víctor Resco/0000-0002-5721-1656; Yao, Yinan/0009-0006-7851-4388</t>
  </si>
  <si>
    <t>National Natural Science Foundation of China; Southwest University of Science and Technology; [U20A20179]; [31850410483]; [2020JDRC0065]; [18ZX7131]</t>
  </si>
  <si>
    <t>National Natural Science Foundation of China(National Natural Science Foundation of China (NSFC)); Southwest University of Science and Technology; ; ; ;</t>
  </si>
  <si>
    <t>Acknowledgements This work was supported by the National Natural Science Foundation of China (U20A20179, 31850410483) , the Talent Proposals in Sichuan Province (2020JDRC0065) and by Southwest University of Science and Technology (18ZX7131) . We remain indebted to the critical comments from two anonymous reviewers and the editor.</t>
  </si>
  <si>
    <t>FEB 10</t>
  </si>
  <si>
    <t>10.1016/j.scitotenv.2022.160386</t>
  </si>
  <si>
    <t>7B0HV</t>
  </si>
  <si>
    <t>WOS:000898826700006</t>
  </si>
  <si>
    <t>Izeboud, M; Lhermitte, S</t>
  </si>
  <si>
    <t>Izeboud, Maaike; Lhermitte, Stef</t>
  </si>
  <si>
    <t>Damage detection on antarctic ice shelves using the normalised radon transform</t>
  </si>
  <si>
    <t>REMOTE SENSING OF ENVIRONMENT</t>
  </si>
  <si>
    <t>Damage detection; Normalised radon transform; Multi-source remote sensing; Antarctic ice shelves</t>
  </si>
  <si>
    <t>BASAL CREVASSES; FEATURES; FLOW</t>
  </si>
  <si>
    <t>Areas of structural damage mechanically weaken Antarctic ice shelves. This potentially preconditions ice shelves for disintegration and enhanced grounding line retreat. The development of damage and its feedback on marine ice sheet dynamics has been identified as key to future ice shelf stability and sea level contributions from Antarctica. However, it is one of the least understood processes that impact ice shelf instability since quantifying damage efficiently and accurately is a challenging task. Challenges relate to the complex surface of Antarctica, variations in viewing-illumination geometry, snow or cloud cover and variable signal-to-noise levels in satellite imagery. Therefore, automated damage assessment approaches require careful pre- and post-processing, lacking the option to be applied to wider spatiotemporal domains. Simultaneously, studies that use manual mapping are usually limited due to the effort required for extensive mapping, which either results in a limited spatial domain or the use of low resolution data. This study proposes the NormalisEd Radon transform Damage detection (NeRD) method to detect damage features and their orientations from multi-source satellite imagery. NeRD performs robust, high resolution, large-scale damage assessments. NeRD is applied to the ice shelves in the Amundsen Sea Embayment (ASE) and validated with both manually labelled and existing fracture maps. Validation shows that NeRD detects damage with high recall and provides an accurate physical representation of multi-scale damage features and their orientation. Sensitivity analyses indicate NeRD is robust to different resolution parameter settings. NeRD consistently detects damage for different data sources ranging from optical Landsat 7/8 and Sentinel-2 optical to Synthetic Aperture Radar Sentinel-1 data. Therefore, NeRD paves the way for synergistic multi-source damage detection that overcomes remaining limitations from individual sources. Results show varying damage patterns on the ice shelves in the ASE area in austral summer 2020-2021, with most damage located on the Pine Island, Crosson and Thwaites ice shelves. We show a damage increase on the Pine Island ice shelf between 2013-2019, and display advection and rotation of crevasses. The detected damage orientation can provide insight in the type of crevasse opening mode and the development of damage over time. The damage maps produced with NeRD can help evaluate ice sheet models or machine learning approaches, improving our understanding of damage evolution.</t>
  </si>
  <si>
    <t>[Izeboud, Maaike; Lhermitte, Stef] Delft Univ Technol, Stevinweg 1, Delft, Netherlands; [Lhermitte, Stef] Katholieke Univ Leuven, Celestijnenlaan 200E, Leuven, Belgium</t>
  </si>
  <si>
    <t>Delft University of Technology; KU Leuven</t>
  </si>
  <si>
    <t>Izeboud, M (corresponding author), Delft Univ Technol, Stevinweg 1, Delft, Netherlands.</t>
  </si>
  <si>
    <t>M.Izeboud@tudelft.nl; S.Lhermitte@tudelft.nl</t>
  </si>
  <si>
    <t>Lhermitte, Stef (Stefaan)/A-3385-2013</t>
  </si>
  <si>
    <t>Lhermitte, Stef (Stefaan)/0000-0002-1622-0177; Izeboud, Maaike/0000-0002-8915-7252</t>
  </si>
  <si>
    <t>Dutch Research Council (NWO) [ALWGO.2018.043]</t>
  </si>
  <si>
    <t>Dutch Research Council (NWO)(Netherlands Organization for Scientific Research (NWO))</t>
  </si>
  <si>
    <t>This publication is part of the project `Remote sensing of damage feedbacks and ice shelf instability in Antarctica', with project number ALWGO.2018.043 of the research programme `User Support Programme Space Research 2018' which is financed by the Dutch Research Council (NWO).</t>
  </si>
  <si>
    <t>0034-4257</t>
  </si>
  <si>
    <t>1879-0704</t>
  </si>
  <si>
    <t>REMOTE SENS ENVIRON</t>
  </si>
  <si>
    <t>Remote Sens. Environ.</t>
  </si>
  <si>
    <t>10.1016/j.rse.2022.113359</t>
  </si>
  <si>
    <t>7A7YP</t>
  </si>
  <si>
    <t>WOS:000898667000003</t>
  </si>
  <si>
    <t>Morales, G; Vargas, V; Espejo, D; Poblete, V; Tomasevic, JA; Otondo, F; Navedo, JG</t>
  </si>
  <si>
    <t>Morales, Gabriel; Vargas, Victor; Espejo, Diego; Poblete, Victor; Tomasevic, Jorge A.; Otondo, Felipe; Navedo, Juan G.</t>
  </si>
  <si>
    <t>Method for passive acoustic monitoring of bird communities using UMAP and a deep neural network</t>
  </si>
  <si>
    <t>ECOLOGICAL INFORMATICS</t>
  </si>
  <si>
    <t>Passive acoustic monitoring; Bird community; Deep learning; Soundscape; Phenology</t>
  </si>
  <si>
    <t>SONG DIALECTS; HABITATS; SHIFTS</t>
  </si>
  <si>
    <t>An effective practice for monitoring bird communities is the recognition and identification of their acoustic signals, whether simple, complex, fixed or variable. A method for the passive monitoring of diversity, activity and acoustic phenology of structural species of a bird community in an annual cycle is presented. The method includes the semi-automatic elaboration of a dataset of 22 vocal and instrumental forms of 16 species. To analyze bioacoustic richness, the UMAP algorithm was run on two parallel feature extraction channels. A convolutional neural network was trained using STFT-Mel spectrograms to perform the task of automatic identification of bird species. The predictive performance was evaluated by obtaining a minimum average precision of 0.79, a maximum equal to 1.0 and a mAP equal to 0.97. The model was applied to a huge set of passive recordings made in a network of urban wetlands for one year. The acoustic activity results were synchronized with climatological temperature data and sunlight hours. The results confirm that the proposed method allows for monitoring a taxonomically diverse group of birds that nourish the annual soundscape of an ecosystem, as well as detecting the presence of cryptic species that often go unnoticed.</t>
  </si>
  <si>
    <t>[Morales, Gabriel] Univ Austral Chile, Grad Sch Fac Engn, Masters Program Acoust &amp; Vibrat, Ave Gen Lagos 2086, Valdivia 5111187, Chile; [Vargas, Victor; Espejo, Diego; Poblete, Victor] Univ Austral Chile, Inst Acoust, Fac Engn, Audio Min Lab AuMiLab, Ave Gen Lagos 2086, Valdivia 5111187, Chile; [Tomasevic, Jorge A.] Univ Austral Chile, Ctr Humedales Rio Cruces, Camino Cabo Blanco Alto S-N, Valdivia 5090000, Chile; [Poblete, Victor; Otondo, Felipe] Univ Austral Chile, Inst Acoust, Fac Engn, Ave Gen Lagos 2086, Valdivia 5111187, Chile; [Navedo, Juan G.] Univ Austral Chile, Bird Ecol Lab, Inst Ciencias Marinas &amp; Limnol, Campus Isla Teja, Valdivia 5090010, Chile; [Navedo, Juan G.] Millennium Inst Biodivers Antarctic &amp; Subantarct E, Valdivia, Chile</t>
  </si>
  <si>
    <t>Universidad Austral de Chile; Universidad Austral de Chile; Universidad Austral de Chile; Universidad Austral de Chile; Universidad Austral de Chile</t>
  </si>
  <si>
    <t>Poblete, V (corresponding author), Univ Austral Chile, Inst Acoust, Fac Engn, Audio Min Lab AuMiLab, Ave Gen Lagos 2086, Valdivia 5111187, Chile.</t>
  </si>
  <si>
    <t>vpoblete@uach.cl</t>
  </si>
  <si>
    <t>Poblete, Victor/GYA-5519-2022; Vargas, Víctor/HZI-6293-2023; Espejo Alquinta, Diego/KDO-7351-2024; Easton Vargas, Gabriel/F-5225-2018</t>
  </si>
  <si>
    <t>Poblete, Victor/0000-0003-2894-0267; Espejo Alquinta, Diego/0000-0001-8083-538X; Easton Vargas, Gabriel/0000-0003-2358-8807; Vargas Sandoval, Victor Hugo/0000-0003-0986-1571</t>
  </si>
  <si>
    <t>National Agency for Research and Development of Chile ANID; Chilean National Fund for Scientific and Technological Development (FONDECYT) [1190722, 1220320]</t>
  </si>
  <si>
    <t>National Agency for Research and Development of Chile ANID; Chilean National Fund for Scientific and Technological Development (FONDECYT)(Comision Nacional de Investigacion Cientifica y Tecnologica (CONICYT)CONICYT FONDECYT)</t>
  </si>
  <si>
    <t>The authors would like to thank Sebastian Arriagada for the diagramming of the map of the monitoring areas (Fig. 1), to Jorge Ruiz for his contributions in the auditory identification of the analyzed species, the students of the Audio Mining Laboratory (AuMiLab) for the valuable discussions around deep learning tools and the scholarship from the National Agency for Research and Development of Chile ANID awarded to Gabriel Morales to complete his postgraduate program.The research that led to this article was funded by the Chilean National Fund for Scientific and Technological Development (FONDECYT) under grants 1190722 and 1220320.</t>
  </si>
  <si>
    <t>1574-9541</t>
  </si>
  <si>
    <t>1878-0512</t>
  </si>
  <si>
    <t>ECOL INFORM</t>
  </si>
  <si>
    <t>Ecol. Inform.</t>
  </si>
  <si>
    <t>10.1016/j.ecoinf.2022.101909</t>
  </si>
  <si>
    <t>6W5NK</t>
  </si>
  <si>
    <t>WOS:000895775200005</t>
  </si>
  <si>
    <t>Tsurutani, BT; Zank, GP; Sterken, VJ; Shibata, K; Nagai, T; Mannucci, AJ; Malaspina, DM; Lakhina, GS; Kanekal, SG; Hosokawa, K; Horne, RB; Hajra, R; Glassmeier, KH; Gaunt, CT; Chen, PF; Akasofu, SI</t>
  </si>
  <si>
    <t>Tsurutani, Bruce T.; Zank, Gary P.; Sterken, Veerle J.; Shibata, Kazunari; Nagai, Tsugunobu; Mannucci, Anthony J.; Malaspina, David M.; Lakhina, Gurbax S.; Kanekal, Shrikanth G.; Hosokawa, Keisuke; Horne, Richard B.; Hajra, Rajkumar; Glassmeier, Karl-Heinz; Gaunt, C. Trevor; Chen, Peng-Fei; Akasofu, Syun-Ichi</t>
  </si>
  <si>
    <t>Space Plasma Physics: A Review</t>
  </si>
  <si>
    <t>IEEE TRANSACTIONS ON PLASMA SCIENCE</t>
  </si>
  <si>
    <t>Review; Early Access</t>
  </si>
  <si>
    <t>Geomagnetic storms; ionosphere; magnetosphere; solar radiation; solar system; space missions</t>
  </si>
  <si>
    <t>CORONAL MASS EJECTION; DUST-ACOUSTIC-WAVES; WHISTLER-MODE CHORUS; VAN ALLEN PROBES; INTERPLANETARY MAGNETIC-FIELD; RADIATION-BELT ELECTRONS; INTER-PLANETARY SHOCK; ION-CYCLOTRON WAVES; EARTHS INNER MAGNETOSPHERE; SOLAR ENERGETIC PARTICLES</t>
  </si>
  <si>
    <t>Owing to the ever-present solar wind, our vast solar system is full of plasmas. The turbulent solar wind, together with sporadic solar eruptions, introduces various space plasma processes and phenomena in the solar atmosphere all the way to Earth's ionosphere and atmosphere and outward to interact with the interstellar media to form the heliopause and termination shock. Remarkable progress has been made in space plasma physics in the last 65 years, mainly due to sophisticated in situ measurements of plasmas, plasma waves, neutral particles, energetic particles, and dust via space-borne satellite instrumentation. Additionally, high-technology ground-based instrumentation has led to new and greater knowledge of solar and auroral features. As a result, a new branch of space physics, i.e., space weather, has emerged since many of the space physics processes have a direct or indirect influence on humankind. After briefly reviewing the major space physics discoveries before rockets and satellites (Section I), we aim to review all our updated understanding on coronal holes, solar flares, and coronal mass ejections, which are central to space weather events at Earth (Section II), solar wind (Section III), storms and substorms (Section IV), magnetotail and substorms, emphasizing the role of the magnetotail in substorm dynamics (Section V), radiation belts/energetic magnetospheric particles (Section VI), structures and space weather dynamics in the ionosphere (Section VII), plasma waves, instabilities, and wave-particle interactions (Section VIII), long-period geomagnetic pulsations (Section IX), auroras (Section X), geomagnetically induced currents (GICs, Section XI), planetary magnetospheres and solar/stellar wind interactions with comets, moons and asteroids (Section XII), interplanetary discontinuities, shocks and waves (Section XIII), interplanetary dust (Section XIV), space dusty plasmas (Section XV), and solar energetic particles and shocks, including the heliospheric termination shock (Section XVI). This article is aimed to provide a panoramic view of space physics and space weather.</t>
  </si>
  <si>
    <t>[Tsurutani, Bruce T.; Mannucci, Anthony J.] CALTECH, Jet Prop Lab, Pasadena, CA 91125 USA; [Zank, Gary P.] Univ Alabama Huntsville, Ctr Space Plasma &amp; Aeron Res, Huntsville, AL USA; [Zank, Gary P.] Univ Alabama Huntsville, Dept Space Sci, Huntsville, AL USA; [Sterken, Veerle J.] Swiss Fed Inst Technol, Dept Phys, CH-8093 Zurich, Switzerland; [Shibata, Kazunari] Doshisha Univ, Sch Sci &amp; Engn, Kyotanabe, Japan; [Shibata, Kazunari] Kyoto Univ, Kwasan Observ, Yamashina 6078471, Japan; [Nagai, Tsugunobu] Inst Space &amp; Astronaut Sci ISAS, Dept Solar Syst Sci, Sagamihara, Kanagawa 2525210, Japan; [Malaspina, David M.] Univ Colorado Boulder, Dept Astrophys &amp; Planetary Sci, Boulder, CO 80305 USA; [Malaspina, David M.] Univ Colorado Boulder, Lab Atmospher &amp; Space Phys, Boulder, CO 80305 USA; [Lakhina, Gurbax S.] Indian Inst Geomagnetism, Sch Astron &amp; Space Sci, Navi Mumbai 410218, India; [Kanekal, Shrikanth G.] NASA, Goddard Space Flight Ctr, Greenbelt, MD 20771 USA; [Hosokawa, Keisuke] Univ Electrocommun, Grad Sch Informat &amp; Engn, Tokyo 1828585, Japan; [Horne, Richard B.] British Antarctic Survey, Cambridge CB3 OET, England; [Hajra, Rajkumar] Indian Inst Technol Indore, Indore 453552, India; [Glassmeier, Karl-Heinz] Tech Univ Carolo Wilhelmina Braunschweig, Inst Geophys &amp; Extraterr Phys, D-38106 Braunschweig, Germany; [Gaunt, C. Trevor] Univ Cape Town, Dept Elect Engn, ZA-7700 Cape Town, South Africa</t>
  </si>
  <si>
    <t>California Institute of Technology; National Aeronautics &amp; Space Administration (NASA); NASA Jet Propulsion Laboratory (JPL); University of Alabama System; University of Alabama Huntsville; University of Alabama System; University of Alabama Huntsville; Swiss Federal Institutes of Technology Domain; ETH Zurich; Doshisha University; Kyoto University; Japan Aerospace Exploration Agency (JAXA); Institute of Space &amp; Astronautical Science (ISAS); University of Colorado System; University of Colorado Boulder; University of Colorado System; University of Colorado Boulder; Department of Science &amp; Technology (India); Indian Institute of Geomagnetism (IIG); National Aeronautics &amp; Space Administration (NASA); NASA Goddard Space Flight Center; University of Electro-Communications - Japan; UK Research &amp; Innovation (UKRI); Natural Environment Research Council (NERC); NERC British Antarctic Survey; Indian Institute of Technology System (IIT System); Indian Institute of Technology (IIT) - Indore; Braunschweig University of Technology; University of Cape Town</t>
  </si>
  <si>
    <t>Tsurutani, BT (corresponding author), CALTECH, Jet Prop Lab, Pasadena, CA 91125 USA.</t>
  </si>
  <si>
    <t>bruce.tsurutani@gmail.com</t>
  </si>
  <si>
    <t>tsurutani, bruce t/G-5835-2019; Horne, Richard B/U-3764-2019; Fang, Cheng/KHT-2551-2024; Hajra, Rajkumar/M-3660-2019; Lakhina, Gurbax S./C-9163-2013; Chen, P. F./E-2292-2011; Sterken, Veerle/F-3371-2013</t>
  </si>
  <si>
    <t>Horne, Richard B/0000-0002-0412-6407; Hajra, Rajkumar/0000-0003-0447-1531; Chen, P. F./0000-0002-7289-642X; Zank, Gary P/0000-0002-4642-6192; Shibata, Kazunari/0000-0003-1206-7889; Lakhina, Gurbax/0000-0002-8956-486X; kanekal, shrikanth/0000-0001-8157-4281; Sterken, Veerle/0000-0003-0843-7912; MALASPINA, DAVID/0000-0003-1191-1558</t>
  </si>
  <si>
    <t>Jet Propulsion Laboratory, California Institute of Technology; NASA; Parker Solar Probeunder [SV4-84017]; NSF Established Program [OIA-1655280, OIA-2148653]; European Union [851544]; Indian National Science Academy(INSA), New Delhi, through the INSA-Honorary Scientist Scheme; NERC Highlight Topic [NE/PO1738X/1]; NERC National PublicGood Activity [NE/R0164451]; Science and EngineeringResearch Board (SERB); Department of Science andTechnology (DST), Government of India [SB/S2/RJN-080/2018]; National Key Research and Development Program of China [2020YFC2201200]; European Research Council (ERC) [851544] Funding Source: European Research Council (ERC)</t>
  </si>
  <si>
    <t>Jet Propulsion Laboratory, California Institute of Technology; NASA(National Aeronautics &amp; Space Administration (NASA)); Parker Solar Probeunder; NSF Established Program; European Union(European Union (EU)); Indian National Science Academy(INSA), New Delhi, through the INSA-Honorary Scientist Scheme; NERC Highlight Topic; NERC National PublicGood Activity; Science and EngineeringResearch Board (SERB); Department of Science andTechnology (DST), Government of India(Department of Science &amp; Technology (India)); National Key Research and Development Program of China; European Research Council (ERC)(European Research Council (ERC)Spanish Government)</t>
  </si>
  <si>
    <t>This work was supported by the Jet Propulsion Laboratory, California Institute of Technology, under Contract with NASA. Thework of Gary P. Zank was supported in part by the Parker Solar Probeunder Contract SV4-84017 and in part by NSF Established Program toStimulate Competitive Research (EPSCoR) RII-Track-1 cooperative agree-ment under Grant OIA-1655280 and Grant OIA-2148653. The work ofVeerle J. Sterken was supported by the European Union's Horizon 2020Research and Innovation Program under Grant N 851544. The work of Gurbax S. Lakhina was supported by the Indian National Science Academy(INSA), New Delhi, through the INSA-Honorary Scientist Scheme. Thework of Richard B. Horne was supported by NERC Highlight Topic (Rad-Sat) under Grant NE/PO1738X/1 and in part by NERC National PublicGood Activity under Grant NE/R0164451. The work of Rajkumar Hajra wassupported through the Ramanujan Fellowship by the Science and EngineeringResearch Board (SERB), a statutory body of the Department of Science andTechnology (DST), Government of India, under Grant SB/S2/RJN-080/2018.The work of Peng-Fei Chen was supported by the National Key Research and Development Program of China under Grant 2020YFC2201200</t>
  </si>
  <si>
    <t>0093-3813</t>
  </si>
  <si>
    <t>1939-9375</t>
  </si>
  <si>
    <t>IEEE T PLASMA SCI</t>
  </si>
  <si>
    <t>IEEE Trans. Plasma Sci.</t>
  </si>
  <si>
    <t>2022 NOV 23</t>
  </si>
  <si>
    <t>10.1109/TPS.2022.3208906</t>
  </si>
  <si>
    <t>Physics, Fluids &amp; Plasmas</t>
  </si>
  <si>
    <t>6S2VD</t>
  </si>
  <si>
    <t>Green Accepted, hybrid, Green Submitted</t>
  </si>
  <si>
    <t>WOS:000892849600001</t>
  </si>
  <si>
    <t>Gutt, J; Arndt, S; Barnes, DKA; Bornemann, H; Brey, T; Eisen, O; Flores, H; Griffiths, H; Haas, C; Hain, S; Hattermann, T; Held, C; Hoppema, M; Isla, E; Janout, M; Le Bohec, C; Link, H; Mark, FC; Moreau, S; Trimborn, S; van Opzeeland, I; Poertner, HO; Schaafsma, F; Teschke, K; Tippenhauer, S; van de Putte, A; Wege, M; Zitterbart, D; Piepenburg, D</t>
  </si>
  <si>
    <t>Gutt, Julian; Arndt, Stefanie; Barnes, David Keith Alan; Bornemann, Horst; Brey, Thomas; Eisen, Olaf; Flores, Hauke; Griffiths, Huw; Haas, Christian; Hain, Stefan; Hattermann, Tore; Held, Christoph; Hoppema, Mario; Isla, Enrique; Janout, Markus; Le Bohec, Celine; Link, Heike; Mark, Felix Christopher; Moreau, Sebastien; Trimborn, Scarlett; van Opzeeland, Ilse; Poertner, Hans-Otto; Schaafsma, Fokje; Teschke, Katharina; Tippenhauer, Sandra; Van de Putte, Anton; Wege, Mia; Zitterbart, Daniel; Piepenburg, Dieter</t>
  </si>
  <si>
    <t>Reviews and syntheses: A framework to observe, understand and projectecosystem response to environmental change in the East Antarctic SouthernOcean</t>
  </si>
  <si>
    <t>ICE-SHELF CAVITY; LANDFAST SEA-ICE; WEDDELL SEA; ECOSYSTEM SERVICES; CLIMATE-CHANGE; DEEP-WATER; INTERANNUAL VARIABILITY; OCEAN PHYTOPLANKTON; CONTINENTAL-SHELF; PARTICLE FLUXES</t>
  </si>
  <si>
    <t>Systematic long-term studies on ecosystem dynamics are largelylacking from the East Antarctic Southern Ocean, although it is wellrecognized that they are indispensable to identify the ecological impactsand risks of environmental change. Here, we present a framework forestablishing a long-term cross-disciplinary study on decadal timescales. Weargue that the eastern Weddell Sea and the adjacent sea to the east, offDronning Maud Land, is a particularly well suited area for such a study,since it is based on findings from previous expeditions to this region.Moreover, since climate and environmental change have so far beencomparatively muted in this area, as in the eastern Antarctic in general, asystematic long-term study of its environmental and ecological state canprovide a baseline of the current situation, which will be important for anassessment of future changes from their very onset, with consistent andcomparable time series data underpinning and testing models and theirprojections. By establishing an Integrated East Antarctic MarineResearch (IEAMaR) observatory, long-term changes in ocean dynamics,geochemistry, biodiversity, and ecosystem functions and services will besystematically explored and mapped through regular autonomous and ship-basedsynoptic surveys. An associated long-term ecological research (LTER)programme, including experimental and modelling work, will allow forstudying climate-driven ecosystem changes and interactions with impactsarising from other anthropogenic activities. This integrative approach willprovide a level of long-term data availability and ecosystem understandingthat are imperative to determine, understand, and project the consequencesof climate change and support a sound science-informed management of futureconservation efforts in the Southern Ocean.</t>
  </si>
  <si>
    <t>[Gutt, Julian; Arndt, Stefanie; Bornemann, Horst; Brey, Thomas; Eisen, Olaf; Flores, Hauke; Haas, Christian; Hain, Stefan; Held, Christoph; Hoppema, Mario; Janout, Markus; Mark, Felix Christopher; Trimborn, Scarlett; van Opzeeland, Ilse; Poertner, Hans-Otto; Teschke, Katharina; Tippenhauer, Sandra; Piepenburg, Dieter] Helmholtz Ctr Polar &amp; Marine Res, Alfred Wegener Inst, D-27570 Bremerhaven, Germany; [Barnes, David Keith Alan; Griffiths, Huw] British Antarctic Survey, Cambridge CB3 OET, England; [Brey, Thomas; van Opzeeland, Ilse; Teschke, Katharina; Piepenburg, Dieter] Helmholtz Inst Funct Marine Biodivers, Ammerlander Heerstr 231, D-26129 Oldenburg, Germany; [Eisen, Olaf] Univ Bremen, Geosci, D-28359 Bremen, Germany; [Hattermann, Tore; Moreau, Sebastien] Norwegian Polar Res Inst, Hjalmar Johansens Gate 14, N-9007 Tromso, Norway; [Isla, Enrique] CSIC, Inst Marine Sci, Marine Geosci Dept, Barcelona 08003, Spain; [Le Bohec, Celine] Univ Strasbourg, Dept Ecol Physiol &amp; Ethol, CNRS, F-67000 Strasbourg, France; [Le Bohec, Celine] Ctr Sci Monaco, Dept Biol Polaire, MC-98000 Monaco, Monaco; [Link, Heike] Univ Rostock, Dept Maritime Syst, D-18059 Kiel, Germany; [Schaafsma, Fokje] Wageningen Marine Res, Ankerpark 27, NL-1787 Den Helder, Netherlands; [Van de Putte, Anton] Royal Belgian Inst Nat Sci, Brussels, Belgium; [Van de Putte, Anton] Univ Libre Bruxelles, Marine Biol Lab, Brussels, Belgium; [Wege, Mia] Univ Pretoria, Mammal Res Inst, Dept Zool &amp; Entomol, ZA-0002 Pretoria, South Africa; [Zitterbart, Daniel] Oceanog Inst, Appl Ocean Phys &amp; Engn Dept, Woods Hole, MA 02543 USA; [Zitterbart, Daniel] Friedrich Alexander Univ Erlangen Nurnberg, Dept Phys, D-91054 Erlangen, Germany; [Piepenburg, Dieter] Univ Kiel, Inst Ecosyst Res, D-24118 Kiel, Germany</t>
  </si>
  <si>
    <t>Helmholtz Association; Alfred Wegener Institute, Helmholtz Centre for Polar &amp; Marine Research; UK Research &amp; Innovation (UKRI); Natural Environment Research Council (NERC); NERC British Antarctic Survey; University of Bremen; Norwegian Polar Institute; Consejo Superior de Investigaciones Cientificas (CSIC); CSIC - Centro Mediterraneo de Investigaciones Marinas y Ambientales (CMIMA); CSIC - Instituto de Ciencias del Mar (ICM); Universites de Strasbourg Etablissements Associes; Universite de Strasbourg; Centre National de la Recherche Scientifique (CNRS); University of Rostock; Wageningen University &amp; Research; Royal Belgian Institute of Natural Sciences; Universite Libre de Bruxelles; University of Pretoria; University of Erlangen Nuremberg; University of Kiel</t>
  </si>
  <si>
    <t>Gutt, J (corresponding author), Helmholtz Ctr Polar &amp; Marine Res, Alfred Wegener Inst, D-27570 Bremerhaven, Germany.</t>
  </si>
  <si>
    <t>julian.gutt@awi.de</t>
  </si>
  <si>
    <t>Wege, Mia/B-1103-2016; Arndt, Stefanie/AAA-6178-2021; Haas, Christian/L-5279-2016; Mark, Felix Christopher/P-4759-2016; Griffiths, Huw J/D-4234-2009</t>
  </si>
  <si>
    <t>Wege, Mia/0000-0002-9022-3069; Arndt, Stefanie/0000-0001-9782-3844; Haas, Christian/0000-0002-7674-3500; Mark, Felix Christopher/0000-0002-5586-6704; Griffiths, Huw J/0000-0003-1764-223X; Zitterbart, Daniel/0000-0001-9429-4350; Schaafsma, Fokje/0000-0002-8945-2868; Eisen, Olaf/0000-0002-6380-962X; Brey, Thomas/0000-0002-6345-2851; Van de Putte, Anton/0000-0003-1336-5554; Link, Heike/0000-0002-8484-845X; Piepenburg, Dieter/0000-0003-3977-2860; Flores, Hauke/0000-0003-1617-5449; Moreau, Sebastien/0000-0001-9446-812X</t>
  </si>
  <si>
    <t>NOV 23</t>
  </si>
  <si>
    <t>10.5194/bg-19-5313-2022</t>
  </si>
  <si>
    <t>6L6ZP</t>
  </si>
  <si>
    <t>Green Submitted, Green Published, Green Accepted, gold</t>
  </si>
  <si>
    <t>WOS:000888332400001</t>
  </si>
  <si>
    <t>Yang, DY; Ding, MH; Allison, I; Zou, XW; Chen, XY; Heil, P; Zhang, WQ; Bian, LE; Xiao, CD</t>
  </si>
  <si>
    <t>Yang, Diyi; Ding, Minghu; Allison, Ian; Zou, Xiaowei; Chen, Xinyan; Heil, Petra; Zhang, Wenqian; Bian, Lingen; Xiao, Cunde</t>
  </si>
  <si>
    <t>Subsurface heat conduction along the CHINARE traverse route, East Antarctica</t>
  </si>
  <si>
    <t>Atmosphere; ice; ocean interactions; energy balance; ice-sheet modeling</t>
  </si>
  <si>
    <t>SURFACE-ENERGY-BALANCE; DRONNING MAUD LAND; ATMOSPHERIC BOUNDARY-LAYER; ZHONGSHAN STATION; ICE-SHEET; SNOW; VARIABILITY; GLACIER; PLATEAU; CLIMATE</t>
  </si>
  <si>
    <t>Using data from three automatic weather stations (LGB69, Eagle and Dome A) from distinctly different climatological zones along the CHINARE (Chinese National Antarctic Research Expedition) traverse route from Zhongshan Station to Dome A, we investigated the characteristics of meteorological conditions and subsurface heat conduction. Spatial analysis indicated decreasing trends in air temperature, relative humidity and wind speed from the coastal katabatic wind zone to the inland plateau region, and air temperatures clearly showed a strong daily variability in winter, suggesting the effect from the fluctuation in the Antarctic atmospheric system. We also analyzed the optimal response time of the 1 and 3 m depth snow temperatures to the 0.1 m depth snow temperature for each site under clear/overcast and day/night situations. This showed an important enhancement to the heat transfer from shortwave radiation penetration. Using an iterative optimization method, we estimated the subsurface heat conduction variations along the transect. This was similar to 3-5 W m(-2). Multiple maxima in daily mean subsurface fluxes were found in winter, with a typical value above 2 W m(-2), while a single minimum value under -2 W m(-2) was found in summer. On an annual scale, a larger mean loss of subsurface heat conduction was observed in the inland plateau compared to in the coastal katabatic area. Finally, we discussed the possible influences of turbulent and radiant transport on the vertical heat response and confirmed the wind enhancement on the growth of thermal conductivity. This preliminary study provides a brief perspective and an important reference for studying subsurface heat conduction in inland areas of Antarctica.</t>
  </si>
  <si>
    <t>[Yang, Diyi; Ding, Minghu; Zou, Xiaowei; Zhang, Wenqian; Bian, Lingen] Chinese Acad Meteorol Sci, State Key Lab Severe Weather, Beijing, Peoples R China; [Yang, Diyi] Haining Meteorol Bureau, Haining, Peoples R China; [Allison, Ian; Heil, Petra] Univ Tasmania, Inst Marine Antarct Studies, Hobart, Tas, Australia; [Zou, Xiaowei] Wuhan Univ, GNSS Res Ctr, Wuhan, Peoples R China; [Chen, Xinyan] Tongxiang Meteorol Bur, Tongxiang, Peoples R China; [Heil, Petra] Univ Tasmania, Australian Antarct Div, Hobart, Tas, Australia; [Xiao, Cunde] Beijing Normal Univ, State Key Lab Earth Surface &amp; Resource Ecol, Beijing, Peoples R China</t>
  </si>
  <si>
    <t>China Meteorological Administration; Chinese Academy of Meteorological Sciences (CAMS); University of Tasmania; Wuhan University; University of Tasmania; Australian Antarctic Division; Beijing Normal University</t>
  </si>
  <si>
    <t>Ding, MH (corresponding author), Chinese Acad Meteorol Sci, State Key Lab Severe Weather, Beijing, Peoples R China.</t>
  </si>
  <si>
    <t>dingminghu@foxmail.com</t>
  </si>
  <si>
    <t>Ding, Minghu/AFU-3600-2022</t>
  </si>
  <si>
    <t>Ding, Minghu/0000-0002-1142-6598; Yang, Diyi/0000-0002-1844-5900</t>
  </si>
  <si>
    <t>National Science Foundation of China; Ministry of Science and Technology of the People's Republic of China; Basic Found of Chinese Academy Meteorological and Sciences; [42122047]; [2021YFC2802504]; [2021Z006]; [2019Z005]</t>
  </si>
  <si>
    <t>National Science Foundation of China(National Natural Science Foundation of China (NSFC)); Ministry of Science and Technology of the People's Republic of China(Ministry of Science and Technology, China); Basic Found of Chinese Academy Meteorological and Sciences; ; ; ;</t>
  </si>
  <si>
    <t>The study was supported financially by the National Science Foundation of China (Project approval Nos. 42122047), Ministry of Science and Technology of the People's Republic of China (Project approval Nos. 2021YFC2802504) and the Basic Found of Chinese Academy Meteorological and Sciences (Project approval Nos. 2021Z006 and 2019Z005).</t>
  </si>
  <si>
    <t>PII S0022143022000971</t>
  </si>
  <si>
    <t>10.1017/jog.2022.97</t>
  </si>
  <si>
    <t>WOS:000889923900001</t>
  </si>
  <si>
    <t>Wu, JH; Zou, ZM; Chen, T; Li, YL; Lu, Y; Ti, S; Li, L</t>
  </si>
  <si>
    <t>Wu, Jiahao; Zou, Ziming; Chen, Tao; Li, Yunlong; Lu, Yang; Ti, Shuo; Li, Lei</t>
  </si>
  <si>
    <t>Diurnal variation of the fair-weather atmospheric electric field in Binchuan, China</t>
  </si>
  <si>
    <t>JOURNAL OF ATMOSPHERIC AND SOLAR-TERRESTRIAL PHYSICS</t>
  </si>
  <si>
    <t>Atmospheric electric field; Diurnal variation under fair-weather; Aerosol concentration; Sunrise and sunset effect</t>
  </si>
  <si>
    <t>AEROSOL; VISIBILITY</t>
  </si>
  <si>
    <t>With the purpose of understanding the variation of fair-weather atmospheric electric field, the vertical component of atmospheric electric field (recorded as Ez) has been measured in the town Binchuan (25 degrees 50 ' N, 100 degrees 34 ' E, 1438.7 m asl) of Dali city, Yunnan, China from June 14, 2017 to December 1, 2020. Automatic measured visual range is used as a proxy of aerosol concentration. The mean diurnal variation curve of the fair-weather Ez in Binchuan, having two peaks occurred at around 9LT and 20LT, shows little correlation with the well-known Carnegie Curve and other two high-latitude sites' Curves. While strong negative correlation between fair-weather Ez and visual range is found, indicating the variation of fair-weather is dominated by aerosol concentration. The main source of aerosol concentration variation probably sunrise and sunset effect. We support our findings by comparing Ez, visual range with sunrise and sunset times. The peaks (troughs) of Ez (visual range) are proved to have weak correlations with anthropogenic pollution through comparing the Ez, visual range under workdays and holidays.</t>
  </si>
  <si>
    <t>[Wu, Jiahao; Zou, Ziming; Chen, Tao; Li, Yunlong; Lu, Yang; Ti, Shuo; Li, Lei] Chinese Acad Sci, Natl Space Sci Ctr, Beijing 100190, Peoples R China; [Wu, Jiahao] Univ Chinese Acad Sci, Beijing 100049, Peoples R China; [Wu, Jiahao; Zou, Ziming; Li, Yunlong; Lu, Yang] Natl Space Sci Ctr, Nation Space Sci Data Ctr, Beijing 101407, Peoples R China; [Chen, Tao; Ti, Shuo] Chinese Acad Sci, Natl Space Sci Ctr, State Key Lab Space Weather, Beijing 100190, Peoples R China; [Zou, Ziming] 1 Nanertiao, Beijing 100190, Peoples R China</t>
  </si>
  <si>
    <t>Chinese Academy of Sciences; National Space Science Center, CAS; Chinese Academy of Sciences; University of Chinese Academy of Sciences, CAS; Chinese Academy of Sciences; National Space Science Center, CAS; Chinese Academy of Sciences; National Space Science Center, CAS</t>
  </si>
  <si>
    <t>Zou, ZM (corresponding author), 1 Nanertiao, Beijing 100190, Peoples R China.</t>
  </si>
  <si>
    <t>mzou@nssc.ac.cn</t>
  </si>
  <si>
    <t>Ti, Shuo/KHX-0111-2024; Li, Yun-Long/JHU-0147-2023; Li, Lei/JBS-2912-2023</t>
  </si>
  <si>
    <t>Li, Yun-Long/0000-0003-3931-0084; Li, Lei/0000-0002-9435-893X; Wu, Jiahao/0000-0002-9022-6825</t>
  </si>
  <si>
    <t>14th Five-year Network Security and Informatization Plan of Chinese Academy of Sciences [WX145XQ07-06]; Pandeng Program of National Space Science Center, Chinese Academy of Sciences; Strategic Pioneer Program on Space Science, Chinese Academy of Sciences [XDA17010301, XDA15052500, XDA15350201]; National Natural Science Foundation of China [41874175, 41931073]; Specialized Research Fund for State Key Laboratories</t>
  </si>
  <si>
    <t>14th Five-year Network Security and Informatization Plan of Chinese Academy of Sciences; Pandeng Program of National Space Science Center, Chinese Academy of Sciences; Strategic Pioneer Program on Space Science, Chinese Academy of Sciences; National Natural Science Foundation of China(National Natural Science Foundation of China (NSFC)); Specialized Research Fund for State Key Laboratories</t>
  </si>
  <si>
    <t>This work was supported by the 14th Five-year Network Security and Informatization Plan of Chinese Academy of Sciences, Grant No. WX145XQ07-06. We acknowledge the National Space Science Data Center (NSSDC) of China (https://www.nssdc.ac.cn) for providing data analysis environment. And the Space Science Data Fusion Computing Platform of the National Space Science Center provided computing services.The authors thank the Chinese Meridian Project II for providing the data of atmospheric electric field. The atmospheric electric field data are provided at NSSDC website: https://sadr.scidb.cn/en/detail?dataSet Id=d1f79f041c5a4614b12de74b28faab71. And this project supported by the Specialized Research Fund for State Key Laboratories, by the Pandeng Program of National Space Science Center, Chinese Academy of Sciences, by the Strategic Pioneer Program on Space Science, Chinese Academy of Sciences (Grant No. XDA17010301, XDA15052500, and XDA15350201), and by the National Natural Science Foundation of China (Grant No. 41874175 and 41931073). The authors thank data service room of National Meteorological Information Center (http://dat a.cma.cn/) for providing the meteorological data. The authors thank China National Environmental Monitoring Center (http://www.cnemc. cn/sssj/) for providing the air quality data. Atmospheric electric field data of Halley, Antarctic site are obtained from the GloCAEM data catalogue at: https://catalogue.ceda.ac.uk/uuid/bffd0262439a4ecb8f adf0134c4a4a41 (Nicoll et al., 2019). Atmospheric electric field data of Barrow, Alaska site are obtained from the DOE ARM Site at: https://adc.arm.gov/discovery/(Lavigne et al., 2021). The authors thank reviewers for helping to improve the quality of this manuscript.</t>
  </si>
  <si>
    <t>1364-6826</t>
  </si>
  <si>
    <t>1879-1824</t>
  </si>
  <si>
    <t>J ATMOS SOL-TERR PHY</t>
  </si>
  <si>
    <t>J. Atmos. Sol.-Terr. Phys.</t>
  </si>
  <si>
    <t>10.1016/j.jastp.2022.105985</t>
  </si>
  <si>
    <t>Geochemistry &amp; Geophysics; Meteorology &amp; Atmospheric Sciences</t>
  </si>
  <si>
    <t>6Q0FW</t>
  </si>
  <si>
    <t>WOS:000891298600001</t>
  </si>
  <si>
    <t>Li, F; Newman, PA</t>
  </si>
  <si>
    <t>Li, Feng; Newman, Paul A.</t>
  </si>
  <si>
    <t>Prescribing stratospheric chemistry overestimates southern hemisphere climate change during austral spring in response to quadrupled CO2</t>
  </si>
  <si>
    <t>CLIMATE DYNAMICS</t>
  </si>
  <si>
    <t>Stratospheric ozone feedback; Interactive and prescribed stratospheric chemistry; Stratosphere-troposphere coupling; Southern hemisphere midlatitude jet; Stratospheric ozone recovery</t>
  </si>
  <si>
    <t>ATMOSPHERIC CIRCULATION; OZONE RECOVERY; WATER-VAPOR; DEPENDENCE; FEEDBACK; LAYER</t>
  </si>
  <si>
    <t>The interaction of stratospheric chemistry with a changing climate from an abrupt CO2 quadrupling is assessed using the coupled atmosphere-ocean Goddard Earth Observing System Chemistry-Climate Model (GEOSCCM). Two abrupt 4 x CO2 experiments were performed, one with interactive stratospheric chemistry and the other with a prescribed stratospheric chemistry that does not simulate stratospheric ozone response to 4 x CO2. The interactive and prescribed chemistry experiments simulate similar global mean surface temperature change. Nevertheless, interactive chemistry is critical to capture the Southern Hemisphere tropospheric midlatitude jet response to 4 x CO2. When stratospheric ozone response to 4 x CO2 is neglected, GEOSCCM overestimates Southern Hemisphere tropospheric circulation change. This stratospheric chemistry-induced climate impact has large seasonal variability. During the austral spring season September-October-November (SON), prescribed chemistry yields a stronger poleward shift and intensification of the Southern Hemisphere midlatitude tropospheric jet, surface wind stress, and the Southern Ocean meridional overturning circulation than occurs with interactive chemistry. In other seasons interactive and prescribed chemistry have similar effects on the Southern Hemisphere circulation. The seasonality of stratospheric chemistry-induced climate impact is related to the seasonality of Antarctic lower stratospheric ozone response to 4 x CO2. In contrast to this stratospheric ozone response to 4 x CO2, stratospheric ozone recovery from decline of the ozone depleting substances has its largest impact on the Southern Hemisphere tropospheric circulation in austral summer (December-January-February), but no effects in SON. It is found that the different seasonality for these two stratospheric ozone layer change scenarios is related to the different seasonality of tropopause meridional temperature gradient response.</t>
  </si>
  <si>
    <t>[Li, Feng] Univ Space Res Assoc, Columbia, MD 21046 USA; [Li, Feng; Newman, Paul A.] NASA, Goddard Space Flight Ctr, Greenbelt, MD 20771 USA; [Li, Feng] Univ Maryland, Baltimore, MD 21201 USA</t>
  </si>
  <si>
    <t>Universities Space Research Association (USRA); National Aeronautics &amp; Space Administration (NASA); NASA Goddard Space Flight Center; University System of Maryland; University of Maryland Baltimore</t>
  </si>
  <si>
    <t>Li, F (corresponding author), Univ Space Res Assoc, Columbia, MD 21046 USA.;Li, F (corresponding author), NASA, Goddard Space Flight Ctr, Greenbelt, MD 20771 USA.;Li, F (corresponding author), Univ Maryland, Baltimore, MD 21201 USA.</t>
  </si>
  <si>
    <t>feng.li@nasa.gov</t>
  </si>
  <si>
    <t>Newman, Paul A./D-6208-2012</t>
  </si>
  <si>
    <t>Newman, Paul A./0000-0003-1139-2508</t>
  </si>
  <si>
    <t>NASA's Atmospheric Composition Modeling and Analysis Program (ACMAP) [NNX17AF62G]; Analysis and Prediction Program (MAP) [80NSSC17K0288]</t>
  </si>
  <si>
    <t>NASA's Atmospheric Composition Modeling and Analysis Program (ACMAP); Analysis and Prediction Program (MAP)</t>
  </si>
  <si>
    <t>This work was funded by NASA's Atmospheric Composition Modeling and Analysis Program (ACMAP) under grant NNX17AF62G and Modeling, Analysis and Prediction Program (MAP) under grant 80NSSC17K0288.</t>
  </si>
  <si>
    <t>0930-7575</t>
  </si>
  <si>
    <t>1432-0894</t>
  </si>
  <si>
    <t>CLIM DYNAM</t>
  </si>
  <si>
    <t>Clim. Dyn.</t>
  </si>
  <si>
    <t>10.1007/s00382-022-06588-4</t>
  </si>
  <si>
    <t>M0NC3</t>
  </si>
  <si>
    <t>WOS:000887884700001</t>
  </si>
  <si>
    <t>Visnjevic, V; Drews, R; Schannwell, C; Koch, I; Franke, S; Jansen, D; Eisen, O</t>
  </si>
  <si>
    <t>Visnjevic, Vjeran; Drews, Reinhard; Schannwell, Clemens; Koch, Inka; Franke, Steven; Jansen, Daniela; Eisen, Olaf</t>
  </si>
  <si>
    <t>Predicting the steady-state isochronal stratigraphy of ice shelves using observations and modeling</t>
  </si>
  <si>
    <t>SURFACE MASS-BALANCE; NUMERICAL-MODEL; SIPLE DOME; LARSEN C; SHEET; FLOW; STABILITY; ACCUMULATION; ANTARCTICA; AGE</t>
  </si>
  <si>
    <t>Ice shelves surrounding the Antarctic perimeter moderate ice discharge towards the ocean through buttressing. Ice-shelf evolution and integrity depend on the local surface accumulation, basal melting and on the spatially variable ice-shelf viscosity. These components of ice-shelf mass balance are often poorly constrained by observations and introduce uncertainties in ice-sheet projections. Isochronal radar stratigraphy is an observational archive for the atmospheric, oceanographic and ice-flow history of ice shelves. Here, we predict the stratigraphy of locally accumulated ice on ice shelves with a kinematic forward model for a given atmospheric and oceanographic scenario. This delineates the boundary between local meteoric ice (LMI) and continental meteoric ice (CMI). A large LMI to CMI ratio hereby marks ice shelves whose buttressing strength is more sensitive to changes in atmospheric precipitation patterns. A mismatch between the steady-state predictions of the kinematic forward model and observations from radar can highlight inconsistencies in the atmospheric and oceanographic input data or be an indicator for a transient ice-shelf history not accounted for in the model. We discuss pitfalls in numerical diffusion when calculating the age field and validate the kinematic model with the full Stokes ice-flow model Elmer/Ice. The Roi Baudouin Ice Shelf (East Antarctica) serves as a test case for this approach. There, we find a significant east-west gradient in the LMI / CMI ratio. The steady-state predictions concur with observations on larger spatial scales (&gt; 10 km), but deviations on smaller scales are significant, e.g., because local surface accumulation patterns near the grounding zone are underestimated in Antarctic-wide estimates. Future studies can use these mismatches to optimize the input data or to pinpoint transient signatures in the ice-shelf history using the ever growing archive of radar observations of internal ice stratigraphy.</t>
  </si>
  <si>
    <t>[Visnjevic, Vjeran; Drews, Reinhard; Koch, Inka] Univ Tubingen, Dept Geosci, Tubingen, Germany; [Schannwell, Clemens] Max Planck Inst Meteorol, Int Max Planck Res Sch Earth Syst Modelling, Hamburg, Germany; [Franke, Steven; Jansen, Daniela; Eisen, Olaf] Alfred Wegener Inst, Helmholtz Ctr Polar &amp; Marine Res, Bremerhaven, Germany; [Eisen, Olaf] Univ Bremen, Dept Geosci, Bremen, Germany</t>
  </si>
  <si>
    <t>Eberhard Karls University of Tubingen; Max Planck Society; Helmholtz Association; Alfred Wegener Institute, Helmholtz Centre for Polar &amp; Marine Research; University of Bremen</t>
  </si>
  <si>
    <t>Visnjevic, V (corresponding author), Univ Tubingen, Dept Geosci, Tubingen, Germany.</t>
  </si>
  <si>
    <t>vjeran.visnjevic@uni-tuebingen.de</t>
  </si>
  <si>
    <t>Franke, Steven/ABB-6333-2020; Drews, reinhard/AAP-4134-2021</t>
  </si>
  <si>
    <t>Franke, Steven/0000-0001-8462-4379; Drews, reinhard/0000-0002-2328-294X; Koch, Inka/0000-0002-8801-7215; Schannwell, Clemens/0000-0002-6160-2107; Eisen, Olaf/0000-0002-6380-962X; Jansen, Daniela/0000-0002-4412-5820</t>
  </si>
  <si>
    <t>Emmy Noether Grant of the Deutsche Forschungsgemeinschaft [DR 822/3-1]; Deutsche Forschungsgemeinschaft (DFG) [SCHA 2139/1-1]; German Federal Ministry of Education and Research (BMBF); AWI Strategy fund; Helmholtz Young investigator group [HGF YIG VH-NG-802]</t>
  </si>
  <si>
    <t>Emmy Noether Grant of the Deutsche Forschungsgemeinschaft(German Research Foundation (DFG)); Deutsche Forschungsgemeinschaft (DFG)(German Research Foundation (DFG)); German Federal Ministry of Education and Research (BMBF)(Federal Ministry of Education &amp; Research (BMBF)); AWI Strategy fund; Helmholtz Young investigator group</t>
  </si>
  <si>
    <t>Vjeran Visnjevic, Reinhard Drews and Inka Koch were supported by an Emmy Noether Grant of the Deutsche Forschungsgemeinschaft (grant no. DR 822/3-1). Clemens Schannwell was partially supported by the Deutsche Forschungsgemeinschaft (DFG) in the framework of the priority program 1158 Antarctic Research with Comparative Investigations in Arctic Ice Areas (grant no. SCHA 2139/1-1). Clemens Schannwell also received partial support by the German Federal Ministry of Education and Research (BMBF) as a Research for Sustainability initiative 40 (FONA) initiative through the PalMod project. Steven Franke and Daniela Jansen were funded by the AWI Strategy fund and the Helmholtz Young investigator group (grant no. HGF YIG VH-NG-802).</t>
  </si>
  <si>
    <t>10.5194/tc-16-4763-2022</t>
  </si>
  <si>
    <t>6L2PX</t>
  </si>
  <si>
    <t>WOS:000888031400001</t>
  </si>
  <si>
    <t>Carlos, B</t>
  </si>
  <si>
    <t>Carlos, Banchon</t>
  </si>
  <si>
    <t>Antarctic granite rocks as wastewater surfactant degradation catalysts</t>
  </si>
  <si>
    <t>Fenton-like reaction; Sewage; Hydroxyl radical; Xenobiotics; South Shetland Islands</t>
  </si>
  <si>
    <t>PERSISTENT ORGANIC POLLUTANTS; ENTERIC BACTERIA; OXIDATION; CONTAMINATION; PERFORMANCE; STATION</t>
  </si>
  <si>
    <t>Antarctica seawater surrounding research stations has been impacted by antibiotics, formaldehydes, surfactants, heavy metals, sunscreen chemicals, and coliforms. The removal of surfactants from water is challenging since biological approaches are ineffective at mineralizing organic molecules. To evaluate the effectiveness of an advanced oxidation process (AOP) on the degradation of surfactants at the Pedro Vicente Maldonado research station of Ecuador, the performance of Antarctic granite rocks as catalysts and hydrogen peroxide (H2O2) as an oxidant was researched. Following the coagulation-flocculation process, the AOP reduced the concentration of surfactant by 90 %, from 19.50 mg/L to 0.97 mg/L. This short communication summarizes initial research on a low-cost wastewater treatment that could be used to degrade surfactants after coagulation-flocculation processes.</t>
  </si>
  <si>
    <t>[Carlos, Banchon] ESPAM MFL, Escuela Super Politecn Manabi, Environm Engn, Calceta 130602, Ecuador</t>
  </si>
  <si>
    <t>Carlos, B (corresponding author), ESPAM MFL, Escuela Super Politecn Manabi, Environm Engn, Calceta 130602, Ecuador.</t>
  </si>
  <si>
    <t>carlos.banchon@espam.edu.ec</t>
  </si>
  <si>
    <t>Banchon, Carlos/G-5287-2019</t>
  </si>
  <si>
    <t>Banchon, Carlos/0000-0002-0388-1988</t>
  </si>
  <si>
    <t>Ecuadorian Antarctic Research Expedition XXII</t>
  </si>
  <si>
    <t>The Ecuadorian Antarctic Research Expedition XXII provided funding for this work. The significant logistical assistance provided by Miguel Gualoto, Monica Riofro, Andrea Vera, and INOCAR (Instituto Oceanografico y Antartico de la Armada de Ecuador) was greatly appreciated.</t>
  </si>
  <si>
    <t>10.1016/j.marpolbul.2022.114356</t>
  </si>
  <si>
    <t>6Q7EB</t>
  </si>
  <si>
    <t>WOS:000891772700008</t>
  </si>
  <si>
    <t>Lasch, KG; Tosh, CA; Bester, MN; Bruyn, PJND</t>
  </si>
  <si>
    <t>Lasch, Kiara G.; Tosh, Cheryl A.; Bester, Marthan N.; Bruyn, P. J. Nico de</t>
  </si>
  <si>
    <t>The ontogeny of at-sea behaviour in male southern elephant seals (Mirounga leonina) at Marion Island</t>
  </si>
  <si>
    <t>JOURNAL OF EXPERIMENTAL MARINE BIOLOGY AND ECOLOGY</t>
  </si>
  <si>
    <t>Male southern elephant seals; Behaviour; Diving; Marion Island</t>
  </si>
  <si>
    <t>FORAGING STRATEGIES; DIVING BEHAVIOR; BODY CONDITION; ORCINUS-ORCA; SEGREGATION; AGE; MOVEMENT; DURATION; ECOLOGY; HABITAT</t>
  </si>
  <si>
    <t>Megafauna, such as southern elephant seals (SESs) (Mirounga leonina, Linn.), forage in diverse, seemingly lim-itless habitats. In pelagic settings, their behaviour is more likely to be limited by physiological ability and prey distribution, than physical barriers. For elephant seals, their rapid growth in body size corresponds to changing physiological abilities. These changes are most pronounced for male elephant seals. While most studies have compared male and female SESs in terms of changing body size and physiological ability, few studies have compared the influence of changing body size on behaviour of male SESs from the same population using long term satellite tracking data. We describe age-related differences in movement and diving behaviour for male SESs from Marion Island. We analysed satellite tracking data collected from 23 male SESs seals fitted with Sea Mammal Research Unit Satellite Relay Data Loggers at Marion Island between 2005 and 2011. Each dive was assigned a behavioural mode, either 'searching' or 'transit', using state-space modelling. We used mixed-effects models to quantify the influence of age and behavioural mode on dive duration, surface duration, dive depth and number of daily dives. Younger seals travelled significantly further from Marion Island and spent most of their dives in transit mode, whereas older seals stayed closer to the island but were in searching mode for most of their tracks. When searching, older seals dived more frequently, displayed longer dive and surface durations, and reached greater depths than younger seals. These differences in diving behaviour seem to reflect changing physiological ability. For male SESs, changes in physiological ability necessitate behavioural plasticity, which may be the key to survival and future breeding success. Robust males are more likely to breed and must therefore, maintain their body size by adapting to local oceanic conditions.</t>
  </si>
  <si>
    <t>[Lasch, Kiara G.; Bester, Marthan N.; Bruyn, P. J. Nico de] Univ Pretoria, Mammal Res Inst, Dept Zool &amp; Entomol, Private Bag X20, ZA-0028 Hatfield, South Africa; [Tosh, Cheryl A.] Univ Pretoria, Fac Hlth Sci, Res Off, ZA-0002 Pretoria, South Africa</t>
  </si>
  <si>
    <t>University of Pretoria; University of Pretoria</t>
  </si>
  <si>
    <t>Lasch, KG (corresponding author), Univ Pretoria, Mammal Res Inst, Dept Zool &amp; Entomol, Private Bag X20, ZA-0028 Hatfield, South Africa.</t>
  </si>
  <si>
    <t>u18087371@tuks.co.za; cheryl.tosh@up.ac.za; mnbester@zoology.up.ac.za; pjndebruyn@zoology.up.ac.za</t>
  </si>
  <si>
    <t>de Bruyn, P. J. Nico/E-4176-2010</t>
  </si>
  <si>
    <t>de Bruyn, P. J. Nico/0000-0002-9114-9569</t>
  </si>
  <si>
    <t>Alfred Wegener Institute for Polar and Marine Research (Germany); Department of Science and Innovation through the National Research Foundation (South Africa); Department of Forestry, Fish-eries and the Environment via the South African National Antarctic Programme; Australian Antarctic Division and Hubbs-SeaWorld Research Institute; University of Pretoria, Pretoria, South Africa</t>
  </si>
  <si>
    <t>The Alfred Wegener Institute for Polar and Marine Research (Germany) , the Department of Science and Innovation through the National Research Foundation (South Africa) , the Department of Forestry, Fish-eries and the Environment via the South African National Antarctic Programme, the Australian Antarctic Division and Hubbs-SeaWorld Research Institute provided financial, material, and/or logistical sup-port. The ArcGIS software was funded by the University of Pretoria, Pretoria, South Africa.</t>
  </si>
  <si>
    <t>0022-0981</t>
  </si>
  <si>
    <t>1879-1697</t>
  </si>
  <si>
    <t>J EXP MAR BIOL ECOL</t>
  </si>
  <si>
    <t>J. Exp. Mar. Biol. Ecol.</t>
  </si>
  <si>
    <t>10.1016/j.jembe.2022.151833</t>
  </si>
  <si>
    <t>6Q7BG</t>
  </si>
  <si>
    <t>WOS:000891765100002</t>
  </si>
  <si>
    <t>Zhong, CY; Chen, P; Zhang, ZH; Sun, M; Xie, CS</t>
  </si>
  <si>
    <t>Zhong, Chunyi; Chen, Peng; Zhang, Zhenhua; Sun, Miao; Xie, Congshuang</t>
  </si>
  <si>
    <t>CPUE retrieval from spaceborne lidar data: A case study in the Atlantic bigeye tuna fishing area and Antarctica fishing area</t>
  </si>
  <si>
    <t>CPUE; Lidar; MODIS; CALIPSO; Atlantic bigeye tuna; Antarctica krill; spatiotemporal distribution</t>
  </si>
  <si>
    <t>KRILL EUPHAUSIA-SUPERBA; SEA-SURFACE TEMPERATURE; ARTIFICIAL NEURAL-NETWORKS; SUPPORT VECTOR MACHINES; EASTERN PACIFIC-OCEAN; BLUEFIN TUNA; UNIT-EFFORT; CATCH RATES; STANDARDIZING CATCH; VERTICAL MOVEMENTS</t>
  </si>
  <si>
    <t>The measurement of Catch Per Unit Effort (CPUE) supports the assessment of status and trends by managers. This proportion of total catch to the harvesting effort estimates the abundance of fishery resources. Marine environmental data obtained by satellite remote sensing are essential in fishing efficiency estimation or CPUE standardization. Currently, remote sensing chlorophyll data used for fisheries resource assessment are mainly from passive ocean color remote sensing. However, high-resolution data are not available at night or in high-latitude areas such as polar regions due to insufficient solar light, clouds, and other factors. In this paper, a CPUE inversion method based on spaceborne lidar data is proposed, which is still feasible for polar regions and at nighttime. First, Atlantic bigeye tuna CPUE was modeled using Cloud aerosol lidar and infrared pathfinder satellite observations (CALIPSO) lidar-retrieved chlorophyll data in combination with sea surface temperature data. The Generalized Linear Model (GLM), Artificial Neural Network (ANN) and Support Vector Machine Methods (SVM) were used for modeling, and the three methods were compared and validated. The results showed that the correlation between predicted CPUE and nominal CPUE was higher for the ANN method, with an R-2 of 0.34, while the R-2 was 0.08 and 0.22 for GLM and SVM, respectively. Then, chlorophyll data in the polar regions were derived using CALIPSO diurnal data, and an ANN was used for Antarctic krill. The inversion result performed well, and it showed that the R-2 of the predicted CPUE to nominal CPUE was 0.92. Preliminary results suggest that (1) nighttime measurements can increase the understanding of the diurnal variability of the upper ocean; (2) CALIPSO measurements in polar regions fill the gap of passive measurements; and (3) comparison with field data shows that ANN-based lidar products perform well, and a neural network approach based on CALIPSO lidar data can be used to simulate CPUE inversions in polar regions.</t>
  </si>
  <si>
    <t>[Zhong, Chunyi] Shanghai Ocean Univ, Coll Marine Sci, Shanghai, Peoples R China; [Zhong, Chunyi; Chen, Peng; Zhang, Zhenhua; Sun, Miao; Xie, Congshuang] Minist Nat Resources, Inst Oceanog 2, State Key Lab Satellite Ocean Environm Dynam, Hangzhou, Peoples R China; [Chen, Peng; Zhang, Zhenhua; Sun, Miao; Xie, Congshuang] Southern Marine Sci &amp; Engn Guangdong Lab Guangzhou, Guangzhou, Peoples R China</t>
  </si>
  <si>
    <t>Shanghai Ocean University; Ministry of Natural Resources of the People's Republic of China; Southern Marine Science &amp; Engineering Guangdong Laboratory; Southern Marine Science &amp; Engineering Guangdong Laboratory (Guangzhou)</t>
  </si>
  <si>
    <t>Chen, P (corresponding author), Minist Nat Resources, Inst Oceanog 2, State Key Lab Satellite Ocean Environm Dynam, Hangzhou, Peoples R China.;Chen, P (corresponding author), Southern Marine Sci &amp; Engn Guangdong Lab Guangzhou, Guangzhou, Peoples R China.</t>
  </si>
  <si>
    <t>chenp@sio.org.cn</t>
  </si>
  <si>
    <t>CHEN, Peng/AAV-4065-2021; Zhang, Zhenhua/GSE-4691-2022; zhong, chun/JEZ-8722-2023; Sun, Miao/A-6128-2018; CHEN, Peng/GSD-2999-2022</t>
  </si>
  <si>
    <t>CHEN, Peng/0000-0002-0635-9220; Zhang, Zhenhua/0000-0001-9818-5346; CHEN, Peng/0000-0002-0635-9220</t>
  </si>
  <si>
    <t>Key Special Project for Introduced Talents Team of Southern Marine Science and Engineering Guangdong Laboratory [GML2019ZD0602]; National Natural Science Foundation [41901305, 61991453]; Zhejiang Natural Science Foundation [LQ19D060003]; Scientific Research Fund of the Second Institute of Oceanography, Ministry of Natural Resources [QNYC1803]</t>
  </si>
  <si>
    <t>Key Special Project for Introduced Talents Team of Southern Marine Science and Engineering Guangdong Laboratory; National Natural Science Foundation(National Natural Science Foundation of China (NSFC)); Zhejiang Natural Science Foundation(Natural Science Foundation of Zhejiang Province); Scientific Research Fund of the Second Institute of Oceanography, Ministry of Natural Resources</t>
  </si>
  <si>
    <t>This research was funded by the Key Special Project for Introduced Talents Team of Southern Marine Science and Engineering Guangdong Laboratory (GML2019ZD0602), the National Natural Science Foundation (41901305; 61991453), and the Zhejiang Natural Science Foundation (LQ19D060003), the Scientific Research Fund of the Second Institute of Oceanography, Ministry of Natural Resources (QNYC1803).</t>
  </si>
  <si>
    <t>NOV 22</t>
  </si>
  <si>
    <t>10.3389/fmars.2022.1009620</t>
  </si>
  <si>
    <t>6T9BH</t>
  </si>
  <si>
    <t>WOS:000893967900001</t>
  </si>
  <si>
    <t>Liu, K; Wang, CM; Hou, SG; Wu, SY; Pang, HX; Zhang, WB; Wang, YT; Schwikowski, M; Jenk, TM; Zou, X; Yu, JH; An, CL; Song, J</t>
  </si>
  <si>
    <t>Liu, Ke; Wang, Chaomin; Hou, Shugui; Wu, Shuang-Ye; Pang, Hongxi; Zhang, Wangbin; Wang, Yetang; Schwikowski, Margit; Jenk, Theo M.; Zou, Xiang; Yu, Jinhai; An, Chunlei; Song, Jing</t>
  </si>
  <si>
    <t>A high-resolution refractory black carbon (rBC) record since 1932 deduced from the Chongce ice core, Tibetan plateau</t>
  </si>
  <si>
    <t>ATMOSPHERIC ENVIRONMENT</t>
  </si>
  <si>
    <t>Refractory black carbon; Ice core; Chongce; Tibetan plateau</t>
  </si>
  <si>
    <t>EMISSIONS; SOOT; VARIABILITY; INCREASES; TRANSPORT; WILDFIRES; MILLENNIA; PROGRESS; FOREST; CHINA</t>
  </si>
  <si>
    <t>Refractory Black carbon (rBC) emitted from the combustion of biomass and fossil fuels plays an important role in the climate system. In this study, we established a record of the rBC concentration spanning 1932-2013 from an ice core retrieved from the Chongce ice cap of the West Kunlun Mountains in the western Tibetan Plateau. The record showed an increasing trend since the 1980s. The mean concentration of rBC was 2.66 ng g-1 before 1980 and 5.33 ng g-1 since 1980. The significant increase since the 1980s was very different from similar records from European ice cores. An analysis of atmospheric circulation and backward trajectories suggested that former USSR, the Middle East, and South Asia were the most likely source regions for the rBC deposited at the Chongce ice cap. This conclusion was also supported by the historical emission data in these regions. Phase analysis indicated that high rBC concentrations were closely associated with drought-induced biomass burning in the rBC source regions at the decadal timescale. These findings suggested that anthropogenic emissions controlled the long-term rBC trend, while the peak phases were caused from an increase of biomass burning.</t>
  </si>
  <si>
    <t>[Liu, Ke; Hou, Shugui] Shanghai Jiao Tong Univ, Sch Oceanog, Shanghai 200240, Peoples R China; [Wang, Chaomin] Sch Tourism &amp; Culture, Guangdong Ecoengn Polytech, Guangzhou 511443, Peoples R China; [Wu, Shuang-Ye] Univ Dayton, Dept Geol &amp; Environm Geosci, Dayton, OH 45469 USA; [Pang, Hongxi; Zhang, Wangbin; Zou, Xiang; Yu, Jinhai; Song, Jing] Nanjing Univ, Sch Geog &amp; Ocean Sci, Key Lab Coast &amp; Isl Dev, Minist Educ, Nanjing 210023, Peoples R China; [Wang, Yetang] Shandong Normal Univ, Coll Geog &amp; Environm, Jinan 250014, Peoples R China; [Schwikowski, Margit; Jenk, Theo M.] Paul Scherrer Inst, Lab Environm Chem, CH-5232 Villigen, Switzerland; [Schwikowski, Margit] Univ Bern, Oeschger Ctr Climate Change Res, CH-3012 Bern, Switzerland; [An, Chunlei] Polar Res Inst China, MNR Key Lab Polar Sci, Shanghai 200136, Peoples R China</t>
  </si>
  <si>
    <t>Shanghai Jiao Tong University; University System of Ohio; University of Dayton; Nanjing University; Shandong Normal University; Swiss Federal Institutes of Technology Domain; Paul Scherrer Institute; University of Bern; Polar Research Institute of China</t>
  </si>
  <si>
    <t>Hou, SG (corresponding author), Shanghai Jiao Tong Univ, Sch Oceanog, Shanghai 200240, Peoples R China.</t>
  </si>
  <si>
    <t>shuguihou@sjtu.edu.cn</t>
  </si>
  <si>
    <t>Jenk, Theo M/D-5777-2017</t>
  </si>
  <si>
    <t>Hou, Shugui/0000-0002-0905-3542</t>
  </si>
  <si>
    <t>National Natural Science Foundation of China, China [41830644, 42106216, 41771031, 42001050, 42021001]; Chinese Arctic and Antarctic Administration, China [CXPT2020012]; 333 Project of Jiangsu Province, China [BRA2020030]</t>
  </si>
  <si>
    <t>National Natural Science Foundation of China, China(National Natural Science Foundation of China (NSFC)); Chinese Arctic and Antarctic Administration, China; 333 Project of Jiangsu Province, China</t>
  </si>
  <si>
    <t>This research was supported by the National Natural Science Foundation of China, China (41830644, 42106216, 41771031, 42001050, 42021001), Chinese Arctic and Antarctic Administration, China (CXPT2020012), and the 333 Project of Jiangsu Province, China (BRA2020030). The authors gratefully acknowledge the contribution by the field scientific team and supporting staff in Nanjing University and Chinese Academy of Sciences, China and Dimitri Osmont from PSI, Switzerland for conducting the rBC analyse. The SRTM 90 m DEM digital elevation database is available at: http://srtm.csi.cgiar.org/.The backtrajectory data is available at: ftp://arlftp.arlhq.noaa.gov/pub/ar chives/reanalysis. The MODIS fire products is available at: https://modis-fire.umd.edu/.The Monsoon Asia Drought Atlas (MADA) data is available at: http://drought.memphis.edu/.The data of annually precipitation in the northwest of India is available at: https://www.tropmet.res.in/.</t>
  </si>
  <si>
    <t>1352-2310</t>
  </si>
  <si>
    <t>1873-2844</t>
  </si>
  <si>
    <t>ATMOS ENVIRON</t>
  </si>
  <si>
    <t>Atmos. Environ.</t>
  </si>
  <si>
    <t>10.1016/j.atmosenv.2022.119480</t>
  </si>
  <si>
    <t>6P0RA</t>
  </si>
  <si>
    <t>WOS:000890642300001</t>
  </si>
  <si>
    <t>Vimercati, L; de Mesquita, CPB; Johnson, BW; Mineart, D; DeForce, E; Molano, YV; Ducklow, H; Schmidt, SK</t>
  </si>
  <si>
    <t>Vimercati, Lara; Bueno de Mesquita, Clifton P.; Johnson, Ben W.; Mineart, Dana; DeForce, Emelia; Vimercati Molano, Ylenia; Ducklow, Hugh; Schmidt, Steven K.</t>
  </si>
  <si>
    <t>Dynamic trophic shifts in bacterial and eukaryotic communities during the first 30 years of microbial succession following retreat of an Antarctic glacier</t>
  </si>
  <si>
    <t>Antarctic Peninsula; Cercozoa; community-assembly mechanisms; eukaryotic primary producers; glacier chronosequence; microbial succession; network analysis</t>
  </si>
  <si>
    <t>HIGH ARCTIC GLACIER; FUNGAL COMMUNITIES; ASSEMBLY PROCESSES; SOIL; ECOSYSTEM; CHRONOSEQUENCE; FOREFIELD; FORELAND; PATTERNS; SEA</t>
  </si>
  <si>
    <t>We examined microbial succession along a glacier forefront in the Antarctic Peninsula representing similar to 30 years of deglaciation to contrast bacterial and eukaryotic successional dynamics and abiotic drivers of community assembly using sequencing and soil properties. Microbial communities changed most rapidly early along the chronosequence, and co-occurrence network analysis showed the most complex topology at the earliest stage. Initial microbial communities were dominated by microorganisms derived from the glacial environment, whereas later stages hosted a mixed community of taxa associated with soils. Eukaryotes became increasingly dominated by Cercozoa, particularly Vampyrellidae, indicating a previously unappreciated role for cercozoan predators during early stages of primary succession. Chlorophytes and Charophytes (rather than cyanobacteria) were the dominant primary producers and there was a spatio-temporal sequence in which major groups became abundant succeeding from simple ice Chlorophytes to Ochrophytes and Bryophytes. Time since deglaciation and pH were the main abiotic drivers structuring both bacterial and eukaryotic communities. Determinism was the dominant assembly mechanism for Bacteria, while the balance between stochastic/deterministic processes in eukaryotes varied along the distance from the glacier front. This study provides new insights into the unexpected dynamic changes and interactions across multiple trophic groups during primary succession in a rapidly changing polar ecosystem. This manuscript describes the dynamic trophic shifts in Bacteria and Eukarya occurring in the first 30 years following the retreat of a glacier in the Antarctic Peninsula.</t>
  </si>
  <si>
    <t>[Vimercati, Lara; Vimercati Molano, Ylenia; Schmidt, Steven K.] Univ Colorado Boulder, Dept Ecol &amp; Evolutionary Biol, UCB 334, 1900 Pleasant St, Boulder, CO 80309 USA; [Bueno de Mesquita, Clifton P.] Lawrence Berkeley Natl Lab, DOE Joint Genome Inst, 1 Cyclotron Rd, Berkeley, CA 94720 USA; [Johnson, Ben W.; Mineart, Dana] Dept Geol &amp; Atmospher Sci, 253 Sci Hall, 2237 Osborn Dr, Ames, IA 50011 USA; [DeForce, Emelia] Scripps Inst Oceanog, Integrat Oceanog Div, 9500 Gilman Dr, La Jolla, CA 92093 USA; [Ducklow, Hugh] Lamont Doherty Earth Observ, POB 1000, 61 Route 9W, Palisades, NY 10964 USA</t>
  </si>
  <si>
    <t>University of Colorado System; University of Colorado Boulder; United States Department of Energy (DOE); Lawrence Berkeley National Laboratory; University of California System; University of California San Diego; Scripps Institution of Oceanography; Columbia University</t>
  </si>
  <si>
    <t>Vimercati, L (corresponding author), Univ Colorado Boulder, Dept Ecol &amp; Evolutionary Biol, UCB 334, 1900 Pleasant St, Boulder, CO 80309 USA.</t>
  </si>
  <si>
    <t>lara.vimercati@colorado.edu</t>
  </si>
  <si>
    <t>Bueno de Mesquita, Clifton/AAA-6180-2019; Johnson, Benjamin/ABG-3416-2021; SCHMIDT, STEVEN K/G-2771-2010</t>
  </si>
  <si>
    <t>Bueno de Mesquita, Clifton/0000-0002-2565-7100; Johnson, Benjamin/0000-0001-6925-3223; SCHMIDT, STEVEN K/0000-0002-9175-2085; Vimercati, Lara/0000-0001-8228-7786</t>
  </si>
  <si>
    <t>NSF [1443578]; Palmer Antarctica Long Term Ecological Research project under the NSF [0823101]; Directorate For Geosciences; Office of Polar Programs (OPP) [1443578] Funding Source: National Science Foundation</t>
  </si>
  <si>
    <t>NSF(National Science Foundation (NSF)); Palmer Antarctica Long Term Ecological Research project under the NSF; Directorate For Geosciences; Office of Polar Programs (OPP)(National Science Foundation (NSF)NSF - Directorate for Geosciences (GEO))</t>
  </si>
  <si>
    <t>We thank personnel at the Palmer Station for their assistance in sample collection, and administrative and logistical support. We thank Jeff Moss for his assistance in sample collection during the 2012-2013 field season and Marissa Goerke for providing imaging data on the glacier terminus. Funding for sample sequencing was provided by the NSF grant 1443578. Lab space and scientific assistance at the Palmer Station were supported by the Palmer Antarctica Long Term Ecological Research project under the NSF Award 0823101 to H.W.D. at the Marine Biological Laboratory.</t>
  </si>
  <si>
    <t>fiac122</t>
  </si>
  <si>
    <t>10.1093/femsec/fiac122</t>
  </si>
  <si>
    <t>6R5JV</t>
  </si>
  <si>
    <t>WOS:000892340200001</t>
  </si>
  <si>
    <t>Lei, Y; Gardner, AS; Agram, P</t>
  </si>
  <si>
    <t>Lei, Yang; Gardner, Alex S.; Agram, Piyush</t>
  </si>
  <si>
    <t>Processing methodology for the ITS_LIVE Sentinel-1 icevelocity products</t>
  </si>
  <si>
    <t>GREENLAND ICE-SHEET; RADAR INTERFEROMETRY; IONOSPHERIC CORRECTION; GLACIER MOTION; TIME-SERIES; VELOCITY; FLOW; DYNAMICS; TRACKING; WIDE</t>
  </si>
  <si>
    <t>The NASA MEaSUREs Inter-mission Time Series of Land Ice Velocity and Elevation (ITS_LIVE) project seeks to accelerate understanding of critical glaciers and ice sheet processes by providing researchers with global, low-latency, comprehensive and state of the art records of surface velocities and elevations as observed from space. Here we describe the image-pair ice velocity product and processing methodology for ESA Sentinel-1 radar data. We demonstrate improvements to the core processing algorithm for dense offset tracking, autoRIFT , that provide finer resolution (120 m instead of the previous 240 m used for version 1) and higher accuracy (20 % to 50 % improvement) data products with significantly enhanced computational efficiency (&gt; 2 orders of magnitude) when compared to earlier versions and the state of the art dense ampcor  routine in the JPL ISCE software. In particular, the disparity filter is upgraded for handling finer grid resolution with overlapping search chip sizes, and the oversampling ratio in the subpixel cross-correlation estimation is adaptively determined for Sentinel-1 data by matching the precision of the measured displacement based on the search chip size used. A novel calibration is applied to the data to correct for Sentinel-1A/B subswath and full-swath dependent geolocation biases caused by systematic issues with the instruments. Sentinel-1 C-band images are affected by variations in the total electron content of the ionosphere that results in large velocity errors in the azimuth (along-track) direction. To reduce these effects, slant range (line of sight or LOS) velocities are used and accompanied by LOS parameters that support map coordinate (x/y) velocity inversion from ascending and descending slant range offset measurements, as derived from two image pairs. After the proposed correction of ionosphere errors, the uncertainties in velocities are reduced by 9 %-61 %. We further validate the ITS_LIVE Version 2 Sentinel-1 image-pair products, with 6-year time series composed of thousands of epochs, over three typical test sites covering the globe: the Jakobshavn Isbr &amp; UAELIG; Glacier of Greenland, Pine Island Glacier of the Antarctic, and Malaspina Glacier of Alaska. By comparing with other similar products (PROMICE, FAU, and MEaSUREs Annual Antarctic Ice Velocity Map products), as well as other ITS_LIVE version 2 products from Landsat-8 and Sentinel-2 data, we find an overall variation between products around 100 m yr-1 over fast-flowing glacier outlets, where both mean velocity and variation are on the order of km yr-1, and increases up to 300-500 m yr-1 (3 %-6 %) for the fastest Jakobshavn Isbr &amp; UAELIG; Glacier. The velocity magnitude uncertainty of the ITS_LIVE Sentinel-1 products is calculated to be uniformly distributed around 60 m yr-1 for the three test regions investigated. The described product and methods comprise the MEaSUREs ITS_LIVE Sentinel-1 Image-Pair Glacier and Ice Sheet Surface Velocities: version 2 (DOI: , Lei et al., 2022).</t>
  </si>
  <si>
    <t>[Lei, Yang; Agram, Piyush] CALTECH, Div Geol &amp; Planetary Sci, Pasadena, CA 91125 USA; [Gardner, Alex S.] CALTECH, Jet Prop Lab, Pasadena, CA 91109 USA</t>
  </si>
  <si>
    <t>California Institute of Technology; California Institute of Technology; National Aeronautics &amp; Space Administration (NASA); NASA Jet Propulsion Laboratory (JPL)</t>
  </si>
  <si>
    <t>Lei, Y (corresponding author), CALTECH, Div Geol &amp; Planetary Sci, Pasadena, CA 91125 USA.</t>
  </si>
  <si>
    <t>ylei@caltech.edu</t>
  </si>
  <si>
    <t>Lei, Yang/0000-0002-8377-1980</t>
  </si>
  <si>
    <t>NASA MEaSUREs program; NASA NISAR Science Team; California Institute of Technology; National Aeronautics and Space Administration</t>
  </si>
  <si>
    <t>NASA MEaSUREs program; NASA NISAR Science Team; California Institute of Technology; National Aeronautics and Space Administration(National Aeronautics &amp; Space Administration (NASA))</t>
  </si>
  <si>
    <t>This effort was funded by the NASA MEaSUREs program in contribution to the Inter-Mission Time Series of Land Ice Velocity and Elevation (ITS_LIVE) project (https://its-live.jpl.nasa.gov/, last access: 1 March 2022) and through Alex Gardner's participation in the NASA NISAR Science Team. Research conducted at the Jet Propulsion Laboratory, California Institute of Technology under contract with the National Aeronautics and Space Administration.</t>
  </si>
  <si>
    <t>10.5194/essd-14-5111-2022</t>
  </si>
  <si>
    <t>6O1KY</t>
  </si>
  <si>
    <t>WOS:000890005600001</t>
  </si>
  <si>
    <t>Liu, XYP; Duffy, GA; Pearman, WS; Pertierra, LR; Fraser, CI</t>
  </si>
  <si>
    <t>Liu, Xiaoyue P. P.; Duffy, Grant A. A.; Pearman, William S. S.; Pertierra, Luis R. R.; Fraser, Ceridwen I. I.</t>
  </si>
  <si>
    <t>Meta-analysis of Antarctic phylogeography reveals strong sampling bias and critical knowledge gaps</t>
  </si>
  <si>
    <t>biogeography; genetic diversity; macrogenetics; molecular ecology; phylogeography; polar; Southern Hemisphere; spatial ecology</t>
  </si>
  <si>
    <t>LONG-DISTANCE DISPERSAL; GENETIC DIVERSITY; POPULATION-GENETICS; TERRESTRIAL; CONSERVATION; MOSS; BIOGEOGRAPHY; PHYLOGENIES; CHALLENGES; PATTERNS</t>
  </si>
  <si>
    <t>Much of Antarctica's highly endemic terrestrial biodiversity is found in small ice-free patches. Substantial genetic differentiation has been detected among populations across spatial scales. Sampling is, however, often restricted to commonly-accessed sites and we therefore lack a comprehensive understanding of broad-scale biogeographic patterns, which could impede forecasts of the nature and impacts of future change. Here, we present a synthesis of published genetic studies across terrestrial Antarctica and the broader Antarctic region, aiming to identify current biogeographic patterns, environmental drivers of diversity and future research priorities. A database of all published genetic research from terrestrial fauna and flora (excl. microbes) across the Antarctic region was constructed. This database was then filtered to focus on the most well-represented taxa and markers (mitochondrial COI for fauna, and nuclear ITS for flora). The final dataset comprised 7222 records, spanning 153 studies of 335 different species. There was strong taxonomic bias towards flowering plants (52% of all floral data sets) and springtails (54% of all faunal data sets), and geographic bias towards the Antarctic Peninsula and Victoria Land. Recent connectivity between the Antarctic continent and neighbouring landmasses, such as South America and the Southern Ocean Islands (SOIs), was inferred for some groups, but patterns observed for most taxa were strongly influenced by sampling biases. Above-ground wind speed and habitat heterogeneity were positively correlated with genetic diversity indices overall though environment was a generally poor predictor of genetic diversity. The low resolution and variable coverage of data may also have reduced the power of our comparative inferences. In the future, higher-resolution data, such as genomic SNPs and environmental modelling, alongside targeting sampling of remote sites and under sampled taxa, will address current knowledge gaps and greatly advance our understanding of evolutionary processes across the Antarctic region.</t>
  </si>
  <si>
    <t>[Liu, Xiaoyue P. P.; Duffy, Grant A. A.; Pearman, William S. S.; Fraser, Ceridwen I. I.] Univ Otago, Dept Marine Sci, Dunedin, New Zealand; [Fraser, Ceridwen I. I.] Univ Pretoria, Dept Plant &amp; Soil Sci, Pretoria, South Africa</t>
  </si>
  <si>
    <t>University of Otago; University of Pretoria</t>
  </si>
  <si>
    <t>Liu, XYP (corresponding author), Univ Otago, Dept Marine Sci, Dunedin, New Zealand.</t>
  </si>
  <si>
    <t>liu.pluto@outlook.com</t>
  </si>
  <si>
    <t>Pertierra, Luis R./K-3727-2017</t>
  </si>
  <si>
    <t>Pertierra, Luis R./0000-0002-2232-428X; Liu, Xiaoyue/0000-0002-1625-1053; Fraser, Ceridwen/0000-0002-6918-8959</t>
  </si>
  <si>
    <t>New Zealand Antarctic Science Platform [MBIE ANTA1801]; Royal Society of New Zealand Rutherford Discovery Fellowship [RDF-UOO1803]; Royal Society of New Zealand Te Aparangi Marsden Fund grant [MFP-20-UOO-173]; Biodiversa ASICS</t>
  </si>
  <si>
    <t>New Zealand Antarctic Science Platform; Royal Society of New Zealand Rutherford Discovery Fellowship(Royal Society of New Zealand); Royal Society of New Zealand Te Aparangi Marsden Fund grant(Royal Society of New Zealand); Biodiversa ASICS</t>
  </si>
  <si>
    <t>This work was supported by the New Zealand Antarctic Science Platform (grant no. MBIE ANTA1801) and a Royal Society of New Zealand Rutherford Discovery Fellowship (grant no. RDF-UOO1803) to CIF, via an Honours scholarship to XPL. GAD and CIF were supported by a Royal Society of New Zealand Te Aparangi Marsden Fund grant (grant no. MFP-20-UOO-173). LRP was supported by Biodiversa ASICS funding (EU-Biodiversa ASICS project).</t>
  </si>
  <si>
    <t>10.1111/ecog.06312</t>
  </si>
  <si>
    <t>7Z0LN</t>
  </si>
  <si>
    <t>WOS:000888159900001</t>
  </si>
  <si>
    <t>Roura, RM</t>
  </si>
  <si>
    <t>Roura, Ricardo M. M.</t>
  </si>
  <si>
    <t>Spatial protection tools as indicators of the 'health' of the Antarctic Treaty system</t>
  </si>
  <si>
    <t>GEOGRAPHICAL JOURNAL</t>
  </si>
  <si>
    <t>Antarctic Environmental Protocol; Antarctic geopolitics; Antarctic Protected Areas; Antarctic Treaty System; CCAMLR marine protected areas; consensus decision-making</t>
  </si>
  <si>
    <t>SOUTHERN-OCEAN; AREAS; CCAMLR; GEOPOLITICS</t>
  </si>
  <si>
    <t>What do ongoing discussions about Antarctic spatial protection tools tell us about the 'health' or overall condition of the Antarctic Treaty system 60 years after its entry into force? The Antarctic Treaty (1959, in force 1961) resulted from the alignment of common international interests (e.g., maintenance of peace, freedom of scientific investigation) with the national interests of original signatory states (e.g., 'freezing' of diverging positions on territorial claims). Later instruments adopted by Antarctic Treaty states replicated this scheme and allowed agreement on, among other issues, environmental protection, and marine ecosystem conservation. This paper draws on an examination of the series of spatial protection tools in force established by the main Antarctic Treaty system bodies, and observations conducted in annual decision-making meetings. Issues of conflict emerge as the size, complexity, and conservation ambitions of spatial protection tools increase, resulting in a weakening of the proposals and lack of consensus. This paper argues that establishing spatial protection tools reflects an intent by Antarctic Treaty states to engage with the Antarctic Treaty system for the longer term; however, the establishment trajectory of spatial protection tools is sensitive to resource interests and broader Antarctic geopolitics. Ongoing difficulties of Antarctic Treaty fora to reach consensus on the spatial protection tools they agreed to establish - and on other important issues - bring into question the current effectiveness of the Antarctic Treaty system. The path to recovery requires Antarctic Treaty states to negotiate in good faith with a view to finding consensus, while upholding the environmental objectives of Antarctic Treaty system instruments.</t>
  </si>
  <si>
    <t>[Roura, Ricardo M. M.] Antarctic &amp; Southern Ocean Coalit ASOC, Amsterdam, Netherlands</t>
  </si>
  <si>
    <t>Roura, RM (corresponding author), Antarctic &amp; Southern Ocean Coalit ASOC, Amsterdam, Netherlands.</t>
  </si>
  <si>
    <t>ricardo.roura@asoc.org</t>
  </si>
  <si>
    <t>Roura, Ricardo/0000-0001-5939-0451</t>
  </si>
  <si>
    <t>0016-7398</t>
  </si>
  <si>
    <t>1475-4959</t>
  </si>
  <si>
    <t>GEOGR J</t>
  </si>
  <si>
    <t>Geogr. J.</t>
  </si>
  <si>
    <t>10.1111/geoj.12482</t>
  </si>
  <si>
    <t>Geography</t>
  </si>
  <si>
    <t>9A6IV</t>
  </si>
  <si>
    <t>WOS:000887985700001</t>
  </si>
  <si>
    <t>Li, YF; Wang, JS; Zhu, XP; Tan, LJ; Xie, D; Xu, WJ; Gui, YL; Zhao, Y; Wang, JJ</t>
  </si>
  <si>
    <t>Li, Yufeng; Wang, Jinsong; Zhu, Xiping; Tan, Lijun; Xie, Dan; Xu, Wenjing; Gui, Yunlei; Zhao, Yong; Wang, Jing Jing</t>
  </si>
  <si>
    <t>Basic electrolyzed water coupled with ultrasonic treatment improves the functional properties and digestibility of Antarctic krill proteins</t>
  </si>
  <si>
    <t>FOOD RESEARCH INTERNATIONAL</t>
  </si>
  <si>
    <t>Ultrasonic; Physicochemical properties; Amino acid composition; Solubility; Digestibility</t>
  </si>
  <si>
    <t>HIGH-INTENSITY ULTRASOUND; FOAMING PROPERTIES; DAMAGE; HYDROPHOBICITY; EMULSIFICATION; GENERATION; SONICATION; GELATION; ALBUMIN</t>
  </si>
  <si>
    <t>This study firstly constructed a new method of basic electrolyzed water coupled with ultrasonic (USBEW) to creatively modify the Antarctic krill proteins (AKPs), and its effects on amino acid composition, structural and functional properties, as well as in vitro digestibility of AKPs were evaluated. Results showed that BEW inhibited the production of O-1(2) and center dot OH radicals from ultrasonic treatment. In comparison with the deionized water coupled with ultrasonic (USDW) treatment, the USBEW treatment effectively reduced the oxidation of active groups (carbonyl and free sulfhydryl) in the side chain of amino acids of the AKPs, and it also obviously decreased the particle size (18.6 nm), improved the solubility (13.2 %), increased the molecules flexibility and the surface hydrophobicity of AKPs. All these advantageous changes contributed to the improved foam stability, foam capacity and emulsifying properties of AKPs. More importantly, the in vitro digestibility (84.6 %) of AKPs treated by USBEW was significantly higher than that any control samples. Our results prove that the USBEW treatment is a valid and promising method to exploit novel marine protein products with a high nutritional quality.</t>
  </si>
  <si>
    <t>[Li, Yufeng; Zhu, Xiping; Xie, Dan; Xu, Wenjing; Gui, Yunlei] Anhui Polytechn Univ, Coll Biol &amp; Food Engn, Wuhu 241000, Peoples R China; [Zhao, Yong; Wang, Jing Jing] Shanghai Ocean Univ, Coll Food Sci &amp; Technol, Shanghai 201306, Peoples R China; [Wang, Jing Jing] Foshan Univ, Guangdong Prov Key Lab Intelligent Food Mfg, Foshan 528225, Peoples R China; [Wang, Jinsong] Jingchu Univ Technol, Coll Bioengn, Jingmen 448000, Peoples R China; [Tan, Lijun] Hefei Univ Technol, Sch Food &amp; Biol Engn, Hefei 230601, Peoples R China</t>
  </si>
  <si>
    <t>Anhui Polytechnic University; Shanghai Ocean University; Foshan University; Jingchu University of Technology; Hefei University of Technology</t>
  </si>
  <si>
    <t>Zhu, XP (corresponding author), Anhui Polytechn Univ, Coll Biol &amp; Food Engn, Wuhu 241000, Peoples R China.;Wang, JJ (corresponding author), Shanghai Ocean Univ, Coll Food Sci &amp; Technol, Shanghai 201306, Peoples R China.</t>
  </si>
  <si>
    <t>zhuxiping@ahpu.edu.cn; w_j2010@126.com</t>
  </si>
  <si>
    <t>Tan, Lijun/GRX-8547-2022; Li, Yu-Feng/J-1450-2019</t>
  </si>
  <si>
    <t>Tan, Lijun/0000-0003-1090-8314; Li, Yu-Feng/0000-0002-5013-5849</t>
  </si>
  <si>
    <t>National Natural Science Foundation of China [32102105, 3167177, 32202046]; Scientific Research Foundation of Anhui Polytechnic University [2021YQQ046]; Program of Shanghai Academic Research Leader [21XD1401200]; Guangdong Basic and Applied Basic Research Foundation [2020A1515110960, 2020A1515110326, 2021A1515010015]</t>
  </si>
  <si>
    <t>National Natural Science Foundation of China(National Natural Science Foundation of China (NSFC)); Scientific Research Foundation of Anhui Polytechnic University; Program of Shanghai Academic Research Leader; Guangdong Basic and Applied Basic Research Foundation</t>
  </si>
  <si>
    <t>This work was supported by the National Natural Science Foundation of China (32102105; 3167177; 32202046); Scientific Research Foundation of Anhui Polytechnic University (2021YQQ046); Program of Shanghai Academic Research Leader (21XD1401200); the Guangdong Basic and Applied Basic Research Foundation (2020A1515110960; 2020A1515110326; 2021A1515010015).</t>
  </si>
  <si>
    <t>0963-9969</t>
  </si>
  <si>
    <t>1873-7145</t>
  </si>
  <si>
    <t>FOOD RES INT</t>
  </si>
  <si>
    <t>Food Res. Int.</t>
  </si>
  <si>
    <t>10.1016/j.foodres.2022.112201</t>
  </si>
  <si>
    <t>D8NB3</t>
  </si>
  <si>
    <t>WOS:000971228500004</t>
  </si>
  <si>
    <t>Arrarte, E; Garmendia, G; Wisniewski, M; Vero, S</t>
  </si>
  <si>
    <t>Arrarte, E.; Garmendia, G.; Wisniewski, M.; Vero, S.</t>
  </si>
  <si>
    <t>Limiting the production of virulence factors as a mechanism of action for the control of Penicillium expansum by the Antarctic antagonistic yeast Debaryomyces hansenii F9D</t>
  </si>
  <si>
    <t>BIOLOGICAL CONTROL</t>
  </si>
  <si>
    <t>Biological control; Penicillium expansum; Antarctic yeast; Debaryomyces hansenii; Postharvest; Apple; qPCR</t>
  </si>
  <si>
    <t>REAL-TIME PCR; POSTHARVEST DISEASES; BIOLOGICAL-CONTROL; BIOCONTROL; PATHOGENS; APPLE; MANAGEMENT; FRUIT; MOLD</t>
  </si>
  <si>
    <t>Fungal decay, predominantly caused by Penicillium expansum, is the main cause of apple postharvest losses. To overcome this problem, synthetic fungicides are applied to fruit before storage. Public concern about this practice has raised interest in developing alternative biocontrol strategies for postharvest diseases. Debaryomyces hansenii F9D, a psychrotrophic Antarctic yeast, has been previously selected as a promising biocontrol agent due to its ability to reduce blue mold incidence in apples and pears. Previous in vitro studies indicated that the biocontrol mechanism of this yeast does not involve the production of antifungal metabolites or other inhibitory or competitive interactions with the pathogen. In this work, we conducted further studies in order to understand the interaction between Penicillium expansum and D. hansenii F9D within apple wounds. The growth of both mi-croorganisms in apple wounds during cold storage was followed over time by q-PCR and viable cell counts. Scanning electron microscopy observations of co-inoculated and control wounds (inoculated only with the yeast or with the pathogen) were conducted to evaluate if the pathogen conidia could germinate in presence of the yeast and to determine the colonization patterns of P. expansum and the biocontrol yeast. Our results indicate that Debaryomyces hansenii F9D is able to prevent cold stored apples' wounds rot by inhibiting the virulence factors produced by the pathogen without impeding its growth. These findings provide circumstantial evidence for a new biocontrol mechanism associated with the prevention of fungal decay in apples by biocontrol yeasts during cold storage of fruit.</t>
  </si>
  <si>
    <t>[Arrarte, E.] Univ Republica, Fac Quim, Area Fisicoquim, DETEMA, 2124 Gral Flores Ave, Montevideo, Uruguay; [Garmendia, G.; Vero, S.] Univ Republica, Fac Quim, Area Microbiol, DEPBIO, 2124 Gral Flores Ave, Montevideo, Uruguay; [Wisniewski, M.] USDA ARS, US Dept Agr Agr Res Serv, 2217 Wiltshire Rd, Kearneysville, WV USA</t>
  </si>
  <si>
    <t>Universidad de la Republica, Uruguay; Universidad de la Republica, Uruguay; United States Department of Agriculture (USDA)</t>
  </si>
  <si>
    <t>Vero, S (corresponding author), Univ Republica, Fac Quim, Area Microbiol, DEPBIO, 2124 Gral Flores Ave, Montevideo, Uruguay.</t>
  </si>
  <si>
    <t>earrarte@fq.edu.uy; garmendia@fq.edu.uy; michael.wisniewski@ars.usda.gov; svero@fq.edu.uy</t>
  </si>
  <si>
    <t>Arrarte, Eloisa/HDO-7073-2022</t>
  </si>
  <si>
    <t>Arrarte, Eloisa/0000-0002-5160-319X</t>
  </si>
  <si>
    <t>PEDECIBA; Comision Sectorial de Investigacion Cientifica (CSIC-Uruguay); Instituto Antartico Uruguayo (IAU); CYTED [121RT0110]</t>
  </si>
  <si>
    <t>PEDECIBA; Comision Sectorial de Investigacion Cientifica (CSIC-Uruguay); Instituto Antartico Uruguayo (IAU); CYTED</t>
  </si>
  <si>
    <t>This research was supported by the Comision Sectorial de Investigacion Cientifica (CSIC-Uruguay), Instituto Antartico Uruguayo (IAU), CYTED 121RT0110 and PEDECIBA.</t>
  </si>
  <si>
    <t>1049-9644</t>
  </si>
  <si>
    <t>1090-2112</t>
  </si>
  <si>
    <t>BIOL CONTROL</t>
  </si>
  <si>
    <t>Biol. Control</t>
  </si>
  <si>
    <t>10.1016/j.biocontrol.2022.105104</t>
  </si>
  <si>
    <t>Biotechnology &amp; Applied Microbiology; Entomology</t>
  </si>
  <si>
    <t>8P9TA</t>
  </si>
  <si>
    <t>WOS:000926857500009</t>
  </si>
  <si>
    <t>Thompson, PA; Paerl, HW; Campbell, L; Yin, KD; McDonald, KS</t>
  </si>
  <si>
    <t>Thompson, Peter A.; Paerl, Hans W.; Campbell, Lisa; Yin, Kedong; McDonald, Karlie S.</t>
  </si>
  <si>
    <t>Tropical cyclones: what are their impacts on phytoplankton ecology?</t>
  </si>
  <si>
    <t>cyclone; hurricane; phytoplankton; ecology</t>
  </si>
  <si>
    <t>ATLANTIC TIME-SERIES; PEARL RIVER ESTUARY; COASTAL WATERS; NORTH-CAROLINA; CHESAPEAKE BAY; PAMLICO SOUND; HONG-KONG; COMMUNITY STRUCTURE; CHLOROPHYLL; TYPHOON</t>
  </si>
  <si>
    <t>Following the passage of a tropical cyclone (TC) the changes in temperature, salinity, nutrient concentration, water clarity, pigments and phytoplankton taxa were assessed at 42 stations from eight sites ranging from the open ocean, through the coastal zone and into estuaries. The impacts of the TC were estimated relative to the long-term average (LTA) conditions as well as before and after the TC. Over all sites the most consistent environmental impacts associated with TCs were an average 41% increase in turbidity, a 13% decline in salinity and a 2% decline in temperature relative to the LTA. In the open ocean, the nutrient concentrations, cyanobacteria and picoeukaryote abundances increased at depths between 100 and 150 m for up to 3 months following a TC. While at the riverine end of coastal estuaries, the predominate short-term response was a strong decline in salinity and phytoplankton suggesting these impacts were initially dominated by advection. The more intermediate coastal water-bodies generally experienced declines in salinity, significant reductions in water clarity, plus significant increases in nutrient concentrations and phytoplankton abundance. These intermediate waters typically developed dinoflagellate, diatom or cryptophyte blooms that elevated phytoplankton biomass for 1-3 months following a TC.</t>
  </si>
  <si>
    <t>[Thompson, Peter A.] CSIRO Oceans &amp; Atmosphere, 4-5 Castray Esplanade, Hobart, Tas 7000, Australia; [Paerl, Hans W.] Univ North Carolina Chapel Hill, Inst Marine Sci, 3431 Arendell St, Morehead City, NC 28557 USA; [Campbell, Lisa] Texas A&amp;M Univ, Dept Oceanog, MS-3146, College Stn, TX 77843 USA; [Yin, Kedong] Sun Yat Sen Univ, Southern Marine Sci &amp; Engn Guangdong Lab Zhuhai, Univ Rd 2, Zhuhai 519082, Peoples R China; [Yin, Kedong] Sun Yat Sen Univ, Sch Marine Sci, Univ Rd 2, Zhuhai 519082, Peoples R China; [McDonald, Karlie S.] Univ Tasmania, Inst Marine &amp; Antarctic Studies, Fisheries &amp; Aquaculture Ctr, 15-21 Nubeena Crescent, Taroona, Tas 7053, Australia</t>
  </si>
  <si>
    <t>Commonwealth Scientific &amp; Industrial Research Organisation (CSIRO); University of North Carolina; University of North Carolina Chapel Hill; Texas A&amp;M University System; Texas A&amp;M University College Station; Southern Marine Science &amp; Engineering Guangdong Laboratory; Southern Marine Science &amp; Engineering Guangdong Laboratory (Zhuhai); Sun Yat Sen University; Sun Yat Sen University; University of Tasmania</t>
  </si>
  <si>
    <t>Thompson, PA (corresponding author), CSIRO Oceans &amp; Atmosphere, 4-5 Castray Esplanade, Hobart, Tas 7000, Australia.</t>
  </si>
  <si>
    <t>peter.a.thompsoninoz@gmail.com; hans_paerl@unc.edu; lisacampbell@tamu.edu; yinkd@mail.sysu.edu.cn; karliemcd@hotmail.com</t>
  </si>
  <si>
    <t>Yin, Kedong/B-9773-2009; Campbell, Lisa/E-6587-2011; Thompson, Peter/A-2361-2012</t>
  </si>
  <si>
    <t>Campbell, Lisa/0000-0003-2756-2743; Thompson, Peter/0000-0002-9504-5433; McDonald, Karlie S./0000-0002-9455-9897</t>
  </si>
  <si>
    <t>US National Science Foundation [1831096, 1803697]; US National Institutes of Health [1P01ES028939-01]; Department of Natural Resources of Guangdong Province [GDNRC[2021]62]; Department of Science and Technology of Guangdong Province [GDKJT 2020B1111350001]; National Natural Science Foundation of China [U1701247]; China State Oceanic Administration [20184200041090059]; Directorate For Engineering; Div Of Chem, Bioeng, Env, &amp; Transp Sys [1803697] Funding Source: National Science Foundation</t>
  </si>
  <si>
    <t>US National Science Foundation(National Science Foundation (NSF)); US National Institutes of Health(United States Department of Health &amp; Human ServicesNational Institutes of Health (NIH) - USA); Department of Natural Resources of Guangdong Province; Department of Science and Technology of Guangdong Province; National Natural Science Foundation of China(National Natural Science Foundation of China (NSFC)); China State Oceanic Administration; Directorate For Engineering; Div Of Chem, Bioeng, Env, &amp; Transp Sys(National Science Foundation (NSF)NSF - Directorate for Engineering (ENG))</t>
  </si>
  <si>
    <t>H.W. Paerl was supported by the US National Science Foundation projects 1831096, 1803697, and US National Institutes of Health(1P01ES028939-01). K. Yin acknowledges support by Department of Natural Resources of Guangdong Province (GDNRC[2021]62), Department of Science and Technology of Guangdong Province (GDKJT 2020B1111350001), National Natural Science Foundation of China (U1701247), and the China State Oceanic Administration (20184200041090059).</t>
  </si>
  <si>
    <t>10.1093/plankt/fbac062</t>
  </si>
  <si>
    <t>WOS:000912290000001</t>
  </si>
  <si>
    <t>Sarathchandraprasad, T; Tiwari, M; Kumar, V; Dash, T; Sherin, S; Rodrigues, V; Nayak, P; Yadava, MG</t>
  </si>
  <si>
    <t>Sarathchandraprasad, T.; Tiwari, Manish; Kumar, Vikash; Dash, Tejeswar; Sherin, Sharmila; Rodrigues, Viola; Nayak, Pratheeksha; Yadava, M. G.</t>
  </si>
  <si>
    <t>Effects of island weathering and natural iron fertilization in the geochemistry of deglacial sediments from the Kerguelen Plateau, Southern Ocean</t>
  </si>
  <si>
    <t>CONTINENTAL SHELF RESEARCH</t>
  </si>
  <si>
    <t>Geochemistry; Major and minor elements; Sediment mass transport; Southern Ocean; Natural iron fertilization</t>
  </si>
  <si>
    <t>ARABIAN SEA SEDIMENTS; ANTARCTIC POLAR FRONT; TRACE-ELEMENT; BROKEN RIDGE; ARCHIPELAGO; EVOLUTION; MONSOON; PROXIES; METALS; PETROGENESIS</t>
  </si>
  <si>
    <t>Elemental abundances and their associations in marine sediments near the Kerguelen Plateau can reveal the influence of island weathering on regional biogeochemistry, including natural iron fertilization. In this study, we evaluate the effects of oceanic processes in sediment column geochemistry at the northern flank of the Kerguelen Plateau using a 1.04 m long core (SOE11-01) collected during the 11th Indian Southern Ocean expedition. The AMS radiocarbon dates show that the sediment belongs to the deglacial period. The deep-reaching and fast -flowing Antarctic Circumpolar Current (ACC) driven strong current activity resulted in sediment redistribu-tion. Major elements include Al, K, Mg, Ca, Fe, Ti and Mn with an average concentration of 4.01%, 1.30%, 1.32%, 11.39%, 3.81%, 1.12% and 0.05%, respectively. While the minor elements are Co, Cu, Zn, Ni, V, Sr, Ba, Cr and Pb, with an average of 28 ppm, 29 ppm, 103 ppm, 24 ppm, 109 ppm, 324 ppm, 343 ppm, 52 ppm, and 54 ppm, respectively. We did the regression and factor analysis of the geochemical dataset. The first factor repre-sents 53% of the total variance and is loaded with elements Al, K, Fe, Mn, Ti, Cr, Co, Zn, Pb, and V. The strong associations of these elements imply their terrigenous origin mainly from the Kerguelen Plateau, which is the nearest land mass. The strong association of Mn with Fe and Co suggests the oxic depositional environment due to the oxygenated ACC waters. Fe and productivity indicators, i.e., Fe/Al and Ba/Al, are strongly correlated due to the prevalence of natural iron fertilization during deglaciation. Despite the island-driven regenerated and weathered Fe-induced productivity, Fe and Corg are negatively correlated due to the lack of preservation of Corg in the oxic waters. The geochemical characteristics of the parent rocks get altered by the regional biogeo-chemistry, especially by natural iron fertilization.</t>
  </si>
  <si>
    <t>[Sarathchandraprasad, T.; Tiwari, Manish; Kumar, Vikash; Dash, Tejeswar; Sherin, Sharmila; Rodrigues, Viola] Minist Earth Sci, Natl Ctr Polar &amp; Ocean Res, Vasco Da Gama 403804, Goa, India; [Nayak, Pratheeksha; Yadava, M. G.] Phys Res Lab, Geosci Div, Ahmadabad 380009, India</t>
  </si>
  <si>
    <t>Ministry of Earth Sciences (MoES) - India; National Centre for Polar and Ocean Research (NCPOR); Department of Space (DoS), Government of India; Physical Research Laboratory - India</t>
  </si>
  <si>
    <t>Tiwari, M (corresponding author), Minist Earth Sci, Natl Ctr Polar &amp; Ocean Res, Vasco Da Gama 403804, Goa, India.</t>
  </si>
  <si>
    <t>manish@ncpor.res.in</t>
  </si>
  <si>
    <t>Kumar, Vikash/GSN-3140-2022; T, sarath/HLP-9313-2023</t>
  </si>
  <si>
    <t>T, sarath/0000-0001-7452-1448; Tiwari, Manish/0000-0003-3143-1658; Kumar, Vikash/0000-0002-6180-2192</t>
  </si>
  <si>
    <t>Ministry of Earth Sciences; National Center for Polar and Ocean Research (NCPOR) [J-47/2022-23]</t>
  </si>
  <si>
    <t>Ministry of Earth Sciences; National Center for Polar and Ocean Research (NCPOR)</t>
  </si>
  <si>
    <t>We thank the Secretary, Ministry of Earth Sciences and Director, National Center for Polar and Ocean Research (NCPOR Contribution no. J-47/2022-23) for support. We thank Dr. Bajish, C.C. of NCPOR for the help during the study. We also thank the chief scientist, participants and crew of the 11th Indian Southern Ocean Expedition 2020.</t>
  </si>
  <si>
    <t>0278-4343</t>
  </si>
  <si>
    <t>1873-6955</t>
  </si>
  <si>
    <t>CONT SHELF RES</t>
  </si>
  <si>
    <t>Cont. Shelf Res.</t>
  </si>
  <si>
    <t>10.1016/j.csr.2022.104881</t>
  </si>
  <si>
    <t>6S3NZ</t>
  </si>
  <si>
    <t>WOS:000892899200002</t>
  </si>
  <si>
    <t>Yu, LJ; Moore, K; Zhang, LJ</t>
  </si>
  <si>
    <t>Yu, Lejiang; Moore, Kent; Zhang, Lujun</t>
  </si>
  <si>
    <t>Editorial: Extreme events and their spatiotemporal variability over polar regions</t>
  </si>
  <si>
    <t>FRONTIERS IN ENVIRONMENTAL SCIENCE</t>
  </si>
  <si>
    <t>extreme events; sea ice; the Antarctic; the Arctic; climate change</t>
  </si>
  <si>
    <t>[Yu, Lejiang] Polar Res Inst China, MNR Key Lab Polar Sci, Shanghai, Peoples R China; [Moore, Kent] Univ Toronto, Dept Chem &amp; Phys Sci, Mississauga, ON, Canada; [Zhang, Lujun] Nanjing Univ, Sch Atmospher Sci, Nanjing, Peoples R China</t>
  </si>
  <si>
    <t>Polar Research Institute of China; University of Toronto; University Toronto Mississauga; Nanjing University</t>
  </si>
  <si>
    <t>Yu, LJ (corresponding author), Polar Res Inst China, MNR Key Lab Polar Sci, Shanghai, Peoples R China.</t>
  </si>
  <si>
    <t>yulejiang@sina.com.cn</t>
  </si>
  <si>
    <t>Moore, George Kent/D-8518-2011; 曹, 世军/IWU-6637-2023</t>
  </si>
  <si>
    <t>Moore, George Kent/0000-0002-3986-5605; Yu, Lejiang/0000-0003-0535-1937</t>
  </si>
  <si>
    <t>2296-665X</t>
  </si>
  <si>
    <t>FRONT ENV SCI-SWITZ</t>
  </si>
  <si>
    <t>Front. Environ. Sci.</t>
  </si>
  <si>
    <t>NOV 21</t>
  </si>
  <si>
    <t>10.3389/fenvs.2022.1080575</t>
  </si>
  <si>
    <t>6W0KM</t>
  </si>
  <si>
    <t>WOS:000895424800001</t>
  </si>
  <si>
    <t>Longley, WJ; Chan, AA; Jaynes, AN; Elkington, SR; Pettit, JM; Ross, JPJ; Glauert, SA; Horne, RB</t>
  </si>
  <si>
    <t>Longley, William J. J.; Chan, Anthony A. A.; Jaynes, Allison N. N.; Elkington, Scot R. R.; Pettit, Joshua M. M.; Ross, Johnathan P. J.; Glauert, Sarah A. A.; Horne, Richard B. B.</t>
  </si>
  <si>
    <t>Using MEPED observations to infer plasma density and chorus intensity in the radiation belts</t>
  </si>
  <si>
    <t>radiation belts; wave-particle interaction; quasilinear diffusion; SDE modeling; chorus waves; density measurements; POES/MetOp; van allen probes</t>
  </si>
  <si>
    <t>DIFFUSION</t>
  </si>
  <si>
    <t>Efforts to model and predict energetic electron fluxes in the radiation belts are highly sensitive to local wave-particle interactions. In this study, we use multi-point measurements of precipitating and trapped electron fluxes to investigate the dynamic variation of chorus wave-particle interactions during the 17 March 2013 storm. Quasilinear theory characterizes the chorus wave-particle interaction as a diffusive process, with the diffusion coefficients depending on the particle energy and pitch angle, as well as the background plasma parameters such as the wave intensity and plasma density. These plasma parameters in the radiation belts are spatially localized and time-varying, so we construct event-specific diffusion coefficients using MEPED (onboard POES/MetOp) measurements of electron fluxes at low Earth orbit. This new method provides realistic diffusion coefficients for chorus waves that account for changes in the wave intensity, the plasma density, and the magnetic field strength in the outer radiation belt. We show that the inferred chorus intensity is significantly lower than previous estimates that use MEPED observations since the same amount of increased precipitation by 30-300 keV electrons can be explained by a change in the plasma density. This technique therefore allows for us to create time varying, global maps of the plasma-gyrofrequency ratio (fpe/fce), and therefore plasma density, in the outer radiation belts using the MEPED measurements. The global density estimates compare reasonably well to in situ density measurements from RBSP-B.</t>
  </si>
  <si>
    <t>[Longley, William J. J.; Chan, Anthony A. A.] Rice Univ, Dept Phys &amp; Astron, Houston, TX 77005 USA; [Jaynes, Allison N. N.] Univ Iowa, Dept Phys &amp; Astron, Iowa City, IA USA; [Elkington, Scot R. R.] Univ Colorado, Lab Atmospher &amp; Space Phys, Boulder, CO USA; [Pettit, Joshua M. M.] NASA, Goddard Space Flight Ctr, Greenbelt, MD USA; [Ross, Johnathan P. J.; Glauert, Sarah A. A.; Horne, Richard B. B.] British Antarctic Survey, Nat Environm Res Council, Cambridge, England</t>
  </si>
  <si>
    <t>Rice University; University of Iowa; University of Colorado System; University of Colorado Boulder; National Aeronautics &amp; Space Administration (NASA); NASA Goddard Space Flight Center; UK Research &amp; Innovation (UKRI); Natural Environment Research Council (NERC); NERC British Antarctic Survey</t>
  </si>
  <si>
    <t>Longley, WJ (corresponding author), Rice Univ, Dept Phys &amp; Astron, Houston, TX 77005 USA.</t>
  </si>
  <si>
    <t>wlongley@rice.edu</t>
  </si>
  <si>
    <t>Pettit, Joshua/0000-0003-3733-6774; Longley, William/0000-0002-8518-8633</t>
  </si>
  <si>
    <t>NASA Living With a Star Jack Eddy Postdoctoral Fellowship Program [NNX16AK22G]; NASA H-SR [NNX17AI51G]; NASA LWS grant [80NSSC21K1323]; NSF [AGS 1651428]; NASA Living With a Star program [NNX14AH54G]; NERC [NE/V00249X/1]; NERC National Capability [NE/R016038/1]; NERC National Public Good [NE/R016445/1]; NERC [NE/R016038/1] Funding Source: UKRI</t>
  </si>
  <si>
    <t>NASA Living With a Star Jack Eddy Postdoctoral Fellowship Program; NASA H-SR; NASA LWS grant; NSF(National Science Foundation (NSF)); NASA Living With a Star program(National Aeronautics &amp; Space Administration (NASA)); NERC(UK Research &amp; Innovation (UKRI)Natural Environment Research Council (NERC)); NERC National Capability; NERC National Public Good; NERC(UK Research &amp; Innovation (UKRI)Natural Environment Research Council (NERC))</t>
  </si>
  <si>
    <t>WL was supported by the NASA Living With a Star Jack Eddy Postdoctoral Fellowship Program, administered by UCAR's Cooperative Programs for the Advancement of Earth System Science (CPAESS) under award #NNX16AK22G. WL, AC, AJ, and SE were supported by NASA H-SR grant #NNX17AI51G and NASA LWS grant #80NSSC21K1323. JP acknowledges funding from the NSF Coupling, Energetics and Dynamics of Atmospheric Regions, grant AGS 1651428 and the NASA Living With a Star program, grant NNX14AH54G. RH, SG, and JR were supported by NERC grant NE/V00249X/1 (Sat-Risk). RH and SG were supported by NERC National Capability grant NE/R016038/1 and NERC National Public Good activity grant NE/R016445/1.</t>
  </si>
  <si>
    <t>10.3389/fspas.2022.1063329</t>
  </si>
  <si>
    <t>6V9IG</t>
  </si>
  <si>
    <t>WOS:000895351200001</t>
  </si>
  <si>
    <t>Carneiro, APB; Clark, BL; Pearmain, EJ; Clavelle, T; Wood, AG; Phillips, RA</t>
  </si>
  <si>
    <t>Carneiro, Ana P. B.; Clark, Bethany L.; Pearmain, Elizabeth J.; Clavelle, Tyler; Wood, Andrew G.; Phillips, Richard A.</t>
  </si>
  <si>
    <t>Fine-scale associations between wandering albatrosses and fisheries in the southwest Atlantic Ocean</t>
  </si>
  <si>
    <t>BIOLOGICAL CONSERVATION</t>
  </si>
  <si>
    <t>AIS; Bycatch; Drifting longliners; Radar; Seabirds; Set longliners</t>
  </si>
  <si>
    <t>SEABIRD BYCATCH; STRATEGIES; FOOTPRINT; TRACKING; GANNETS; VESSELS</t>
  </si>
  <si>
    <t>Bycatch is a conservation concern for marine biodiversity, including seabirds. Analyses of spatio-temporal overlap are an important tool for identifying areas and periods where birds are most at risk, but until recently were only possible at coarse scales using aggregated data on fishing effort. Here, we integrated data from loggers that record GPS positions of birds at sea and scan the surroundings to detect vessel-radar transmissions, with the positions of fishing vessels obtained from the automatic identification system, to identify areas, gear types and flag states representing most bycatch risk for wandering albatrosses (Diomedea exulans) of different life-history stages and sexes. We recorded 157 foraging trips of adult breeders, and 34 tracks of sabbatical breeders, 29 immatures and 31 juveniles. Overall, 55 % of birds encountered and 43 % of birds visited fishing vessels (i.e. were within 30 km and 5 km, respectively). Fine-scale overlap was particularly high for breeders during incu-bation and post-guard chick-rearing when birds travelled to the Patagonian Shelf break. Only 23 % of all en-counters involved vessel visits. Our study found the greatest overlap was with set (demersal) longliners, particularly those from South Korea but also including the Falkland Islands, United Kingdom and Chile, and to lower extents, trawlers flagged to Argentina and Uruguay, and drifting (pelagic) longliners flagged to Brazil, Portugal and Taiwan. These fleets vary greatly in terms of bycatch rates. This study highlights the importance of covering the full range of life-history stages, and the advantages of vessel-detecting loggers and fine-scale ana-lyses for improving risk assessments.</t>
  </si>
  <si>
    <t>[Carneiro, Ana P. B.; Clark, Bethany L.] BirdLife Int, David Attenborough Bldg, Pembroke St, Cambridge CB2 3QZ, England; [Pearmain, Elizabeth J.; Wood, Andrew G.; Phillips, Richard A.] NERC, British Antarctic Survey, Madingley Rd, Cambridge CB3 0ET, England; [Pearmain, Elizabeth J.] Univ Cambridge, Dept Zool, Downing St, Cambridge CB2 3EJ, England; [Clavelle, Tyler] Global Fishing Watch, Washington, DC USA</t>
  </si>
  <si>
    <t>BirdLife International; UK Research &amp; Innovation (UKRI); Natural Environment Research Council (NERC); NERC British Antarctic Survey; University of Cambridge</t>
  </si>
  <si>
    <t>Carneiro, APB (corresponding author), BirdLife Int, David Attenborough Bldg, Pembroke St, Cambridge CB2 3QZ, England.</t>
  </si>
  <si>
    <t>ana.carneiro@birdlife.org</t>
  </si>
  <si>
    <t>Carneiro, Ana Paula/IQT-6077-2023</t>
  </si>
  <si>
    <t>Clark, Bethany Louise/0000-0001-5803-7744</t>
  </si>
  <si>
    <t>Natural Environment Research Council; BirdLife International Marine programme; Darwin Plus 092; [DPLUS092]</t>
  </si>
  <si>
    <t>Natural Environment Research Council(UK Research &amp; Innovation (UKRI)Natural Environment Research Council (NERC)); BirdLife International Marine programme; Darwin Plus 092;</t>
  </si>
  <si>
    <t>We are grateful to all those involved in data collection at Bird Island, in particular, Rosie Hall, Alex Dodds and James Crymble. This paper is a contribution to the Ecosystems component of the British Antarctic Survey Polar Science for Planet Earth Programme, funded by the Natural Environment Research Council and the BirdLife International Marine programme. Funding was provided by Darwin Plus 092 (DPLUS092) .</t>
  </si>
  <si>
    <t>0006-3207</t>
  </si>
  <si>
    <t>1873-2917</t>
  </si>
  <si>
    <t>BIOL CONSERV</t>
  </si>
  <si>
    <t>Biol. Conserv.</t>
  </si>
  <si>
    <t>10.1016/j.biocon.2022.109796</t>
  </si>
  <si>
    <t>6O5XZ</t>
  </si>
  <si>
    <t>WOS:000890316100008</t>
  </si>
  <si>
    <t>Zhang, Y; Zhang, ZG; Wang, W</t>
  </si>
  <si>
    <t>Zhang, Yu; Zhang, Zhengguang; Wang, Wei</t>
  </si>
  <si>
    <t>Rotating horizontal convection with meridional ridges</t>
  </si>
  <si>
    <t>rotating; horizontal convection; meridional overturning circulation; meridional ridge; deep western boundary current</t>
  </si>
  <si>
    <t>DRIVEN; CIRCULATION; ENERGY</t>
  </si>
  <si>
    <t>According to recent studies, the large-scale effect of bottom topography on the ocean overturning circulation can be considered as a result of bottom enhancement of turbulent mixing in the abyssal ocean. Here we show, using laboratory experiments of rotating horizontal convection, that even without spatial variation of mixing intensity, oceanic meridional ridges can strongly impact both the strength and the pattern of the overturning in some fundamental ways. For example, as suggested by experimental results, the existence of the mid-Atlantic ridge can lead to the formation of another deep jet, like the deep western boundary current (DWBC), along the ridge's eastern edge as a pathway for southward export of newly formed deep water. In response to this interior (mid-basin) jet and the associated isopycnal displacement, adiabatic flow structures may occur in upper and lower layers, including two opposing jets located respectively above and below the interior DWBC. Though unable to contribute to the overturning, they can probably affect transport along isopycnals. In the latitudinal band of the Antarctic Circumpolar Current without side boundary but with multiple ridges lying over the bottom, multiple interior DWBCs may develop preferentially along higher ridges, carrying the Antarctic Bottom Water into the northern latitudes. Moreover, the overturning cell or the strong jets can migrate vertically with the grow or decay of the ridge. Therefore, presumably strong variations of both ocean circulation and stratification may have occurred more than once during the past millions of years, as consequences of plate tectonic evolution, and have caused substantial changes of earth climate.</t>
  </si>
  <si>
    <t>[Wang, Wei] Ocean Univ China, Frontier Sci Ctr Deep Ocean Multispheres &amp; Earth S, Phys Oceanog Lab, Qingdao, Peoples R China; Qingdao Natl Lab Marine Sci &amp; Technol, Qingdao, Peoples R China</t>
  </si>
  <si>
    <t>Wang, W (corresponding author), Ocean Univ China, Frontier Sci Ctr Deep Ocean Multispheres &amp; Earth S, Phys Oceanog Lab, Qingdao, Peoples R China.</t>
  </si>
  <si>
    <t>wei@ouc.edu.cn</t>
  </si>
  <si>
    <t>National Natural Science Foundation; [42288101]; [41876007]</t>
  </si>
  <si>
    <t>National Natural Science Foundation(National Natural Science Foundation of China (NSFC)); ;</t>
  </si>
  <si>
    <t>Funding This work was supported by the National Natural Science Foundation through Grants 42288101 and 41876007.</t>
  </si>
  <si>
    <t>10.3389/fmars.2022.1053964</t>
  </si>
  <si>
    <t>6T7EV</t>
  </si>
  <si>
    <t>WOS:000893839800001</t>
  </si>
  <si>
    <t>Guo, C; Jin, M; Jiao, LF; Xie, SC; Zhang, XS; Luo, JX; Zhu, TT; Zhou, QC</t>
  </si>
  <si>
    <t>Guo, Chen; Jin, Min; Jiao, Lefei; Xie, Shichao; Zhang, Xiangsheng; Luo, Jiaxiang; Zhu, Tingting; Zhou, Qicun</t>
  </si>
  <si>
    <t>Evaluation of Krill Meal in Commercial Diets for Juvenile Swimming Crab (Portunus trituberculatus)</t>
  </si>
  <si>
    <t>AQUACULTURE NUTRITION</t>
  </si>
  <si>
    <t>EUPHAUSIA-SUPERBA MEAL; FATTY-ACID-COMPOSITION; PACIFIC WHITE SHRIMP; GROWTH-PERFORMANCE; ANTARCTIC KRILL; FISH-MEAL; ATLANTIC SALMON; LIPID SOURCES; LITOPENAEUS-VANNAMEI; MOLECULAR-MECHANISMS</t>
  </si>
  <si>
    <t>An 8-week feeding trial was carried out to assess the effect of dietary krill meal on growth performance and expression of genes related to TOR pathway and antioxidation of swimming crab (Portunus trituberculatus). Four experimental diets (45% crude protein and 9% crude lipid) were formulated to obtain different replacements of fish meal (FM) with krill meal (KM); FM was replaced with KM at 0% (KM0), 10% (KM10), 20% (KM20), and 30% (KM30); fluorine concentration in diets were analyzed to be 27.16, 94.06, 153.81, and 265.30 mg kg(-1), respectively. Each diet was randomly divided into 3 replicates; ten swimming crabs were stocked in each replicate (initial weight, 5.62 &amp; PLUSMN;0.19 g). The results indicated that crabs fed with the KM10 diet had the highest final weight, percent weight gain (PWG), and specific growth rate (SGR) among all treatments (P &lt; 0.05). Crabs fed with the KM0 diet had the lowest activities of total antioxidant capacity (T-AOC), total superoxide dismutase (SOD), glutathione (GSH), and hydroxyl radical scavenging activity and had the highest concentration of malondialdehyde (MDA) in the hemolymph and the hepatopancreas (P &lt; 0.05). In the hepatopancreas, the highest content of 20:5n-3 (EPA) and the lowest content of 22:6n-3 (DHA) were shown in crabs fed with the KM30 diet among all treatments (P &lt; 0.05). With the substitution level of FM with KM gradually increasing from 0% to 30%, the color of the hepatopancreas changed from pale white to red. Expression of tor, akt, s6k1, and s6 in the hepatopancreas was significantly upregulated, while 4e-bp1, eif4e1a, eif4e2, and eif4e3 were downregulated with dietary replacement of FM with KM increasing from 0% to 30% (P &lt; 0.05). Crabs fed with the KM20 diet had notably higher expression of cat, gpx, cMnsod, and prx than those fed with the KM0 diet (P &lt; 0.05). Results demonstrated that 10% replacement of FM with KM can promote growth performance and antioxidant capacity and notably upregulate the mRNA levels of genes related to TOR pathway and antioxidant of swimming crab.</t>
  </si>
  <si>
    <t>[Guo, Chen; Jin, Min; Jiao, Lefei; Xie, Shichao; Zhang, Xiangsheng; Luo, Jiaxiang; Zhu, Tingting; Zhou, Qicun] Ningbo Univ, Sch Marine Sci, Lab Fish &amp; Shellfish Nutr, Ningbo 315211, Peoples R China</t>
  </si>
  <si>
    <t>Ningbo University</t>
  </si>
  <si>
    <t>Zhou, QC (corresponding author), Ningbo Univ, Sch Marine Sci, Lab Fish &amp; Shellfish Nutr, Ningbo 315211, Peoples R China.</t>
  </si>
  <si>
    <t>398977031@qq.com; jinmin@nbu.edu.cn; jiaolefei@nbu.edu.cn; 1125358831@qq.com; 1422363776@qq.com; jx53019@foxmail.com; 648294230@qq.com; zhouqicun@nbu.edu.cn</t>
  </si>
  <si>
    <t>Jin, Min/KFT-2653-2024; Zhu, Tingting/T-9997-2019; Zhu, Tingting/JMB-5066-2023; XIE, SHI/KHY-5996-2024; Zhou, Qi/JTT-3417-2023</t>
  </si>
  <si>
    <t>Zhu, Tingting/0000-0003-3141-1884; Zhou, Qicun/0000-0002-8075-0885</t>
  </si>
  <si>
    <t>National Natural Science Foundation of China [2018YFD0900400]; National Key Research and Development Program of China [CARS-48]; Earmarked Fund for China Agriculture Research System-48 [Y21C190006]; Nature Science Foundation of Zhejiang Province; K. C. Wong Magna Fund in Ningbo University; [32072987]</t>
  </si>
  <si>
    <t>National Natural Science Foundation of China(National Natural Science Foundation of China (NSFC)); National Key Research and Development Program of China; Earmarked Fund for China Agriculture Research System-48; Nature Science Foundation of Zhejiang Province(Natural Science Foundation of Zhejiang Province); K. C. Wong Magna Fund in Ningbo University;</t>
  </si>
  <si>
    <t>This research was supported by the National Natural Science Foundation of China (32072987), the National Key Research and Development Program of China (2018YFD0900400), the Earmarked Fund for China Agriculture Research System-48 (CARS-48), Nature Science Foundation of Zhejiang Province (Y21C190006), and the K. C. Wong Magna Fund in Ningbo University. The authors are grateful to M. Liu (Ningbo Institute of Materials Technology and Engineering, Ningbo, China) for technical support and valuable help during the analysis of fatty acids.</t>
  </si>
  <si>
    <t>WILEY-HINDAWI</t>
  </si>
  <si>
    <t>ADAM HOUSE, 3RD FL, 1 FITZROY SQ, LONDON, WIT 5HE, ENGLAND</t>
  </si>
  <si>
    <t>1353-5773</t>
  </si>
  <si>
    <t>1365-2095</t>
  </si>
  <si>
    <t>AQUACULT NUTR</t>
  </si>
  <si>
    <t>Aquac. Nutr.</t>
  </si>
  <si>
    <t>10.1155/2022/3007674</t>
  </si>
  <si>
    <t>6T8DZ</t>
  </si>
  <si>
    <t>WOS:000893905900001</t>
  </si>
  <si>
    <t>Bierlich, KC; Hewitt, J; Schick, RS; Pallin, L; Dale, J; Friedlaender, AS; Christiansen, F; Sprogis, KR; Dawn, AH; Bird, CN; Larsen, GD; Nichols, R; Shero, MR; Goldbogen, J; Read, AJ; Johnston, DW</t>
  </si>
  <si>
    <t>Bierlich, K. C.; Hewitt, Joshua; Schick, Robert S.; Pallin, Logan; Dale, Julian; Friedlaender, Ari S.; Christiansen, Fredrik; Sprogis, Kate R.; Dawn, Allison H.; Bird, Clara N.; Larsen, Gregory D.; Nichols, Ross; Shero, Michelle R.; Goldbogen, Jeremy; Read, Andrew J.; Johnston, David W.</t>
  </si>
  <si>
    <t>Seasonal gain in body condition of foraging humpback whales along the Western Antarctic Peninsula</t>
  </si>
  <si>
    <t>drones (unmanned aerial vehicles or UAVs); body condition; humpback whale (Megaptera novaeangliae); Western Antarctic Peninsula (WAP); photogrammetry; baleen whales; Bayesian</t>
  </si>
  <si>
    <t>ATLANTIC FIN WHALES; MEGAPTERA-NOVAEANGLIAE; MINKE WHALES; FAT CONDITION; PHOTOGRAMMETRY; GROWTH; BLUBBER; ENERGY; PREY; BLUE</t>
  </si>
  <si>
    <t>Most baleen whales are capital breeders that use stored energy acquired on foraging grounds to finance the costs of migration and reproduction on breeding grounds. Body condition reflects past foraging success and can act as a proxy for individual fitness. Hence, monitoring the seasonal gain in body condition of baleen whales while on the foraging grounds can inform how marine mammals support the costs of migration, growth, and reproduction, as well as the nutritional health of the overall population. Here, we use photogrammetry from drone-based imagery to examine how the body condition of humpback whales (Megaptera novaeangliae) changed over the foraging season (November to June) along the Western Antarctic Peninsula (WAP) from 2017 to 2019. This population (IWC stock G) is recovering from past whaling and is growing rapidly, providing an opportunity to study how whales store energy in a prey-rich environment. We used a body area index (BAI) to estimate changes in body condition and applied a Bayesian approach to incorporate measurement uncertainty associated with different drone types used for data collection. We used biopsy samples to determine sex and pregnancy status, and a length-based maturity classification to assign reproductive classes (n = 228; calves = 31, juveniles = 82, lactating females = 31, mature males = 12, mature unknown sex = 56, non-pregnant females = 12, pregnant females = 3, pregnant &amp; lactating females = 1). Average BAI increased linearly over the feeding season for each reproductive class. Lactating females had lower BAI compared to other mature whales late in the season, reflecting the high energetic costs of nursing a calf. Mature males and non-pregnant females had the highest BAI values. Calves and juvenile whales exhibited an increase in BAI but not structural size (body length) over the feeding season. The body length of lactating mothers was positively correlated with the body length of their calves, but no relationship was observed between the BAI of mothers and their calves. Our study establishes a baseline for seasonal changes in the body condition for this humpback whale population, which can help monitor future impacts of disturbance and climate change.</t>
  </si>
  <si>
    <t>[Bierlich, K. C.; Schick, Robert S.; Dale, Julian; Dawn, Allison H.; Bird, Clara N.; Larsen, Gregory D.; Read, Andrew J.; Johnston, David W.] Duke Univ, Div Marine Sci &amp; Conservat, Marine Lab, Beaufort, NC 28516 USA; [Bierlich, K. C.; Dawn, Allison H.; Bird, Clara N.] Oregon State Univ, Marine Mammal Inst, Geospatial Ecol Marine Megafauna Lab, Newport, OR 97365 USA; [Hewitt, Joshua] Duke Univ, Dept Stat Sci, Durham, NC USA; [Pallin, Logan] Univ Calif UC Santa Cruz, Dept Ecol &amp; Evolutionary Biol, Santa Cruz, CA USA; [Friedlaender, Ari S.; Nichols, Ross] Univ Calif CA Santa Cruz, Dept Ocean Sci, Santa Cruz, CA USA; [Christiansen, Fredrik] Aarhus Univ, Dept Biol, Zoophysiol, Aarhus, Denmark; [Sprogis, Kate R.] Univ Western Australia UWA, Oceans Inst, Albany, WA, Australia; [Sprogis, Kate R.] Univ Western Australia, Sch Agr &amp; Environm, Albany, WA, Australia; [Shero, Michelle R.] Woods Hole Oceanog Inst, Biol Dept, Woods Hole, MA USA; [Goldbogen, Jeremy] Stanford Univ, Dept Biol, Hopkins Marine Stn, Pacific Grove, CA USA</t>
  </si>
  <si>
    <t>Duke University; Oregon State University; Duke University; Aarhus University; University of Western Australia; University of Western Australia; Woods Hole Oceanographic Institution; Stanford University</t>
  </si>
  <si>
    <t>Bierlich, KC (corresponding author), Duke Univ, Div Marine Sci &amp; Conservat, Marine Lab, Beaufort, NC 28516 USA.;Bierlich, KC (corresponding author), Oregon State Univ, Marine Mammal Inst, Geospatial Ecol Marine Megafauna Lab, Newport, OR 97365 USA.</t>
  </si>
  <si>
    <t>kevin.bierlich@oregonstate.edu</t>
  </si>
  <si>
    <t>Christiansen, Fredrik/O-3655-2017; Larsen, Gregory D/GQZ-2519-2022; Sprogis, Kate/N-1212-2017</t>
  </si>
  <si>
    <t>Christiansen, Fredrik/0000-0001-9090-8458; Larsen, Gregory D/0000-0002-6572-6473; Pallin, Logan/0000-0001-8024-9663; Johnston, David/0000-0003-2424-036X; Goldbogen, Jeremy/0000-0002-4170-7294; Sprogis, Kate/0000-0002-9050-3028; Bird, Clara/0000-0001-7763-7761</t>
  </si>
  <si>
    <t>World Wildlife Fund; California Ocean Alliance; One Ocean Expeditions; National Science Foundation Office of Polar Programs [1643877, 1440435]; Directorate For Geosciences [1643877] Funding Source: National Science Foundation; Office of Polar Programs (OPP) [1643877] Funding Source: National Science Foundation</t>
  </si>
  <si>
    <t>World Wildlife Fund; California Ocean Alliance; One Ocean Expeditions; National Science Foundation Office of Polar Programs(National Science Foundation (NSF)NSF - Directorate for Geosciences (GEO)); Directorate For Geosciences(National Science Foundation (NSF)NSF - Directorate for Geosciences (GEO)); Office of Polar Programs (OPP)(National Science Foundation (NSF)NSF - Directorate for Geosciences (GEO))</t>
  </si>
  <si>
    <t>This work was supported in part by World Wildlife Fund, California Ocean Alliance, and One Ocean Expeditions. UAS imagery and biopsy samples were collected as part of the National Science Foundation Office of Polar Programs Grants 1643877 and 1440435 to AF.</t>
  </si>
  <si>
    <t>10.3389/fmars.2022.1036860</t>
  </si>
  <si>
    <t>6U2MV</t>
  </si>
  <si>
    <t>WOS:000894204200001</t>
  </si>
  <si>
    <t>Cunningham, EM; Seijo, NR; Altieri, KE; Audh, RR; Burger, JM; Bornman, TG; Fawcett, S; Gwinnett, CMB; Osborne, AO; Woodall, LC</t>
  </si>
  <si>
    <t>Cunningham, Eoghan M.; Rico Seijo, Nuria; Altieri, Katye E.; Audh, Riesna R.; Burger, Jessica M.; Bornman, Thomas G.; Fawcett, Sarah; Gwinnett, Claire M. B.; Osborne, Amy O.; Woodall, Lucy C.</t>
  </si>
  <si>
    <t>The transport and fate of microplastic fibres in the Antarctic: The role of multiple global processes</t>
  </si>
  <si>
    <t>AMBT; Antarctica; atmospheric; fibres; forensics; oceanic; PLM; pollution</t>
  </si>
  <si>
    <t>MARINE-ENVIRONMENT; SEDIMENTS; SEA; POLLUTION; DEBRIS</t>
  </si>
  <si>
    <t>Understanding the transport and accumulation of microplastics is useful to determine the relative risk they pose to global biodiversity. The exact contribution of microplastic sources is hard to elucidate; therefore, investigating the Antarctic Weddell Sea, an area known for its remoteness and little human presence (i.e. limited pollution sources), will help us to better understand microplastic transportation. Here, we investigate the presence of microplastics in a range of Antarctic sample media including air, seawater, and sediment. We hypothesised that multiple transportation processes including atmospheric and oceanic vectors determine the presence of microplastics in the Antarctic. Using techniques including Polarised Light Microscopy and Raman Spectrometry, we identified mostly fibres and categorised them based on their optical and chemical properties. A total of 47 individual microplastic categories (45 of which were fibres) were identified in the air, seawater, and sediment samples. The majority of categories did not overlap multiple media (42/47); however, four fibre categories were present in both air and water samples, and another fibre category was found in all three media (category 27). We suggest that the large variety of fibres identified and the overlap of fibre categories among media indicates that the pollution may result from multiple diffuse sources and transportation pathways. Additionally, our Air Mass Back Trajectory analyses demonstrates that microplastic fibres are being transported by air masses or wind, and strongly suggests that they are transported to the Antarctic from southern South America. We also propose that fibres may be transported into the Antarctic in subsurface waters, and as pollution was identified in our sediment and additional sea ice samples, we suggest that the coastal and Antarctic deep sea may be a sink for microplastic fibres. The results shown here from a remote, near-pristine system, further highlight the need for a global response to the plastic pollution crisis.</t>
  </si>
  <si>
    <t>[Cunningham, Eoghan M.; Woodall, Lucy C.] Univ Oxford, Dept Biol, Oxford, England; [Cunningham, Eoghan M.; Rico Seijo, Nuria; Woodall, Lucy C.] Nekton Fdn, Begbroke Sci Pk, Oxford, England; [Altieri, Katye E.; Audh, Riesna R.; Burger, Jessica M.; Fawcett, Sarah] Univ Cape Town, Dept Oceanog, Cape Town, South Africa; [Bornman, Thomas G.] Nelson Mandela Univ, SAEON Elwandle Coastal Node &amp; Coastal &amp; Marine Res, Pretoria, South Africa; [Fawcett, Sarah] Univ Cape Town, Marine &amp; Antarctic Ctr Res &amp; Innovat MARIS, Cape Town, South Africa; [Gwinnett, Claire M. B.; Osborne, Amy O.] Staffordshire Univ, Sci Ctr, Sch Justice Secur &amp; Sustainabil, Stoke On Trent, England</t>
  </si>
  <si>
    <t>University of Oxford; University of Cape Town; Nelson Mandela University; University of Cape Town; Staffordshire University</t>
  </si>
  <si>
    <t>Cunningham, EM (corresponding author), Univ Oxford, Dept Biol, Oxford, England.;Cunningham, EM (corresponding author), Nekton Fdn, Begbroke Sci Pk, Oxford, England.</t>
  </si>
  <si>
    <t>eoghan.cunningham@biology.ox.ac.uk</t>
  </si>
  <si>
    <t>Bornman, Thomas George/V-7794-2019; Altieri, Katye/M-5231-2014</t>
  </si>
  <si>
    <t>Bornman, Thomas George/0000-0003-1868-479X; Osborne, Amy/0000-0003-1096-5589; Audh, Riesna Reuben/0000-0002-4163-4515; Altieri, Katye/0000-0002-6778-4079; Fawcett, Sarah/0000-0002-0878-6496; Cunningham, Manus/0000-0002-6323-079X</t>
  </si>
  <si>
    <t>Flotilla Foundation; South African National Antarctic Program [117035, 129232, 110732]; South African National Research Foundation [111716]; University of Cape Town through Vice -Chancellor Future Leaders 2030; University Research Council Launching Grant; African Academy of Sciences/Royal Society; Nekton Foundation; South African Department of Science and Innovation's Biogeochemistry Research Infrastructure Platform (BIOGRIP); Shallow Marine and Coastal Research Infrastructure (SMCRI); joint SAEON/CEFAS Commonwealth Litter Programme (CLiP) laboratory on the Ocean Sciences Campus of the Nelson Mandela University</t>
  </si>
  <si>
    <t>Flotilla Foundation; South African National Antarctic Program; South African National Research Foundation(National Research Foundation - South Africa); University of Cape Town through Vice -Chancellor Future Leaders 2030; University Research Council Launching Grant; African Academy of Sciences/Royal Society; Nekton Foundation; South African Department of Science and Innovation's Biogeochemistry Research Infrastructure Platform (BIOGRIP); Shallow Marine and Coastal Research Infrastructure (SMCRI); joint SAEON/CEFAS Commonwealth Litter Programme (CLiP) laboratory on the Ocean Sciences Campus of the Nelson Mandela University</t>
  </si>
  <si>
    <t>We thank Captain Knowledge Bengu, Captain Freddie Ligthelm, the crew of the R/V SA Agulhas II, and the South African Department of Forestry, Fisheries and the Environment, as well as the Weddell Sea Expedition 2019. This research was supported by the Flotilla Foundation through a grant to LW, TB, and SF, the South African National Antarctic Program through grants 117035 and 129232 to SF and 110732 to KA, the South African National Research Foundation through Competitive Support for Rated Researchers grant 111716 to KA, and postgraduate fellowships to JB and RA, the University of Cape Town through Vice -Chancellor Future Leaders 2030 awards to SF and KA and a University Research Council Launching Grant to KA, the African Academy of Sciences/Royal Society through a FLAIR Fellowship to SF, and the Nekton Foundation. The authors also acknowledge the South African Department of Science and Innovation's Biogeochemistry Research Infrastructure Platform (BIOGRIP) and Shallow Marine and Coastal Research Infrastructure (SMCRI), as well as the joint SAEON/CEFAS Commonwealth Litter Programme (CLiP) laboratory on the Ocean Sciences Campus of the Nelson Mandela University. Finally, we thank Annie Bekker, Mark Hambrock, Siobhan Johnson, Lu Liangliang, James-John Matthee, Wolfgang Rack, Mishka Rawatlal, and Christof van Zijl for technical support during the expedition and in the laboratory, and Cashifa Karriem and Hazel Leighton-Little for administrative assistance. The authors also thank the technical team at Staffordshire University for supporting the analysis of the microplastic samples and Nobya Sakai and Joseph Taylor from Helio Display Materials for their technical support and equipment. This is Nekton publication 32.</t>
  </si>
  <si>
    <t>10.3389/fmars.2022.1056081</t>
  </si>
  <si>
    <t>6T0WX</t>
  </si>
  <si>
    <t>WOS:000893405200001</t>
  </si>
  <si>
    <t>Lucas, MP; Dygert, N; Ren, JL; Hesse, MA; Miller, NR; McSween, HY</t>
  </si>
  <si>
    <t>Lucas, Michael P.; Dygert, Nicholas; Ren, Jialong; Hesse, Marc A.; Miller, Nathaniel R.; McSween, Harry Y.</t>
  </si>
  <si>
    <t>Thermochemical evolution of the acapulcoite-lodranite parent body: Evidence for fragmentation-disrupted partial differentiation</t>
  </si>
  <si>
    <t>EARTH-ELEMENT DIFFUSION; BI-MINERALIC SYSTEMS; CLOSURE TEMPERATURE; THERMAL HISTORY; TRACE-ELEMENT; PRIMITIVE ACHONDRITES; SIZE DISTRIBUTION; RE-EQUILIBRATION; BASALTIC MELTS; ORTHO-PYROXENE</t>
  </si>
  <si>
    <t>Primitive achondrites of the acapulcoite-lodranite clan (ALC) are residues of partial melting that displays a continuum of thermal metamorphism and partial melting most likely set by burial depth within an internally heated, primordial acapulcoite-lodranite parent body (ALPB). New major and trace element data from eight ALC meteorites and the application of several thermometric methods suggest that the ALPB was affected by partial differentiation disrupted by rapid cooling from peak, magmatic temperatures. Application of rare earth element-in-two-pyroxene thermometry recovers temperatures of 1125-1250 degrees C for lodranites, while two-pyroxene solvus and Ca-in-olivine thermometry recover lower temperatures for ALC meteorites (941-1114 degrees C and 686-850 degrees C, respectively). Major and trace element disequilibrium in acapulcoite and transitional groups provides evidence for cryptic melt infiltration and melt rock reaction within these layers of the ALPB. From lodranites, we determined rapid cooling rates of similar to 1 to similar to 26 degrees C yr(-1) from peak temperatures, consistent with collisional fragmentation of the parent body during differentiation. After this initial period of rapid cooling, cooling rates decreased by two to four orders of magnitude through Ca-in-olivine closure temperatures (similar to 750 degrees C). We hypothesize that the primordial ALPB possessed an onion shell-type layered structure that was disrupted by collisional breakup during partial differentiation. Thermal modeling suggests that ALC samples originate from similar to 300 m to similar to 10 km radius collisional fragments that cooled rapidly over time scales of several to similar to 20,000 yr, then reaccreted to form a slower cooling, second-generation rubble-pile asteroid. The source of ALC meteorites is a second-generation (or later) rubble-pile body of S-type spectral class located near the Jupiter 3:1 mean motion resonance in the Main Belt of asteroids.</t>
  </si>
  <si>
    <t>[Lucas, Michael P.; Dygert, Nicholas; McSween, Harry Y.] Univ Tennessee, Dept Earth &amp; Planetary Sci, 1621 Cumberland Ave,602 Strong Hall, Knoxville, TN 37996 USA; [Ren, Jialong; Hesse, Marc A.; Miller, Nathaniel R.] Univ Texas Austin, Dept Geol Sci, 2275 Speedway Stop C9000, Austin, TX 78712 USA; [Lucas, Michael P.] Univ Notre Dame, Dept Civil &amp; Environm Engn &amp; Earth Sci, 156 Fitzpatrick Hall, Notre Dame, IN 46556 USA</t>
  </si>
  <si>
    <t>University of Tennessee System; University of Tennessee Knoxville; University of Texas System; University of Texas Austin; University of Notre Dame</t>
  </si>
  <si>
    <t>Lucas, MP (corresponding author), Univ Tennessee, Dept Earth &amp; Planetary Sci, 1621 Cumberland Ave,602 Strong Hall, Knoxville, TN 37996 USA.</t>
  </si>
  <si>
    <t>mlucas25@nd.edu</t>
  </si>
  <si>
    <t>Hesse, Marc A/B-4914-2011</t>
  </si>
  <si>
    <t>Hesse, Marc A/0000-0002-2532-3274; Miller, Nathan/0000-0002-1677-5594</t>
  </si>
  <si>
    <t>NSF; NASA [80NSSC19K0030]</t>
  </si>
  <si>
    <t>NSF(National Science Foundation (NSF)); NASA(National Aeronautics &amp; Space Administration (NASA))</t>
  </si>
  <si>
    <t>The authors thank Ed R.D. Scott (deceased) and Max Collinet for helpful discussions regarding primitive achondrite meteorites. We appreciate the thorough reviews provided by David W. Mittlefehldt and two anonymous reviewers, which considerably improved the manuscript. We are grateful to the Meteorite Working Group of the Astromaterials Acquisition and Curation Office (AACO) at NASA Johnson Space Center for supplying acapulcoite-lodranite polished thin and thick sections. US Antarctic meteorite samples are recovered by the Antarctic Search for Meteorites (ANSMET) program which has been funded by NSF and NASA, and characterized and curated by the Department of Mineral Sciences of the Smithsonian Institution and the AACO. We are obliged to Allan Patchen at the University of Tennessee for assistance with EPMA. Support for this work was provided by NASA Solar System Workings (SSW) grant 80NSSC19K0030 to ND, HYS, and MAH. Additional support from a NASA COVID augmentation grant is gratefully acknowledged by ND and MPL. MPL is indebted to the M.D. Anderson Cancer Center, Houston, TX. The authors have no conflicts of interests to declare.</t>
  </si>
  <si>
    <t>10.1111/maps.13930</t>
  </si>
  <si>
    <t>6W1LN</t>
  </si>
  <si>
    <t>WOS:000888645000001</t>
  </si>
  <si>
    <t>Rogge, A; Janout, M; Loginova, N; Trudnowska, E; Hörstmann, C; Wekerle, C; Oziel, L; Schourup-Kristensen, V; Ruiz-Castillo, E; Schulz, K; Povazhnyy, VV; Iversen, MH; Waite, AM</t>
  </si>
  <si>
    <t>Rogge, Andreas; Janout, Markus; Loginova, Nadezhda; Trudnowska, Emilia; Hoerstmann, Cora; Wekerle, Claudia; Oziel, Laurent; Schourup-Kristensen, Vibe; Ruiz-Castillo, Eugenio; Schulz, Kirstin; Povazhnyy, Vasily V.; Iversen, Morten H.; Waite, Anya M.</t>
  </si>
  <si>
    <t>Carbon dioxide sink in the Arctic Ocean from cross-shelf transport of dense Barents Sea water</t>
  </si>
  <si>
    <t>MARGINAL ICE-ZONE; ATLANTIC WATER; RESOLUTION; CIRCULATION; BASIN; VARIABILITY; COMMUNITY; PLANKTON; DATASET; RATIOS</t>
  </si>
  <si>
    <t>Large amounts of atmospheric carbon can be exported and retained in the deep sea on millennial time scales, buffering global warming. However, while the Barents Sea is one of the most biologically productive areas of the Arctic Ocean, carbon retention times were thought to be short. Here we present observations, complemented by numerical model simulations, that revealed a deep and widespread lateral injection of approximately 2.33 kt C d(-1) from the Barents Sea shelf to some 1,200 m of the Nansen Basin, driven by Barents Sea Bottom Water transport. With increasing distance from the outflow region, the plume expanded and penetrated into even deeper waters and the sediment. The seasonally fluctuating but continuous injection increases the carbon sequestration of the Barents Sea by 1/3 and feeds the deep sea community of the Nansen Basin. Our findings combined with those from other outflow regions of carbon-rich polar dense waters highlight the importance of lateral injection as a global carbon sink. Resolving uncertainties around negative feedbacks of global warming due to sea ice decline will necessitate observation of changes in bottom water formation and biological productivity at a resolution high enough to quantify future deep carbon injection. Accounting for deep, cross-shelf carbon export into the Nansen Basin increases the carbon sequestration of the Barents Sea region of the Arctic Ocean by some 30%, according to numerical modelling supported by observational data.</t>
  </si>
  <si>
    <t>[Rogge, Andreas] Univ Kiel, Inst Ecosyst Res, Kiel, Germany; [Rogge, Andreas; Janout, Markus; Hoerstmann, Cora; Wekerle, Claudia; Oziel, Laurent; Ruiz-Castillo, Eugenio; Iversen, Morten H.; Waite, Anya M.] Helmholtz Ctr Polar &amp; Marine Res Awl, Alfred Wegener Inst, Bremerhaven, Germany; [Loginova, Nadezhda; Povazhnyy, Vasily V.] Arctic &amp; Antarctic Res Inst AARI, Otto Schmidt Lab Polar &amp; Marine Res OSL, St Petersburg, Russia; [Trudnowska, Emilia] Polish Acad Sci, Inst Oceanol, Sopot, Poland; [Hoerstmann, Cora; Schourup-Kristensen, Vibe] Aarhus Univ, Dept Ecosci Appl Marine Ecol &amp; Modelling, Roskilde, Denmark; [Schulz, Kirstin] Univ Texas Austin, Oden Inst Computat Engn &amp; Sci, Austin, TX USA; [Iversen, Morten H.] MARUM, Bremen, Germany; [Iversen, Morten H.] Univ Bremen, Bremen, Germany; [Waite, Anya M.] Univ Bremen, FB2 Biol Chem, Bremen, Germany; [Waite, Anya M.] Dalhousie Univ, Ocean Frontier Inst, Halifax, NS, Canada; [Waite, Anya M.] Dalhousie Univ, Dept Oceanog, Halifax, NS, Canada</t>
  </si>
  <si>
    <t>University of Kiel; Helmholtz Association; Alfred Wegener Institute, Helmholtz Centre for Polar &amp; Marine Research; Arctic &amp; Antarctic Research Institute; Polish Academy of Sciences; Institute of Oceanology of the Polish Academy of Sciences; Aarhus University; University of Texas System; University of Texas Austin; University of Bremen; University of Bremen; University of Bremen; Dalhousie University; Dalhousie University</t>
  </si>
  <si>
    <t>Rogge, A (corresponding author), Univ Kiel, Inst Ecosyst Res, Kiel, Germany.;Rogge, A (corresponding author), Helmholtz Ctr Polar &amp; Marine Res Awl, Alfred Wegener Inst, Bremerhaven, Germany.</t>
  </si>
  <si>
    <t>andreas.rogge@awi.de</t>
  </si>
  <si>
    <t>Waite, Anya M/A-5492-2015; Iversen, Morten H/C-7741-2013; Hoerstmann, Cora/ITT-8555-2023; Wekerle, Claudia/U-7054-2017; Iversen, Morten Hvitfeldt/Q-3774-2016</t>
  </si>
  <si>
    <t>Hoerstmann, Cora/0000-0002-0097-2454; Schourup-Kristensen, Vibe/0000-0003-0263-9046; Rogge, Andreas/0000-0002-4036-4082; Loginova, Nadezhda/0000-0003-2878-4591; Schulz, Kirstin/0000-0001-8404-944X; Wekerle, Claudia/0000-0001-9985-0950; Janout, Markus/0000-0003-4908-2855; Oziel, Laurent/0000-0001-7939-4011; Iversen, Morten Hvitfeldt/0000-0002-5287-1110</t>
  </si>
  <si>
    <t>Federal Ministry of Education and Research of Germany (BMBF) [03F0776E, 03F0831D]; INSPIRES programme of the Alfred Wegener Institute Helmholtz Centre for Polar and Marine Research (AWI); Polish Ministry of Science and Education [DN/MOB/253/V/2017]; Helmholtz Association of German Research Centres (HGF) research programme 'Changing Earth, Sustaining our Future' (sub-topic 6.2 Adaptation of marine life) of the AWI; BMBF through the research programme GROCE2 [03F0855A]; European Union [820989]; Initiative and Networking Fund of the HGF (Helmholtz Young Investigator Group Marine Carbon and Ecosystem Feedbacks in the Earth System (MarESys) [VH-NG-1301]; HGF Infrastructure Program FRontiers in Arctic marine Monitoring programme (FRAM) of the AWI; BMBF project CATS-Synthesis [03F0831B]; NERC-BMBF [03F0804A]; Ministry of Higher Education and Science of the Russian Federation [RFMEFI61617X0076]; DFG-Research Center of Excellence 'The Ocean Floor-Earth's Uncharted Interface' [EXC-2077-390741603]; HGF Infrastructure Program FRAM of the AWI; Ocean Frontier Institute (Halifax, Canada), through Canada First Research Excellence Fund</t>
  </si>
  <si>
    <t>Federal Ministry of Education and Research of Germany (BMBF)(Federal Ministry of Education &amp; Research (BMBF)); INSPIRES programme of the Alfred Wegener Institute Helmholtz Centre for Polar and Marine Research (AWI); Polish Ministry of Science and Education(Ministry of Science and Higher Education, Poland); Helmholtz Association of German Research Centres (HGF) research programme 'Changing Earth, Sustaining our Future' (sub-topic 6.2 Adaptation of marine life) of the AWI; BMBF through the research programme GROCE2(Federal Ministry of Education &amp; Research (BMBF)); European Union(European Union (EU)); Initiative and Networking Fund of the HGF (Helmholtz Young Investigator Group Marine Carbon and Ecosystem Feedbacks in the Earth System (MarESys); HGF Infrastructure Program FRontiers in Arctic marine Monitoring programme (FRAM) of the AWI; BMBF project CATS-Synthesis(Federal Ministry of Education &amp; Research (BMBF)); NERC-BMBF; Ministry of Higher Education and Science of the Russian Federation(Ministry of Education and Science, Russian Federation); DFG-Research Center of Excellence 'The Ocean Floor-Earth's Uncharted Interface'; HGF Infrastructure Program FRAM of the AWI; Ocean Frontier Institute (Halifax, Canada), through Canada First Research Excellence Fund</t>
  </si>
  <si>
    <t>We thank the captain and the crew of the RV Akademik Tryoshnikov and are grateful for UVP hardware and data assistance by M. Picheral and colleagues from the COMPLEx team of Laboratoire d'Oceanographie de Villefranche-sur-Mer (LOV) involved in the Quantitative Imaging Platform (PIQv). We thank S. Spahic and N. Stollberg for support at sea and T. Hargesheimer, J. Barz and S. Rogge for assistance with DNA extraction and amplicon sequencing. A.R. was funded by the Federal Ministry of Education and Research of Germany (BMBF) through the projects 'Changing Arctic Transpolar System' (CATS, grant number 03F0776E) and CATS-Synthesis (grant number 03F0831D) and the INSPIRES programme of the Alfred Wegener Institute Helmholtz Centre for Polar and Marine Research (AWI). E.T. was funded by the Polish Ministry of Science and Education as Mobility Plus grant (DN/MOB/253/V/2017). C.H. received funding within the Helmholtz Association of German Research Centres (HGF) research programme 'Changing Earth, Sustaining our Future' (sub-topic 6.2 Adaptation of marine life) of the AWI. Financial support for C.W. was provided by the BMBF through the research programme GROCE2 (grant number 03F0855A). L.O. was funded by the European Union's Horizon 2020 research and innovation programme (project COMFORT; 'Our common future ocean in the Earth system-quantifying coupled cycles of carbon, oxygen, and nutrients for determining and achieving safe operating spaces with respect to tipping points'; grant number 820989) and by the Initiative and Networking Fund of the HGF (Helmholtz Young Investigator Group Marine Carbon and Ecosystem Feedbacks in the Earth System (MarESys); grant number VH-NG-1301). The work reflects only the authors' views; the European Commission and its executive agency are not responsible for any use that may be made of the information the work contains. V.S.-K. was funded by the HGF Infrastructure Program FRontiers in Arctic marine Monitoring programme (FRAM) of the AWI. Financial support for E.R.-C. was provided by the BMBF project CATS-Synthesis (grant number 03F0831B). Financial support for K.S. was provided by the NERC-BMBF-funded PEANUTS-project (grant number 03F0804A). N.L. and V.V.P. were financially supported by the Ministry of Higher Education and Science of the Russian Federation (project RFMEFI61617X0076). M.H.I. was funded by the DFG-Research Center of Excellence 'The Ocean Floor-Earth's Uncharted Interface': EXC-2077-390741603 and the HGF Infrastructure Program FRAM of the AWI. Research funding for A.M.W. was provided by the Ocean Frontier Institute (Halifax, Canada), through an award from the Canada First Research Excellence Fund. Computational resources for numerical model simulations were made available by the Norddeutscher Verbund fur Hoch- und Hochstleistungsrechnern (HLRN).</t>
  </si>
  <si>
    <t>10.1038/s41561-022-01069-z</t>
  </si>
  <si>
    <t>Green Accepted, Green Published, hybrid, Green Submitted</t>
  </si>
  <si>
    <t>WOS:000886195100003</t>
  </si>
  <si>
    <t>Rodrigues, CC; Salla, RF; Rocha, TL</t>
  </si>
  <si>
    <t>Rodrigues, Candido Carvalho; Salla, Raquel Fernanda; Rocha, Thiago Lopes</t>
  </si>
  <si>
    <t>Bioaccumulation and ecotoxicological impact of micro(nano)plastics in aquatic and land snails: Historical review, current research and emerging trends</t>
  </si>
  <si>
    <t>JOURNAL OF HAZARDOUS MATERIALS</t>
  </si>
  <si>
    <t>Biomarkers; Emerging pollutants; Ecotoxicity; Microplastics; Nanoplastics; Snail</t>
  </si>
  <si>
    <t>MICROPLASTIC INGESTION; MOLECULAR PHYLOGENY; PLASTIC DEBRIS; GASTROPODA; INVERTEBRATES; PARTICLES; CAENOGASTROPODA; VETIGASTROPODA; EVOLUTION; POLLUTION</t>
  </si>
  <si>
    <t>Microplastics (MPs) and nanoplastics (NPs) are ubiquitous emerging pollutants in the environment. Although MPs/ NPs' hazardous effects have been described at different trophic levels, little attention has been given to how they can affect gastropod communities. Thus, the current study aimed to summarize and critically address data available in the scientific literature about micro(nano)plastics' ecotoxicological impact on snails. The analyzed data has evidenced MP/NP bioaccumulation in 40 gastropod species collected in the field; 15 gastropod species were used to assess the potential toxicity of MPs/NPs. Asia accounted for the highest level of MPs/NPs bioaccumulated in gastropods; it was followed by the South American, European and Antarctic continents. MPs/NPs' toxicity depends on their composi-tion, shape and size, as well as on differences in methodological approaches adopted by different studies. Results have shown that MPs/NPs induce several impairments -such as behavioral changes, developmental toxicity, dysbiosis, histopathological alterations, oxidative stress-, generate ecological impairments, as well as act as pollutant vector and increase chiral chemicals' toxicity. Research gaps and recommendations for future research were highlighted to help better understanding MPs/NPs' toxicity in gastropods, given the extremely important role played by them in studies focused on investigating how MPs/NPs can affect invertebrate communities living in terrestrial and aquatic environments.</t>
  </si>
  <si>
    <t>[Rodrigues, Candido Carvalho; Salla, Raquel Fernanda; Rocha, Thiago Lopes] Univ Fed Goias, Inst Trop Pathol &amp; Publ Hlth, Lab Environm Biotechnol &amp; Ecotoxicol, Goiania, GO, Brazil; [Rocha, Thiago Lopes] Univ Fed Goias, Inst Patol Trop &amp; Saude Publ, Rua 235,Setor Univ, BR-74605050 Goiania, GO, Brazil</t>
  </si>
  <si>
    <t>Universidade Federal de Goias; Universidade Federal de Goias</t>
  </si>
  <si>
    <t>Rocha, TL (corresponding author), Univ Fed Goias, Inst Patol Trop &amp; Saude Publ, Rua 235,Setor Univ, BR-74605050 Goiania, GO, Brazil.</t>
  </si>
  <si>
    <t>thiagorochabio20@ufg.br</t>
  </si>
  <si>
    <t>Rocha, Thiago Lopes/A-3864-2015; Salla Jacob, Raquel Fernanda/N-8903-2017</t>
  </si>
  <si>
    <t>Salla Jacob, Raquel Fernanda/0000-0003-3275-0001; Carvalho Rodrigues, Candido/0000-0002-8457-708X</t>
  </si>
  <si>
    <t>Coordination of Higher Education Personnel Improvement - Brazil (CAPES) [88887.648616/2021-00]; National Council for Scientific and Technological Development (CNPq/Brazil) [152285/2022-9]; Fundacao de Apoio APesquisa - UFG (FUNAPE) [1/2022]; CNPq [306329/2020-4]</t>
  </si>
  <si>
    <t>Coordination of Higher Education Personnel Improvement - Brazil (CAPES)(Coordenacao de Aperfeicoamento de Pessoal de Nivel Superior (CAPES)); National Council for Scientific and Technological Development (CNPq/Brazil)(Conselho Nacional de Desenvolvimento Cientifico e Tecnologico (CNPQ)); Fundacao de Apoio APesquisa - UFG (FUNAPE); CNPq(Conselho Nacional de Desenvolvimento Cientifico e Tecnologico (CNPQ))</t>
  </si>
  <si>
    <t>This work was financially supported by the Coordination of Higher Education Personnel Improvement - Brazil (CAPES) (proc. n. 88887.648616/2021-00), National Council for Scientific and Technological Development (CNPq/Brazil) (proc. n. 152285/2022-9), and by Fundacao de Apoio APesquisa - UFG (FUNAPE) (EDITAL DE FOMENTO No 1/2022). Rocha T.L. is granted with productivity scholarship from CNPq (proc. n. 306329/2020-4).</t>
  </si>
  <si>
    <t>0304-3894</t>
  </si>
  <si>
    <t>1873-3336</t>
  </si>
  <si>
    <t>J HAZARD MATER</t>
  </si>
  <si>
    <t>J. Hazard. Mater.</t>
  </si>
  <si>
    <t>10.1016/j.jhazmat.2022.130382</t>
  </si>
  <si>
    <t>7I2DR</t>
  </si>
  <si>
    <t>WOS:000903704200005</t>
  </si>
  <si>
    <t>Neuman, CM; Gillies, JA; O'Brien, P; Saarenvirta, G; Nickling, WG</t>
  </si>
  <si>
    <t>McKenna Neuman, Cheryl; Gillies, John A. A.; O'Brien, Patrick; Saarenvirta, Gianna; Nickling, William G. G.</t>
  </si>
  <si>
    <t>Development of ornamentation on ventifacts: An examination of flow and saltation kinematic mechanisms</t>
  </si>
  <si>
    <t>EARTH SURFACE PROCESSES AND LANDFORMS</t>
  </si>
  <si>
    <t>laser Doppler anemometry; morphodynamic adjustment; saltation; Taylor Valley; ventifact; wind tunnel simulation</t>
  </si>
  <si>
    <t>MCMURDO DRY VALLEYS; TAYLOR VALLEY; SEDIMENTARY PARTICLES; BOUNDARY-LAYER; SAND TRANSPORT; FOEHN WINDS; ABRASION; TEMPERATURE; HUMIDITY; EROSION</t>
  </si>
  <si>
    <t>Ventifacts are rocks that have been shaped through abrasion by wind-transported sediment. Their surfaces may be ornamented with characteristic microscale features that are replicated and overlain to form complex patterns. Compared to a large body of work on the transport of unconsolidated sediment in which the atmospheric boundary-layer flow and sand cloud respond to perturbations in the developing topography, no experimental work to this date has addressed morphodynamic feedback at the particle scale in aeolian systems dominated by abrasion. This article reports on a case study in which laser Doppler anemometry was used in wind tunnel experiments to measure air flow and sand transport over a highly ornamented, tabular ventifact from the Taylor Valley, Antarctica. Periodicity characterizing the static microtopography of the ventifact was observed to be strongly imprinted on the kinetics of both the airflow and particle cloud when sampled along a transect of the ventifact aligned with flow in the wind tunnel matching the dominant sand transporting wind direction for the ventifact in situ. The vertical velocity component was especially well synchronized, with changes in elevation on the order of 2-4 mm. The horizontal component of particle velocity demonstrated an offset in the downwind direction associated with the large forward momentum of the saltating sand particles. However, submillimeter relief on the fixed ventifact surface was not sufficient to initiate kinetic feedback, as observed along a transect aligned normal to a series of elongated flute structures and the dominant sand transporting wind direction. The particle-scale experimental results confirm that (i) abrasion of this ventifact principally occurred under a unimodal wind and sand transport regime of low-moderate intensity, and (ii) relief arising from weathering, as governed by the ventifact's lithology, likely initiated development of the present-day ornamentation.</t>
  </si>
  <si>
    <t>[McKenna Neuman, Cheryl; O'Brien, Patrick; Saarenvirta, Gianna] Trent Univ, Sch Environm, Trent Environm Wind Tunnel, Peterborough, ON, Canada; [Gillies, John A. A.] Desert Res Inst, Div Atmospher Sci, Reno, NV USA; [Nickling, William G. G.] Univ Guelph, Dept Geog Environm &amp; Geomat, Guelph, ON, Canada; [McKenna Neuman, Cheryl] Trent Univ, Sch theEnvironment, Trent Environm Wind Tunnel, 1600 West Bank Dr, Peterborough, ON K9J 0G2, Canada</t>
  </si>
  <si>
    <t>Trent University; Nevada System of Higher Education (NSHE); Desert Research Institute NSHE; University of Guelph; Trent University</t>
  </si>
  <si>
    <t>Neuman, CM (corresponding author), Trent Univ, Sch theEnvironment, Trent Environm Wind Tunnel, 1600 West Bank Dr, Peterborough, ON K9J 0G2, Canada.</t>
  </si>
  <si>
    <t>cmckneuman@trentu.ca</t>
  </si>
  <si>
    <t>McKenna Neuman, Cheryl/0000-0003-0688-3281</t>
  </si>
  <si>
    <t>US National Science Foundation's Office of Polar Programs; Desert Research Institute; NSERC Discovery Grant; United States Antarctic Program; Canadian Foundation for Innovation (Microenvironments Labs); [ANT-06361]</t>
  </si>
  <si>
    <t>US National Science Foundation's Office of Polar Programs(National Science Foundation (NSF)); Desert Research Institute; NSERC Discovery Grant(Natural Sciences and Engineering Research Council of Canada (NSERC)); United States Antarctic Program; Canadian Foundation for Innovation (Microenvironments Labs);</t>
  </si>
  <si>
    <t>US National Science Foundation's Office ofPolar Programs; United States Antarctic Program, Grant/Award Number: ANT-06361;Desert Research Institute; NSERC DiscoveryGrant; Canadian Foundation for Innovation(Microenvironments Labs)</t>
  </si>
  <si>
    <t>0197-9337</t>
  </si>
  <si>
    <t>1096-9837</t>
  </si>
  <si>
    <t>EARTH SURF PROC LAND</t>
  </si>
  <si>
    <t>Earth Surf. Process. Landf.</t>
  </si>
  <si>
    <t>10.1002/esp.5502</t>
  </si>
  <si>
    <t>9S8SL</t>
  </si>
  <si>
    <t>WOS:000888661000001</t>
  </si>
  <si>
    <t>Cassivi, A; Covey, A; Rodriguez, MJ; Guilherme, S</t>
  </si>
  <si>
    <t>Cassivi, Alexandra; Covey, Anna; Rodriguez, Manuel J.; Guilherme, Stephanie</t>
  </si>
  <si>
    <t>Domestic water security in the Arctic: A scoping review</t>
  </si>
  <si>
    <t>INTERNATIONAL JOURNAL OF HYGIENE AND ENVIRONMENTAL HEALTH</t>
  </si>
  <si>
    <t>Drinking water; Northern communities; Indigenous peoples; Arctic; Scoping review; Water security</t>
  </si>
  <si>
    <t>1ST NATION RESERVE; DRINKING-WATER; RISK-FACTORS; INFECTIOUS-DISEASES; COMMUNITIES; HEALTH; CANADA; INUIT; QUALITY; INSECURITY</t>
  </si>
  <si>
    <t>Introduction: More than 50 million people living in the Arctic nations remain without access to safely managed drinking water services. Remote northern communities, where large numbers of Indigenous peoples live, are disproportionally affected. Recent research has documented water and health-related problems among Indigenous communities, including poor water quality and insufficient quantities of water. Objective: The objective of this scoping review is to examine the extent of available water security evidence as well as identify research gaps and intervention priorities to improve access to domestic water in the Arctic and Subarctic regions of the eight Arctic nations (Canada, the Kingdom of Denmark (Greenland), Finland, Iceland, Norway, Sweden, Russia, and the United States (Alaska)). Methods: An extensive literature review was conducted to retrieve relevant documentation. Arctic &amp; Antarctic Regions, Compendex, Geobase, Georef, MEDLINE and Web of Science databases were searched to identify records for inclusion. The initial searches yielded a total of 1356 records. Two independent reviewers systematically screened identified records using selection criteria. Descriptive analyses were used to summarize evidence of included studies. Results: A total of 55 studies, mostly conducted in Canada and the United States, were included and classified by four predetermined major dimensions: 1) Water accessibility and availability; 2) Water quality assessment; 3) Water supply and health; 4) Preferences and risk perceptions. Conclusions: This scoping review used a global approach to provide researchers and stakeholders with a summary of the evidence available regarding water security and domestic access in the Arctic. Culturally appropriate health-based interventions are necessary to ensure inclusive water services and achieve the Sustainable Development Goals (SDG) targets for universal access to water.</t>
  </si>
  <si>
    <t>[Cassivi, Alexandra; Rodriguez, Manuel J.] Univ Laval, Chaire Rech Eau Potable, Ecole Super Amenagement Terr &amp; Dev Reg, Pavillon Felix Antoine Savard, Quebec City, PQ, Canada; [Covey, Anna; Guilherme, Stephanie] Univ Ottawa, Fac Engn, Dept Civil Engn, Colonel By Hall,161 Louis Pasteur, Ottawa, ON, Canada</t>
  </si>
  <si>
    <t>Laval University; University of Ottawa</t>
  </si>
  <si>
    <t>Cassivi, A (corresponding author), Univ Laval, Chaire Rech Eau Potable, Ecole Super Amenagement Terr &amp; Dev Reg, Pavillon Felix Antoine Savard, Quebec City, PQ, Canada.</t>
  </si>
  <si>
    <t>alexandra.cassivi.1@ulaval.ca</t>
  </si>
  <si>
    <t>Cassivi, Alexandra/0000-0001-8770-1296</t>
  </si>
  <si>
    <t>Natural Sciences and Engineering Research Council of Canada (NSERC); Canada First Research Excellence Fund through Sentinel North (Universite Laval, Canada)</t>
  </si>
  <si>
    <t>Natural Sciences and Engineering Research Council of Canada (NSERC)(Natural Sciences and Engineering Research Council of Canada (NSERC)); Canada First Research Excellence Fund through Sentinel North (Universite Laval, Canada)</t>
  </si>
  <si>
    <t>Authors acknowledge the financial support of the Natural Sciences and Engineering Research Council of Canada (NSERC) and Canada First Research Excellence Fund through Sentinel North (Universite Laval, Canada). The authors would like to thank Joe Bouchard, consulting librarian at Universite Laval, and his team for their assistance and contribution to the elaboration of the search strategy. Finally, the authors would like to thank the anonymous reviewers for their valuable comments towards improving this publication.</t>
  </si>
  <si>
    <t>ELSEVIER GMBH</t>
  </si>
  <si>
    <t>MUNICH</t>
  </si>
  <si>
    <t>HACKERBRUCKE 6, 80335 MUNICH, GERMANY</t>
  </si>
  <si>
    <t>1438-4639</t>
  </si>
  <si>
    <t>1618-131X</t>
  </si>
  <si>
    <t>INT J HYG ENVIR HEAL</t>
  </si>
  <si>
    <t>Int. J. Hyg. Environ. Health.</t>
  </si>
  <si>
    <t>10.1016/j.ijheh.2022.114060</t>
  </si>
  <si>
    <t>Public, Environmental &amp; Occupational Health; Infectious Diseases</t>
  </si>
  <si>
    <t>8R9BB</t>
  </si>
  <si>
    <t>WOS:000928180600005</t>
  </si>
  <si>
    <t>Orrego, FS; Hüne, M; Benítez, HA; Landaeta, MF</t>
  </si>
  <si>
    <t>Orrego, Fernanda S.; Hune, Mathias; Benitez, Hugo A.; Landaeta, Mauricio F.</t>
  </si>
  <si>
    <t>Unraveling the morphological patterns of a subantarctic eelpout: a geometric morphometric approach</t>
  </si>
  <si>
    <t>INTEGRATIVE ZOOLOGY</t>
  </si>
  <si>
    <t>Austrolycus depressiceps; geometric morphometrics; morphology; phenotype; spatial distribution</t>
  </si>
  <si>
    <t>SHAPE CHANGES; LIFE-HISTORY; ZOARCIDAE; SOUTH; PERCIFORMES; PATAGONIA; MASS; PLASTICITY; ISLANDS; SEA</t>
  </si>
  <si>
    <t>Phenotypic variation in organisms depends on the genotype and the environmental constraints of the habitat that they exploit. Therefore, for marine species inhabiting contrasting aquatic conditions, it is expected to find covariation between the shape and its spatial distribution. We studied the morphology of the head and cephalic sensory canals of the eelpout Austrolycus depressiceps (4.5-22.5 cm TL) across its latitudinal distribution in South Pacific (45 degrees S-55 degrees S). Geometric morphometric analyses show that the shape varied from individuals with larger snout and an extended suborbital canal to individuals with shorter snouts and frontally compressed suborbital canal. There was size variation across the sampled populations, but that size does not have a clear latitudinal gradient. Only 8% of the shape variation relates to this size variation (allometry), represented by a decrease in the relative size of the eye, and a depression of the posterior margin of the head. There were spatial differences in the shape of the head, but these differences were probably caused by allometric effects. Additionally, 2 of the canals of the cephalic lateralis pores and the head shape showed modularity in its development. This study shows that the morphology of marine fish with a shallow distribution varies across distances of hundreds of kilometers (i.e., phenotypic modulation).</t>
  </si>
  <si>
    <t>[Orrego, Fernanda S.; Landaeta, Mauricio F.] Univ Valparaiso, Fac Ciencias, Inst Biol, Lab Ictiol &amp; Interacc Biofis LABITI, Valparaiso, Chile; [Hune, Mathias] Ctr Invest Conservac Ecosistemas Austales ICEA, Punta Arenas, Chile; [Benitez, Hugo A.] Univ Catolica Maule, Ctr Invest Estudios Avanzados Maule, Lab Ecol &amp; Morfometria Evolut, Talca, Chile; [Landaeta, Mauricio F.] Univ Valparaiso, Ctr Observac Marino Estudios Riesgos Ambiente Cos, Villa Del Mar, Chile; [Landaeta, Mauricio F.] Millennium Nucleus Ecol &amp; Conservat Temperate Mes, Santiago, Chile; [Benitez, Hugo A.] Millennium Inst Biodivers Antarctic &amp; Subantarcti, Santiago, Chile</t>
  </si>
  <si>
    <t>Universidad de Valparaiso; Universidad Catolica del Maule; Universidad de Valparaiso</t>
  </si>
  <si>
    <t>Landaeta, MF (corresponding author), Univ Valparaiso, Fac Ciencias, Inst Biol, Ave Gran Bretafia 1111 Playa Ancha Valparaiso, Valparaiso 2520000, Chile.</t>
  </si>
  <si>
    <t>mauricio.landaeta@uv.cl</t>
  </si>
  <si>
    <t>Landaeta, Mauricio/0000-0002-5199-5103</t>
  </si>
  <si>
    <t>Chilean Antarctic Institute project; Sistema articulado de investigacion en Cambio Climatico y Sustentabilidad en zonas costeras de Chile; [INACH RT_08-18]; [RED21992]</t>
  </si>
  <si>
    <t>Chilean Antarctic Institute project; Sistema articulado de investigacion en Cambio Climatico y Sustentabilidad en zonas costeras de Chile; ;</t>
  </si>
  <si>
    <t>We thank the tourism company Cruceros Australis for logistical support during fieldwork in southern Patagonia. Also, we thank Ernesto Davis and Pedro Contreras for their help with the fish collections. Specimens were captured under the Chilean legislation (Technical Memorandum P.INV N degrees 224/2016 and N degrees E-2020-120 SUBPESCA). We appreciate comments and suggestions by an anonymous reviewer and Dr. Emma Sherratt (University of Adelaide), who improved an early version of the manuscript. This work was partially funded by the Chilean Antarctic Institute project INACH RT_08-18 grant to M.F.L. and project RED21992, Sistema articulado de investigacion en Cambio Climatico y Sustentabilidad en zonas costeras de Chile.</t>
  </si>
  <si>
    <t>1749-4877</t>
  </si>
  <si>
    <t>1749-4869</t>
  </si>
  <si>
    <t>INTEGR ZOOL</t>
  </si>
  <si>
    <t>Integr. Zool.</t>
  </si>
  <si>
    <t>10.1111/1749-4877.12692</t>
  </si>
  <si>
    <t>9L1WB</t>
  </si>
  <si>
    <t>WOS:000888660000001</t>
  </si>
  <si>
    <t>Hu, XJ; Eichner, J; Gong, DY; Barreiro, M; Kantz, H</t>
  </si>
  <si>
    <t>Hu, Xinjia; Eichner, Jan; Gong, Daoyi; Barreiro, Marcelo; Kantz, Holger</t>
  </si>
  <si>
    <t>Combined impact of ENSO and Antarctic Oscillation on austral spring precipitation in Southeastern South America (SESA)</t>
  </si>
  <si>
    <t>ENSO; AAO; Southeastern South America; Precipitation; Teleconnection</t>
  </si>
  <si>
    <t>SEA-SURFACE TEMPERATURE; EL-NINO; LA-NINA; GLOBAL PRECIPITATION; LEVEL CIRCULATION; ANNULAR MODE; RAINFALL; PACIFIC; VARIABILITY; BRAZIL</t>
  </si>
  <si>
    <t>Southeastern South America (SESA)'s precipitation is thought to be influenced by both El Nino Southern Oscillation (ENSO) and Antarctic Oscillation (AAO), especially in austral spring. Previous studies conclude AAO can modulate ENSO's impact on precipitation over the SESA region without differentiating between El Nino and La Nina events. In the present study, we use composite analysis to further explore the combined impact of AAO and ENSO on austral spring precipitation over Southeastern South America (SESA) to answer this question and explain the dynamic mechanisms. We found that different AAO phases can influence La Nina's impact on SESA austral spring precipitation considerably, while this does not apply for El Nino events. From our analysis, we found that AAO exerts more impact on austral spring precipitation over SESA compared to ENSO during La Nina years by influencing northerly wind and southward water vapor flux, which contributes most of the moisture into the SESA region, due to the strengthening of South Atlantic subtropical anticyclone and stronger meridional gradient in low-level pressure. Besides, there is an upper-level trough (ridge) over subtropical South America indicating advection of cyclonic (anticyclonic) vorticity inducing anomalous increase (decrease) of precipitation over that region during La Nina/AAO- (La Nina/AAO+). We do not see this opposite difference within El Nino groups combined with different phases of AAO.</t>
  </si>
  <si>
    <t>[Hu, Xinjia; Kantz, Holger] Max Planck Inst Phys Komplexer Syst, Nothnitzer Str 38, D-01187 Dresden, Germany; [Eichner, Jan] Munich Reinsurance Co, Koniginstr 107, D-80802 Munich, Germany; [Barreiro, Marcelo] Univ Republica, Fac Ciencias, Dept Ciencias Atmosfera, Igua 4225, Montevideo 11400, Uruguay; [Gong, Daoyi] Beijing Normal Univ, State Key Lab Earth Surface Proc &amp; Resource Ecol, Beijing, Peoples R China; [Gong, Daoyi] Beijing Normal Univ, Key Lab Environm Change &amp; Nat Disasters, Minist Educ, Beijing, Peoples R China; [Gong, Daoyi] Beijing Normal Univ, Fac Geog Sci, Beijing, Peoples R China</t>
  </si>
  <si>
    <t>Max Planck Society; Munich RE Group; Universidad de la Republica, Uruguay; Beijing Normal University; Beijing Normal University; Beijing Normal University</t>
  </si>
  <si>
    <t>Hu, XJ (corresponding author), Max Planck Inst Phys Komplexer Syst, Nothnitzer Str 38, D-01187 Dresden, Germany.</t>
  </si>
  <si>
    <t>xinjia@pks.mpg.de</t>
  </si>
  <si>
    <t>European Union [813844]; Projekt DEAL; Marie Curie Actions (MSCA) [813844] Funding Source: Marie Curie Actions (MSCA)</t>
  </si>
  <si>
    <t>European Union(European Union (EU)); Projekt DEAL; Marie Curie Actions (MSCA)(Marie Curie Actions)</t>
  </si>
  <si>
    <t>Open Access funding enabled and organized by Projekt DEAL. This project has received funding from the European Union's Horizon 2020 research and innovation programme under the Marie Sklodowska-Curie grant agreement No. 813844.</t>
  </si>
  <si>
    <t>JUL</t>
  </si>
  <si>
    <t>10.1007/s00382-022-06592-8</t>
  </si>
  <si>
    <t>K5DT1</t>
  </si>
  <si>
    <t>WOS:000885404300001</t>
  </si>
  <si>
    <t>Núñez-Montero, K; Rojas-Villalta, D; Barrientos, L</t>
  </si>
  <si>
    <t>Nunez-Montero, Kattia; Rojas-Villalta, Dorian; Barrientos, Leticia</t>
  </si>
  <si>
    <t>Antarctic Sphingomonas sp. So64.6b showed evolutive divergence within its genus, including new biosynthetic gene clusters</t>
  </si>
  <si>
    <t>natural products; antibiotics discovery; extreme environments; Antarctic; genome mining</t>
  </si>
  <si>
    <t>SP NOV.; EXPANDED PREDICTION; GENOMIC DIVERSITY; MICROORGANISMS; RHIZOSPHERE; METABOLITES; PROTEIN; TOOL</t>
  </si>
  <si>
    <t>IntroductionThe antibiotic crisis is a major human health problem. Bioprospecting screenings suggest that proteobacteria and other extremophile microorganisms have biosynthetic potential for the production novel antimicrobial compounds. An Antarctic Sphingomonas strain (So64.6b) previously showed interesting antibiotic activity and elicitation response, then a relationship between environmental adaptations and its biosynthetic potential was hypothesized. We aimed to determine the genomic characteristics in So64.6b strain related to evolutive traits for the adaptation to the Antarctic environment that could lead to its diversity of potentially novel antibiotic metabolites. MethodsThe complete genome sequence of the Antarctic strain was obtained and mined for Biosynthetic Gene Clusters (BGCs) and other unique genes related to adaptation to extreme environments. Comparative genome analysis based on multi-locus phylogenomics, BGC phylogeny, and pangenomics were conducted within the closest genus, aiming to determine the taxonomic affiliation and differential characteristics of the Antarctic strain. Results and discussionThe Antarctic strain So64.6b showed a closest identity with Sphingomonas alpina, however containing a significant genomic difference of ortholog cluster related to degradation multiple pollutants. Strain So64.6b had a total of six BGC, which were predicted with low to no similarity with other reported clusters; three were associated with potential novel antibiotic compounds using ARTS tool. Phylogenetic and synteny analysis of a common BGC showed great diversity between Sphingomonas genus but grouping in clades according to similar isolation environments, suggesting an evolution of BGCs that could be linked to the specific ecosystems. Comparative genomic analysis also showed that Sphingomonas species isolated from extreme environments had the greatest number of predicted BGCs and a higher percentage of genetic content devoted to BGCs than the isolates from mesophilic environments. In addition, some extreme-exclusive clusters were found related to oxidative and thermal stress adaptations, while pangenome analysis showed unique resistance genes on the Antarctic strain included in genetic islands. Altogether, our results showed the unique genetic content on Antarctic strain Sphingomonas sp. So64.6, -a probable new species of this genetically divergent genus-, which could have potentially novel antibiotic compounds acquired to cope with Antarctic poly-extreme conditions.</t>
  </si>
  <si>
    <t>[Nunez-Montero, Kattia; Barrientos, Leticia] Univ La Frontera, Ctr Excellence Translat Med, Extreme Environm Biotechnol Lab, Temuco, Chile; [Nunez-Montero, Kattia; Rojas-Villalta, Dorian] Inst Tecnol Costa Rica, Biotechnol Res Ctr, Dept Biol, Cartago, Costa Rica; [Barrientos, Leticia] Univ La Frontera, Sci &amp; Technol Bioresource Nucleus BIOREN, Temuco, Chile</t>
  </si>
  <si>
    <t>Universidad de La Frontera; Instituto Tecnologico de Costa Rica; Universidad de La Frontera</t>
  </si>
  <si>
    <t>Barrientos, L (corresponding author), Univ La Frontera, Ctr Excellence Translat Med, Extreme Environm Biotechnol Lab, Temuco, Chile.;Barrientos, L (corresponding author), Univ La Frontera, Sci &amp; Technol Bioresource Nucleus BIOREN, Temuco, Chile.</t>
  </si>
  <si>
    <t>leticia.barrientos@ufrontera.cl</t>
  </si>
  <si>
    <t>Rojas-Villalta, Dorian/ISB-3389-2023; Barrientos, Leticia/R-6205-2017</t>
  </si>
  <si>
    <t>Rojas-Villalta, Dorian/0000-0002-2939-1485; Barrientos, Leticia/0000-0002-5344-054X; Nunez-Montero, Kattia/0000-0002-8629-5107</t>
  </si>
  <si>
    <t>Agencia Nacional de Investigacion y Desarrollo de Chile (ANID) [FONDECYT-1210563]; Instituto Antartico Chileno (INACH) [INACH DG_01-19]; Network for Extreme Environments Research (NEXER) [NXR17-0003]; INSTITUTO TECNOLOGICO DE COSTA RICA project [5402-1510-1035]; CONICYT-PFCHA/Doctorado Nacional [2017-21170263]</t>
  </si>
  <si>
    <t>Agencia Nacional de Investigacion y Desarrollo de Chile (ANID); Instituto Antartico Chileno (INACH); Network for Extreme Environments Research (NEXER); INSTITUTO TECNOLOGICO DE COSTA RICA project; CONICYT-PFCHA/Doctorado Nacional</t>
  </si>
  <si>
    <t>This research was funded by grants from the Agencia Nacional de Investigacion y Desarrollo de Chile (ANID) - FONDECYT-1210563, the Instituto Antartico Chileno (INACH), INACH DG_01-19; Network for Extreme Environments Research (NEXER), NXR17-0003; INSTITUTO TECNOLOGICO DE COSTA RICA project 5402-1510-1035, and CONICYT-PFCHA/Doctorado Nacional/2017-21170263 for KN-M.</t>
  </si>
  <si>
    <t>NOV 18</t>
  </si>
  <si>
    <t>10.3389/fmicb.2022.1007225</t>
  </si>
  <si>
    <t>7U7MB</t>
  </si>
  <si>
    <t>WOS:000912312300001</t>
  </si>
  <si>
    <t>Hindell, MA; McMahon, CR; Guinet, C; Harcourt, R; Jonsen, ID; Raymond, B; Maschette, D</t>
  </si>
  <si>
    <t>Hindell, Mark Andrew; McMahon, Clive Reginald; Guinet, Christophe; Harcourt, Rob; Jonsen, Ian David; Raymond, Ben; Maschette, Dale</t>
  </si>
  <si>
    <t>Assessing the potential for resource competition between the Kerguelen Plateau fisheries and southern elephant seals</t>
  </si>
  <si>
    <t>Kerguelen Plateau; southern elephant seal; fisheries interactions; Patagonian toothfish; mackerel icefish</t>
  </si>
  <si>
    <t>MIROUNGA-LEONINA; POPULATION STATUS; DIVING BEHAVIOR; MARINE MAMMALS; DIET; TRENDS; DEPREDATION; MANAGEMENT; TILETAMINE; PATTERNS</t>
  </si>
  <si>
    <t>Indirect ecological interactions such as competition for resources between fisheries and marine predators have often been proposed but can be difficult to demonstrate empirically. The Kerguelen Plateau in the Southern Indian Ocean supports fisheries for both Patagonian toothfish and mackerel icefish and is also an important foraging ground for several avian and mammalian predators, including the southern elephant seal. We quantified the spatio-temporal use of the plateau by southern elephant seals and found that males and females spent 30% of their time on the plateau within the commonly used fishing grounds, indicating the possibility of competition for resources there. We then contrasted the seals' use of two habitat types, the benthos (where interactions with the long-line fisheries are most likely) and the epi-pelagic zone. The likelihood of feeding on the benthos declined as ocean depth increased and was also less likely at night. Males were also more likely to feed on the benthos than females. The sub-adult male seals consumed an estimated 6,814 - 14,848 tons of high energy content prey (including toothfish) and females 7,085 - 18,037 tons from the plateau during the post-molt winter months. For males this represented 79.6 - 173.4% of the mean annual catch by the Kerguelen fishery compared to 82.8 - 210.7% for adult females. When considering the seals consumption of fish from the benthos within the fishing grounds these estimates decreased to 3.6 - 15.1% of the fishery's total annual catch for females and 7.8 - 19.1% for males. While this further indicates the possibility of indirect ecological interactions (with the fishery taking more fish than the seals), the lack of detailed diet information for the seals precludes us from establishing the degree or nature of the possible interactions because the importance of toothfish and icefish in the diet of the seals is unknown. However, the unique life history and highly polygynous nature of this species, and the lack of evidence of a measurable effect on either the seal's population growth rates or the catch per unit of the fishery, suggest that any indirect ecological interactions are not of sufficient magnitude to affect either the seal population or the fishery.</t>
  </si>
  <si>
    <t>[Hindell, Mark Andrew; McMahon, Clive Reginald; Raymond, Ben; Maschette, Dale] Univ Tasmania, Inst Marine &amp; Antarctic Studies, Battery Point, Tas, Australia; [McMahon, Clive Reginald; Jonsen, Ian David] Sydney Inst Marine Sci, Integrated Marine Observing Syst IMOS Anim Tagging, Mosman, NSW, Australia; [McMahon, Clive Reginald; Harcourt, Rob; Jonsen, Ian David] Macquarie Univ, Sch Nat Sci, N Ryde, NSW, Australia; [Guinet, Christophe] Ctr Natl Rech Sci CNRS, Etud Biol Chize, Villiers En Bois, France; [Raymond, Ben; Maschette, Dale] Australian Antarctic Div, Channel Highway, Kingston, Tas, Australia</t>
  </si>
  <si>
    <t>University of Tasmania; Sydney Institute of Marine Science; Macquarie University; Centre National de la Recherche Scientifique (CNRS); Australian Antarctic Division</t>
  </si>
  <si>
    <t>Hindell, MA (corresponding author), Univ Tasmania, Inst Marine &amp; Antarctic Studies, Battery Point, Tas, Australia.</t>
  </si>
  <si>
    <t>mark.hindell@utas.edu.au</t>
  </si>
  <si>
    <t>McMahon, Clive R/0000-0001-5241-8917; Jonsen, Ian/0000-0001-5423-6076; Harcourt, Robert/0000-0003-4666-2934; Maschette, Dale/0000-0003-2590-8544</t>
  </si>
  <si>
    <t>Australian Research Council [DP180101667]; Institut Paul Emile Victor (IPEV, France) [109, 1201, 1182]; Integrated Marine Observing System (IMOS, Australia); Program Terre-Ocean-Surface Continentale-Atmosphere from the Centre National d'Etudes Spatiales (TOSCA-CNES, France); Australian Government</t>
  </si>
  <si>
    <t>Australian Research Council(Australian Research Council); Institut Paul Emile Victor (IPEV, France); Integrated Marine Observing System (IMOS, Australia); Program Terre-Ocean-Surface Continentale-Atmosphere from the Centre National d'Etudes Spatiales (TOSCA-CNES, France); Australian Government(Australian Government)</t>
  </si>
  <si>
    <t>This research was funded by the Australian Research Council Discovery Project DP180101667. The fieldwork to deploy the instruments on elephant seals was financially and logistically supported by the Institut Paul Emile Victor (IPEV, France) under the Antarctic research program 109 (H. Weimerskirch), 1201 (C. Gilbert and CG) and 1182 (J.B. Charrassin) in collaboration with the Integrated Marine Observing System (IMOS, Australia; https://imos.org.au/) and the Program Terre-Ocean-Surface Continentale-Atmosphere from the Centre National d'Etudes Spatiales (TOSCA-CNES, France). IMOS is a national collaborative research infrastructure, supported by the Australian Government. It is operated by a consortium of institutions with the University of Tasmania as lead agent.</t>
  </si>
  <si>
    <t>10.3389/fmars.2022.1006120</t>
  </si>
  <si>
    <t>7U6LI</t>
  </si>
  <si>
    <t>WOS:000912242800001</t>
  </si>
  <si>
    <t>Martínez, PD; Morgante, V; González-Pastor, JE</t>
  </si>
  <si>
    <t>de Francisco Martinez, Patricia; Morgante, Veronica; Eduardo Gonzalez-Pastor, Jose</t>
  </si>
  <si>
    <t>Isolation of novel cold-tolerance genes from rhizosphere microorganisms of Antarctic plants by functional metagenomics</t>
  </si>
  <si>
    <t>cold-tolerance; UV-resistance; oxidative stress; functional metagenomics; extreme environments; Antarctic</t>
  </si>
  <si>
    <t>ESCHERICHIA-COLI; RESISTANCE GENES; RIBOSOMAL-RNA; BACTERIAL-GROWTH; SALT TOLERANCE; ADAPTATION; SHOCK; IDENTIFICATION; DEGRADATION; MECHANISMS</t>
  </si>
  <si>
    <t>The microorganisms that thrive in Antarctica, one of the coldest environments on the planet, have developed diverse adaptation mechanisms to survive in these extreme conditions. Through functional metagenomics, in this work, 29 new genes related to cold tolerance have been isolated and characterized from metagenomic libraries of microorganisms from the rhizosphere of two Antarctic plants. Both libraries were hosted in two cold-sensitive strains of Escherichia coli: DH10B Delta csdA and DH10B Delta csdA Delta rnr. The csdA gene encodes a DEAD-box RNA helicase and rnr gene encodes an exoribonuclease, both essential for cold-adaptation. Cold-tolerance tests have been carried out in solid and liquid media at 15 degrees C. Among the cold-tolerance genes identified, 12 encode hypothetical and unknown proteins, and 17 encode a wide variety of different proteins previously related to other well-characterized ones involved in metabolism reactions, transport and membrane processes, or genetic information processes. Most of them have been connected to cold-tolerance mechanisms. Interestingly, 13 genes had no homologs in E. coli, thus potentially providing entirely new adaptation strategies for this bacterium. Moreover, ten genes also conferred resistance to UV-B radiation, another extreme condition in Antarctica.</t>
  </si>
  <si>
    <t>[de Francisco Martinez, Patricia; Morgante, Veronica; Eduardo Gonzalez-Pastor, Jose] CSIC INTA, Dept Mol Evolut, Ctr Astrobiol CAB, Madrid, Spain; [Morgante, Veronica] Univ Bernardo OHiggins, Ctr Invest Recursos Nat &amp; Sustentabilidad CIRENYS, Santiago, Chile</t>
  </si>
  <si>
    <t>Consejo Superior de Investigaciones Cientificas (CSIC); CSIC - Centro de Astrobiologia (INTA); Universidad Bernardo O'Higgins</t>
  </si>
  <si>
    <t>González-Pastor, JE (corresponding author), CSIC INTA, Dept Mol Evolut, Ctr Astrobiol CAB, Madrid, Spain.</t>
  </si>
  <si>
    <t>gonzalezpje@cab.inta-csic.es</t>
  </si>
  <si>
    <t>Morgante, Veronica/HZM-2607-2023; DE FRANCISCO MARTINEZ, PATRICIA/W-1289-2017; Gonzalez-Pastor, Jose Eduardo/I-2118-2015</t>
  </si>
  <si>
    <t>Morgante, Veronica/0000-0001-9142-2214; DE FRANCISCO MARTINEZ, PATRICIA/0000-0003-0806-5514; Gonzalez-Pastor, Jose Eduardo/0000-0002-7615-7042</t>
  </si>
  <si>
    <t>10.3389/fmicb.2022.1026463</t>
  </si>
  <si>
    <t>7S4PF</t>
  </si>
  <si>
    <t>WOS:000910736500001</t>
  </si>
  <si>
    <t>Gurung, TR; Kayastha, RB; Fujita, K; Joshi, SP; Sinisalo, A; Kirkham, JD</t>
  </si>
  <si>
    <t>Gurung, Tika Ram; Kayastha, Rijan Bhakta; Fujita, Koji; Joshi, Sharad Prasad; Sinisalo, Anna; Kirkham, James D. D.</t>
  </si>
  <si>
    <t>A long-term mass-balance reconstruction (1974-2021) and a decadal in situ mass-balance record (2011-2021) of Rikha Samba Glacier, central Himalaya</t>
  </si>
  <si>
    <t>Energy balance; glacier mass balance; mass-balance reconstruction; mountain glaciers</t>
  </si>
  <si>
    <t>CHHOTA SHIGRI GLACIER; SEA-LEVEL RISE; PRECIPITATION GAUGE; WESTERN HIMALAYA; MODELING RUNOFF; NEPAL HIMALAYA; HIDDEN VALLEY; SURFACE; REGIME; SNOW</t>
  </si>
  <si>
    <t>Despite their importance for regional water resource planning and as indicators of climate change, records of in situ glacier mass balance remain short and spatially sparse in the Himalaya. Here, we present an updated series of in situ mass-balance measurements from Rikha Samba Glacier, Nepal, between 2011 and 2021. The updated in situ mass balance is -0.39 +/- 0.32 m w.e. for this period. We use an energy-mass balance model to extend the annual mass-balance series back to 1974. The model is forced using daily meteorological variables from ERA5-Land reanalysis data that is linearly bias-corrected using observations from an automatic weather station situated near the glacier terminus. The modeled mass balance is consistent with the in situ mass-balance series measured 2011-2021 and with previous glaciological and geodetic estimates. The model results indicate a mass balance of -0.56 +/- 0.27 m w.e. a(-1) over the reconstruction period of 1974-2021, which is comparable to the mass losses experienced by other Himalayan glaciers during this time. An assessment of the sensitivity of the glacier mass balance to meteorological forcing suggests that a change in temperature of +/- 1 K has a stronger effect on the calculated mass balance compared to a +/- 20% change in either precipitation, or relative humidity, or solar radiation.</t>
  </si>
  <si>
    <t>[Gurung, Tika Ram; Joshi, Sharad Prasad; Sinisalo, Anna; Kirkham, James D. D.] Int Ctr Integrated Mt Dev, GPO Box 3226, Kathmandu, Nepal; [Gurung, Tika Ram; Kayastha, Rijan Bhakta] Kathmandu Univ, Dept Environm Sci &amp; Engn, Sch Sci, Himalayan Cryosphere Climate &amp; Disaster Res Ctr, Dhulikhel, Nepal; [Fujita, Koji] Nagoya Univ, Grad Sch Environm Studies, Nagoya, Japan; [Sinisalo, Anna] GRID Arendal, Arendal, Norway; [Kirkham, James D. D.] Univ Cambridge, Scott Polar Res Inst, Lensfield Rd, Cambridge CB2 1ER, England; [Kirkham, James D. D.] British Antarctic Survey, Nat Environm Res Council, Madingley Rd, Cambridge CB3 0ET, England</t>
  </si>
  <si>
    <t>Nagoya University; University of Cambridge; UK Research &amp; Innovation (UKRI); Natural Environment Research Council (NERC); NERC British Antarctic Survey</t>
  </si>
  <si>
    <t>Gurung, TR (corresponding author), Int Ctr Integrated Mt Dev, GPO Box 3226, Kathmandu, Nepal.;Gurung, TR (corresponding author), Kathmandu Univ, Dept Environm Sci &amp; Engn, Sch Sci, Himalayan Cryosphere Climate &amp; Disaster Res Ctr, Dhulikhel, Nepal.</t>
  </si>
  <si>
    <t>tikargrg@gmail.com</t>
  </si>
  <si>
    <t>Fujita, Koji/E-6104-2010; Gurung, Tika/HKW-2027-2023; Kayastha, Rijan/K-9370-2014</t>
  </si>
  <si>
    <t>Fujita, Koji/0000-0003-3753-4981; Kayastha, Rijan/0000-0002-5896-1731; Sinisalo, Anna/0000-0002-7587-1877; , Tika Ram Gurung/0000-0003-4287-6150; Kirkham, James/0000-0002-0506-1625</t>
  </si>
  <si>
    <t>Government of Norway; Department of Hydrology and Meteorology Government of Nepal (DHM); Water and Energy Commission Secretariat, Government of Nepal (WECS); Tribhuvan University, Nepal (TU); ICIMOD; JSPS-KAKENHI [17H01621, 18KK0098]; JSPS; SNSF</t>
  </si>
  <si>
    <t>Government of Norway; Department of Hydrology and Meteorology Government of Nepal (DHM); Water and Energy Commission Secretariat, Government of Nepal (WECS); Tribhuvan University, Nepal (TU); ICIMOD; JSPS-KAKENHI(Ministry of Education, Culture, Sports, Science and Technology, Japan (MEXT)Japan Society for the Promotion of ScienceGrants-in-Aid for Scientific Research (KAKENHI)); JSPS(Ministry of Education, Culture, Sports, Science and Technology, Japan (MEXT)Japan Society for the Promotion of Science); SNSF(Swiss National Science Foundation (SNSF))</t>
  </si>
  <si>
    <t>We thank the Government of Norway for supporting and funding this research, as well as our national partners, including the Department of Hydrology and Meteorology Government of Nepal (DHM), Water and Energy Commission Secretariat, Government of Nepal (WECS), and Tribhuvan University, Nepal (TU). This study was partially supported by core funds of ICIMOD contributed by the governments of Afghanistan, Australia, Austria, Bangladesh, Bhutan, China, India, Myanmar, Nepal, Norway, Pakistan, Sweden and Switzerland. We acknowledge Tenzing Chogyal Sherpa for making the study area map and his contribution to mass-balance measurement in 2018 along with Dawa Tshering Sherpa. The authors extend a big thanks to all field members, field assistants, porters, guides and special gratitude to Ang Kipa Sherpa, Chyapten Sherpa, Laxmi Kumar Rai and Pemba Sherpa for their support during the glacier measurements, installation and maintenance of weather station and for all of their logistical support. We extend our sincere gratitude to Dorothea Stumm, Bikas Bhattarai, Niraj Pradhananga for the initial mass-balance stake and weather station installation and maintenance, and for their intellectual support. K. Fujita was supported by JSPS-KAKENHI (grant numbers 17H01621 and 18KK0098), and JSPS and SNSF under the Joint Research Projects (JRPs). Finally, we thank the scientific editor, Argha Banerjee, and two anonymous reviewers for thorough and helpful reviews that significantly improved the paper.</t>
  </si>
  <si>
    <t>PII S0022143022000934</t>
  </si>
  <si>
    <t>10.1017/jog.2022.93</t>
  </si>
  <si>
    <t>WOS:000889913100001</t>
  </si>
  <si>
    <t>Voermans, JJ; Xu, XK; Babanin, AV</t>
  </si>
  <si>
    <t>Voermans, Joey J.; Xu, Xingkun; Babanin, Alexander V.</t>
  </si>
  <si>
    <t>Validity of the wave stationarity assumption on estimates of wave attenuation in sea ice: toward a method for wave-ice attenuation observations at global scales</t>
  </si>
  <si>
    <t>Atmosphere; ice; ocean interactions; sea ice; sea-ice dynamics</t>
  </si>
  <si>
    <t>OCEAN WAVES; PROPAGATION; DISSIPATION; DISPERSION; ENERGY; FLOES; MODEL; DRIFT; ZONE</t>
  </si>
  <si>
    <t>In situ observations of wave attenuation by sea ice are required to develop and validate wave-ice interaction parameterizations in coupled wave models. To estimate ice-induced wave attenuation in the field, the wave field is typically assumed to be stationary. In this study we investigate the validity of this assumption by creating a synthetic wave field in sea ice for different attenuation rates. We observe that errors in estimates of the wave attenuation rates are largest when attenuation rates are small or temporal averaging periods are short. Moreover, the adoption of the wave stationarity assumption can lead to negative estimates of the instantaneous wave attenuation rate. These apparent negative values should therefore not be attributed to wave growth or erroneous measurements a priori. Surprisingly, we observe that the validity of the wave stationarity assumption is irrelevant to the accuracy of estimates of wave attenuation rates as long as the temporal averaging period is taken sufficiently long. This may provide opportunities in using satellite-derived products to estimate wave attenuation rates in sea ice at global scales.</t>
  </si>
  <si>
    <t>[Voermans, Joey J.; Xu, Xingkun; Babanin, Alexander V.] Univ Melbourne, Dept Infrastruct Engn, Melbourne, Australia</t>
  </si>
  <si>
    <t>University of Melbourne</t>
  </si>
  <si>
    <t>Voermans, JJ (corresponding author), Univ Melbourne, Dept Infrastruct Engn, Melbourne, Australia.</t>
  </si>
  <si>
    <t>jvoermans@unimelb.edu.au</t>
  </si>
  <si>
    <t>Xu, Xingkun/0000-0002-0692-8147; Voermans, Joey/0000-0002-2963-3763</t>
  </si>
  <si>
    <t>Australian Antarctic Program; US Office of Naval Research; [4593]; [N62909-20-1-2080]</t>
  </si>
  <si>
    <t>Australian Antarctic Program; US Office of Naval Research(Office of Naval Research); ;</t>
  </si>
  <si>
    <t>Acknowledgements We acknowledge Sofar Ocean Technologies for the wave buoy deployment and providing wave buoy data, and the Copernicus Climate Change Service at ECMWF for making the ERA5 reanalysis data available. JJV and AVB acknowledge support from the Australian Antarctic Program under project 4593. AVB acknowledges support from the US Office of Naval Research (grant N62909-20-1-2080). The authors thank the two anonymous reviewers for their comments and suggestions which significantly improved this manuscript.</t>
  </si>
  <si>
    <t>PII S0022143022000995</t>
  </si>
  <si>
    <t>10.1017/jog.2022.99</t>
  </si>
  <si>
    <t>WOS:000889226300001</t>
  </si>
  <si>
    <t>Herlingshaw, K; Baddeley, L; Oksavik, K; Lorentzen, DA; Laundal, KM</t>
  </si>
  <si>
    <t>Herlingshaw, Katie; Baddeley, Lisa; Oksavik, Kjellmar; Lorentzen, Dag A. A.; Laundal, Karl M. M.</t>
  </si>
  <si>
    <t>A statistical study of polar cap flow channels observed in both hemispheres using SuperDARN radars</t>
  </si>
  <si>
    <t>JOURNAL OF SPACE WEATHER AND SPACE CLIMATE</t>
  </si>
  <si>
    <t>Ionospheric flow channels; Ionospheric convection; Solar wind driving conditions</t>
  </si>
  <si>
    <t>IMF B-Y; INTERPLANETARY MAGNETIC-FIELD; FLUX-TRANSFER EVENTS; HIGH-LATITUDE; IONOSPHERIC CONVECTION; ENHANCED CONVECTION; BIRKELAND CURRENTS; PULSED FLOWS; PLASMA-FLOW; DAYSIDE</t>
  </si>
  <si>
    <t>This paper details the first large-scale, interhemispheric statistical study into ionospheric fast flow (&gt;900 m/s) channels in the polar cap using the SuperDARN radar network. An automatic algorithm was applied to 6 years of data (2010-2016) from 8 SuperDARN radars with coverage in the polar cap regions in both hemispheres. Over 17,000 flow channels were detected, the majority of which occurred in the dayside polar cap region. To determine a statistical relationship between the flow channels and the IMF, a Monte Carlo simulation was used to generate probability distribution functions for IMF conditions and dipole tilt angles. These were used as a baseline for comparisons with IMF conditions associated with the flow channels. This analysis showed that fast flow channels are preferentially driven by IMF B-y dominant conditions, suggesting that a magnetic tension force on the newly reconnected field lines is required to accelerate the ionospheric plasma to high speeds on the dayside. The flow channels also occur preferentially during disturbed IMF conditions. Large populations of flow channels were observed on the flanks of the polar cap region. This indicates that significant momentum transfer from the magnetosphere can routinely occur on open field lines on the flanks, far from the dayside and nightside reconnection regions.</t>
  </si>
  <si>
    <t>[Herlingshaw, Katie; Baddeley, Lisa; Oksavik, Kjellmar; Lorentzen, Dag A. A.; Laundal, Karl M. M.] Univ Ctr Svalbard, Dept Arctic Geophys, N-9171 Longyearbyen, Norway; [Herlingshaw, Katie; Baddeley, Lisa; Oksavik, Kjellmar; Lorentzen, Dag A. A.; Laundal, Karl M. M.] Univ Bergen, Birkeland Ctr Space Sci, N-5007 Bergen, Norway</t>
  </si>
  <si>
    <t>University Centre Svalbard (UNIS); University of Bergen</t>
  </si>
  <si>
    <t>Herlingshaw, K (corresponding author), Univ Ctr Svalbard, Dept Arctic Geophys, N-9171 Longyearbyen, Norway.;Herlingshaw, K (corresponding author), Univ Bergen, Birkeland Ctr Space Sci, N-5007 Bergen, Norway.</t>
  </si>
  <si>
    <t>katieh@unis.no</t>
  </si>
  <si>
    <t>Laundal, Karl/GXZ-6326-2022; Oksavik, Kjellmar/GWZ-7781-2022</t>
  </si>
  <si>
    <t>Laundal, Karl/0000-0001-5028-4943; Oksavik, Kjellmar/0000-0003-4312-6992; Herlingshaw, Katie/0000-0001-6861-1914</t>
  </si>
  <si>
    <t>Research Council of Norway [223252]</t>
  </si>
  <si>
    <t>Research Council of Norway(Research Council of Norway)</t>
  </si>
  <si>
    <t>Financial support was provided by the Research Council of Norway under contract 223252. We acknowledge the use of NASA/GSFC's Space Physics Data Facility's OMNIWeb (or CDAWeb or ftp) service, and OMNI data. The authors acknowledge the use of SuperDARN data, which are available online from the British Antarctic Survey (https://www.bas.ac.uk/project/superdarn), and thank Marina Schmidt and Kevin Krieger for their help accessing data. The authors would also like to thank Steve Milan for helpful discussions. SuperDARN is a collection of radars funded by the national scientific funding agencies of Australia, Canada, China, France, Italy, Japan, Norway, South Africa, the United Kingdom, and the United States of America. We thank the PIs of the radars used in this paper: Dag Lorentzen (University Centre in Svalbard) PI of the LYR radar, Kathryn McWilliams (University of Saskatchewan) PI of the CLY, SAS, and RKN radars, Bill Bristow (University of Alaska Fairbanks) PI of the MCM and SPS radars, Federica Marcucci (Institute for Space Astrophysics and Planetology) PI of the DCE radar, and Hongqiao Hu (Polar Research Institute of China) PI of the ZHO radar. We thank the AMPERE team and the AMPERE Science Center for providing the Iridiumaderived data products; AMPERE products are available at http://ampere.jhuapl. edu. We thank Steve Milan for providing the R1/R2 boundary circle fits from the AMPERE data, which are available online at https://leicester.figshare.com/articles/AMPERE_R1_R2_ FAC_radii/11294861/1. The editor thanks William Bristow and an anonymous reviewer for their assistance in evaluating this paper.</t>
  </si>
  <si>
    <t>EDP SCIENCES S A</t>
  </si>
  <si>
    <t>LES ULIS CEDEX A</t>
  </si>
  <si>
    <t>17, AVE DU HOGGAR, PA COURTABOEUF, BP 112, F-91944 LES ULIS CEDEX A, FRANCE</t>
  </si>
  <si>
    <t>2115-7251</t>
  </si>
  <si>
    <t>J SPACE WEATHER SPAC</t>
  </si>
  <si>
    <t>J. Space Weather Space Clim.</t>
  </si>
  <si>
    <t>10.1051/swsc/2022037</t>
  </si>
  <si>
    <t>6L8NM</t>
  </si>
  <si>
    <t>WOS:000888436100001</t>
  </si>
  <si>
    <t>Maduna, NG; Manzi, MSD; Jinnah, Z; Bourdeau, JE</t>
  </si>
  <si>
    <t>Maduna, Nombuso G.; Manzi, Musa S. D.; Jinnah, Zubair; Bourdeau, Julie E.</t>
  </si>
  <si>
    <t>Strato-structural evolution of the deep-water Orange Basin: constraints from3D reflection seismic data</t>
  </si>
  <si>
    <t>SOLID EARTH</t>
  </si>
  <si>
    <t>SOUTH-AFRICA; CONTINENTAL MARGINS; OFFSHORE NAMIBIA; UPLIFT HISTORY; THRUST BELTS; CAPE BASIN; ATLANTIC; INSIGHTS; SEGMENTATION; STRATIGRAPHY</t>
  </si>
  <si>
    <t>Deep-water fold-and-thrust belt (DWFTB) systems are gravity-driven collapse structures often found in passive margin settings and are comprised of a linked up dip extensional domain, central transitional/translational domain, and down-dip compressional domain. Many Late Cretaceous DWFTB systems occur along the SW African passive margin with multiple, over-pressurized, seaward dipping shale detachment surfaces accommodating gravitational slip. In this study we use 3D reflection seismic data to constrain the strato-structural evolution of the translational and compressional domains of a Late Cretaceous DWFTB system and the overlying Cenozoic deposits in the Orange Basin, South Africa. The stratigraphy and structure of the Late Cretaceous DWFTB system is shown to have controlled fundamental sedimentary processes and the stability of the evolving margin. The compressional domain exhibits largescale landward-dipping DWFTBs with thrust faults detaching the main Turonian shale detachment surface at depth and terminating at the early Campanian surface. A major 7 km wide seafloor slump scar reflecting margin instability occurs directly above a syncline of the same width from the buried DWFTB system's compressional domain. The translational domain is imaged as a complex region displaying overprinted features of both extensional and compressional tectonics with the downslope translation of sediment comprising listric normal and then thrust and oblique-slip faults distally. Thrust sheets are segmented along strike by extensive oblique-slip faults which extend from the translational domain into the down-dip compressional domain. Smaller, localized fold-and-thrust belts are found directly below the kilometre-scale DWFTB system in the down-dip compressional domain detaching a lower, Albian shale detachment surface which corresponds to an older gravitational collapse. The upward propagation of normal and oblique-slip faults with progressive sedimentation is hindered by the Oligocene or Miocene stratigraphic markers corresponding to mass erosional processes in the Cenozoic. A large (-2.3 km wide), roughly slope-perpendicular Oligocene submarine canyon formed by turbidity currents is attributed to a major sea-level fall at 30 Ma. Oceanographic circulation is shown to have held a significant control on the deposition of mid-Miocene to present-day sedimentary sequences. Between 1200 to 1500 m water depths along the upper continental slope wellpreserved extensive slope-parallel, sinusoidal channel-like features occur on the Miocene stratigraphic marker. The channels are confined within a 14 km wide zone at the interface of the upper northward-flowing Antarctic Intermediate Water (AAIW) and deeper southward-flowing North Atlantic Deep Water (NADW) currents. The erosive interaction of these oppositely flowing bottom currents combined with the effects of the Benguela Upwelling System (BUS), all of which formed or intensified at 11 Ma, are responsible for the creation and preservation of the extensive slope-parallel channels. This study shows the difference in structural styles of the translational and compressional domains of a Late Cretaceous DWFTB system and the processes responsible for mass-scale erosion in the Cenozoic.</t>
  </si>
  <si>
    <t>[Maduna, Nombuso G.; Manzi, Musa S. D.; Jinnah, Zubair] Univ Witwatersrand, Sch Geosci, PBag 3, WITS, ZA-2050 Johannesburg, South Africa; [Bourdeau, Julie E.] Geol Survey Canada, 601 Booth St, Ottawa, ON K1A 0E8, Canada</t>
  </si>
  <si>
    <t>University of Witwatersrand; Natural Resources Canada; Lands &amp; Minerals Sector - Natural Resources Canada; Geological Survey of Canada</t>
  </si>
  <si>
    <t>Maduna, NG (corresponding author), Univ Witwatersrand, Sch Geosci, PBag 3, WITS, ZA-2050 Johannesburg, South Africa.</t>
  </si>
  <si>
    <t>nombuso.maduna@gmail.com</t>
  </si>
  <si>
    <t>Jinnah, Zubair/0000-0002-1317-7361; Maduna, Nombuso/0000-0003-2647-8603</t>
  </si>
  <si>
    <t>National Research Foundation of South Africa [UID: 130186]; Council for Geoscience; Schlumberger</t>
  </si>
  <si>
    <t>National Research Foundation of South Africa(National Research Foundation - South Africa); Council for Geoscience; Schlumberger(Schlumberger)</t>
  </si>
  <si>
    <t>We would like to thank the National Research Foundation of South Africa (grant UID: 130186) and the Council for Geoscience for funding the first author's research. Our thanks are also extended to Shell South Africa and the Petroleum Agency of South Africa for providing the 3D reflection seismic data. We are grateful to Schlumberger for providing the Petrel software license and their support. We are furthermore grateful for the insights Vuyolwethu Mahlalela provided and to our colleagues and friends from the Wits Seismic Research Centre for the scientific discussions had and invaluable inputs provided. The authors would also like to thank two anonymous reviewers and Chris Elders (Curtin University) for their constructive comments which have greatly improved this paper. The editorial team of EGUsphere is also thanked for editorial handling.</t>
  </si>
  <si>
    <t>1869-9510</t>
  </si>
  <si>
    <t>1869-9529</t>
  </si>
  <si>
    <t>Solid Earth</t>
  </si>
  <si>
    <t>10.5194/se-13-1755-2022</t>
  </si>
  <si>
    <t>6J2RA</t>
  </si>
  <si>
    <t>WOS:000886673500001</t>
  </si>
  <si>
    <t>Tian, T; Cheng, LJ; Wang, GJ; Abraham, J; Wei, WX; Ren, SH; Zhu, J; Song, JQ; Leng, HZ</t>
  </si>
  <si>
    <t>Tian, Tian; Cheng, Lijing; Wang, Gongjie; Abraham, John; Wei, Wangxu; Ren, Shihe; Zhu, Jiang; Song, Junqiang; Leng, Hongze</t>
  </si>
  <si>
    <t>Reconstructing ocean subsurface salinity at high resolution using a machinelearning approach</t>
  </si>
  <si>
    <t>GLOBAL OCEAN; IN-SITU; HEAT-CONTENT; SURFACE-TEMPERATURE; SATELLITE; CLIMATOLOGY; VARIABILITY; REANALYSIS</t>
  </si>
  <si>
    <t>A gridded ocean subsurface salinity dataset with global coverage is useful for research on climate change and its variability. Here, we explore the feed-forward neural network (FFNN) approach to reconstruct a high-resolution (0.25 degrees x 0.25 degrees) ocean subsurface (1-2000 m) salinity dataset for the period 1993-2018 by merging in situ salinity profile observations with high-resolution (0.25 degrees x 0.25 degrees) satellite remote-sensing altimetry absolute dynamic topography (ADT), sea surface temperature (SST), sea surface wind (SSW) field data, and a coarse-resolution (1 degrees x 1 degrees) gridded salinity product. We show that the FFNN can effectively transfer small-scale spatial variations in ADT, SST, and SSW fields into the 0.25 degrees x 0.25 degrees salinity field. The root-mean-square error (RMSE) can be reduced by -11 % on a global-average basis compared with the 1 degrees x 1 degrees salinity gridded field. The reduction in RMSE is much larger in the upper ocean than the deep ocean because of stronger mesoscale variations in the upper layers. In addition, the new 0.25 degrees x 0.25 degrees reconstruction shows more realistic spatial signals in the regions with strong mesoscale variations, e.g., the Gulf Stream, Kuroshio, and Antarctic Circumpolar Current regions, than the 1 degrees x 1 degrees resolution product, indicating the efficiency of the machine learning approach in bringing satellite observations together with in situ observations. The large-scale salinity patterns from 0.25 degrees x 0.25 degrees data are consistent with the 1 degrees x 1 degrees gridded salinity field, suggesting the persistence of the large-scale signals in the high-resolution reconstruction. The successful application of machine learning in this study provides an alternative approach for ocean and climate data reconstruction that can complement the existing data assimilation and objective analysis methods.</t>
  </si>
  <si>
    <t>[Tian, Tian; Song, Junqiang; Leng, Hongze] Natl Univ Def Technol, Coll Meteorol &amp; Oceanog, Changsha 410073, Peoples R China; [Tian, Tian; Cheng, Lijing; Wei, Wangxu; Zhu, Jiang] Chinese Acad Sci, Inst Atmospher Phys, Beijing 100029, Peoples R China; [Cheng, Lijing] Chinese Acad Sci, Ctr Ocean Mega Sci, Qingdao 266071, Peoples R China; [Wang, Gongjie] Chinese Meteorol Adm, Natl Climate Ctr, Beijing 100081, Peoples R China; [Abraham, John] Univ St Thomas, Sch Engn, St Paul, MN 55105 USA; [Ren, Shihe] Minist Nat Resources, Natl Marine Environm Forecasting Ctr, Key Lab Res Marine Hazards Forecasting, Beijing 100081, Peoples R China</t>
  </si>
  <si>
    <t>National University of Defense Technology - China; Chinese Academy of Sciences; Institute of Atmospheric Physics, CAS; Chinese Academy of Sciences; China Meteorological Administration; University of St Thomas Minnesota; Ministry of Natural Resources of the People's Republic of China; National Marine Environmental Forecasting Center</t>
  </si>
  <si>
    <t>Cheng, LJ (corresponding author), Chinese Acad Sci, Inst Atmospher Phys, Beijing 100029, Peoples R China.;Cheng, LJ (corresponding author), Chinese Acad Sci, Ctr Ocean Mega Sci, Qingdao 266071, Peoples R China.</t>
  </si>
  <si>
    <t>chenglij@mail.iap.ac.cn</t>
  </si>
  <si>
    <t>cheng, lijing/W-2261-2017</t>
  </si>
  <si>
    <t>cheng, lijing/0000-0002-9854-0392; Ren, Shihe/0000-0003-3144-7027</t>
  </si>
  <si>
    <t>Strategic Priority Research Program of the Chinese Academy of Sciences; National Natural Science Foundation of China [XDB42040402]; Youth Innovation Promotion Association, CAS [42122046, 42076202]; [2020-077]</t>
  </si>
  <si>
    <t>Strategic Priority Research Program of the Chinese Academy of Sciences(Chinese Academy of Sciences); National Natural Science Foundation of China(National Natural Science Foundation of China (NSFC)); Youth Innovation Promotion Association, CAS;</t>
  </si>
  <si>
    <t>This study was supported by the Strategic Priority Research Program of the Chinese Academy of Sciences (grant no. XDB42040402), the National Natural Science Foundation of China (grant nos. 42122046 and 42076202), and the Youth Innovation Promotion Association, CAS (grant no. 2020-077).</t>
  </si>
  <si>
    <t>10.5194/essd-14-5037-2022</t>
  </si>
  <si>
    <t>6J2RL</t>
  </si>
  <si>
    <t>WOS:000886674600001</t>
  </si>
  <si>
    <t>Patrohay, E; Gradinger, R; Marquardt, M; Bluhm, BA</t>
  </si>
  <si>
    <t>Patrohay, Evan; Gradinger, Rolf; Marquardt, Miriam; Bluhm, Bodil A.</t>
  </si>
  <si>
    <t>First trait-based characterization of Arctic ice meiofauna taxa</t>
  </si>
  <si>
    <t>Functional traits; Arctic sea ice; Sea ice meiofauna; Trait database</t>
  </si>
  <si>
    <t>ANTARCTIC SEA-ICE; NEMATODES MONHYSTEROIDEA; SALINITY TOLERANCE; COMMUNITY ECOLOGY; FROBISHER BAY; BEAUFORT SEA; ABUNDANCE; BIODIVERSITY; ZOOPLANKTON; TEMPERATURE</t>
  </si>
  <si>
    <t>Trait-based approaches connect the traits of species to ecosystem functions to estimate the functional diversity of communities and how they may respond to environmental change. For the first time, we compiled a traits matrix across 11 traits for 28 species of Arctic ice meiofauna, including Copepoda (Subclass), Nematoda (Phylum), Acoela (Order), Rotifera (Phylum), and Cnidaria (Phylum). Over 50 years of pan-Arctic literature were manually reviewed, and trait categories were assigned to enable future trait-function connections within the threatened ice-associated ecosystem. Approximately two-thirds of the traits data were found at the genus or species level, ranging from 44% for Nematoda to 100% for Cnidaria. Ice meiofauna were shown to possess advantageous adaptations to the brine channel network within sea ice, including a majority with small body widths &lt; 200 mu m, high body flexibility, and high temperature and salinity tolerance. Diets were found to be diverse outside of the algal bloom season, with most organisms transitioning to ciliate-, omnivore-, or detritus-based diets. Eight species of the studied taxa have only been recorded within sea ice, while the rest are found in a mixture of sympagic-pelagic-benthic habitats. Twelve of the ice meiofauna species have been found with all life stages present in sea ice. Body width, temperature tolerance, and salinity tolerance were identified as traits with the largest research gaps and suffered from low-resolution taxonomic data. Overall, the compiled data show the degree to which ice meiofauna are adapted to spending all or portions of their lives within the ice.</t>
  </si>
  <si>
    <t>[Patrohay, Evan; Gradinger, Rolf; Marquardt, Miriam; Bluhm, Bodil A.] UiT Arctic Univ Norway, Dept Arctic &amp; Marine Biol, Tromso, Norway</t>
  </si>
  <si>
    <t>Patrohay, E (corresponding author), UiT Arctic Univ Norway, Dept Arctic &amp; Marine Biol, Tromso, Norway.</t>
  </si>
  <si>
    <t>evanrp99@gmail.com</t>
  </si>
  <si>
    <t>Bluhm, Bodil A/E-7165-2015</t>
  </si>
  <si>
    <t>UiT The Arctic University of Norway (University Hospital of North Norway)</t>
  </si>
  <si>
    <t>Open access funding provided by UiT The Arctic University of Norway (incl University Hospital of North Norway).</t>
  </si>
  <si>
    <t>10.1007/s00300-022-03099-0</t>
  </si>
  <si>
    <t>6S4ZD</t>
  </si>
  <si>
    <t>WOS:000885215800001</t>
  </si>
  <si>
    <t>Reading, AM; Stål, T; Halpin, JA; Lösing, M; Ebbing, J; Shen, WS; McCormack, FS; Siddoway, CS; Hasterok, D</t>
  </si>
  <si>
    <t>Reading, Anya M.; Stal, Tobias; Halpin, Jacqueline A.; Losing, Mareen; Ebbing, Jorg; Shen, Weisen; McCormack, Felicity S.; Siddoway, Christine S.; Hasterok, Derrick</t>
  </si>
  <si>
    <t>Antarctic geothermal heat flow and its implications for tectonics and ice sheets (Oct, 10.1038/s43017-022-00348-7, 2022)</t>
  </si>
  <si>
    <t>NATURE REVIEWS EARTH &amp; ENVIRONMENT</t>
  </si>
  <si>
    <t>anya.reading@utas.edu.au</t>
  </si>
  <si>
    <t>Reading, Anya M/E-6728-2012; Ebbing, Joerg/B-8796-2013; Siddoway, Christine/HKV-0895-2023; Hasterok, Derrick/H-9392-2012; McCormack, Felicity/B-9218-2015; Halpin, Jacqueline/A-3776-2014</t>
  </si>
  <si>
    <t>Reading, Anya M/0000-0002-9316-7605; Ebbing, Joerg/0000-0001-7492-5338; Hasterok, Derrick/0000-0002-8257-7975; McCormack, Felicity/0000-0002-2324-2120; Shen, Weisen/0000-0002-3766-632X; Halpin, Jacqueline/0000-0002-4992-8681; Losing, Mareen/0000-0002-9222-2107; Siddoway, Christine Smith/0000-0003-0478-6138</t>
  </si>
  <si>
    <t>2662-138X</t>
  </si>
  <si>
    <t>NAT REV EARTH ENV</t>
  </si>
  <si>
    <t>Nat. Rev. Earth Environ.</t>
  </si>
  <si>
    <t>10.1038/s43017-022-00377-7</t>
  </si>
  <si>
    <t>8J1DP</t>
  </si>
  <si>
    <t>WOS:000885211100001</t>
  </si>
  <si>
    <t>Horvat, C; Bisson, K; Seabrook, S; Cristi, A; Matthes, LC</t>
  </si>
  <si>
    <t>Horvat, Christopher; Bisson, Kelsey; Seabrook, Sarah; Cristi, Antonia; Matthes, Lisa C.</t>
  </si>
  <si>
    <t>Evidence of phytoplankton blooms under Antarctic sea ice</t>
  </si>
  <si>
    <t>sea ice; phytoplankton blooms; Southern Ocean; ICESat-2; CMIP6; under-ice blooms</t>
  </si>
  <si>
    <t>SOUTHERN-OCEAN; CHLOROPHYLL MAXIMUM; SOLAR-RADIATION; ROSS SEA; ZONE; DYNAMICS; GROWTH; DEPTH; EDGE; DISTRIBUTIONS</t>
  </si>
  <si>
    <t>Areas covered in compact sea ice were often assumed to prohibit upper-ocean photosynthesis. Yet, under-ice phytoplankton blooms (UIBs) have increasingly been observed in the Arctic, driven by anthropogenic changes to the optical properties of Arctic sea ice. Here, we show evidence that the Southern Ocean may also support widespread UIBs. We compile 77 time series of water column samples from biogeochemical Argo floats that profiled under compact (80%-100% concentration) sea ice in austral spring-summer since 2014. We find that that nearly all (88%) such measurements recorded increasing phytoplankton biomass before the seasonal retreat of sea ice. A significant fraction (26%) met a observationally determined threshold for an under-ice bloom, with an average maximum chlorophyll-a measurement of 1.13 mg/m(3). We perform a supporting analysis of joint light, sea ice, and ocean conditions from ICESat-2 laser altimetry and climate model contributions to CMIP6, finding that from 3 to 5 million square kilometers of the compact-ice-covered Southern Ocean has sufficient conditions to support light-limited UIBs. Comparisons between the frequency of bloom observations and modeled bloom predictions invite future work into mechanisms sustaining or limiting under-ice phytoplankton blooms in the Southern Hemisphere.</t>
  </si>
  <si>
    <t>[Horvat, Christopher] Univ Auckland, Dept Phys, Auckland, New Zealand; [Horvat, Christopher] Brown Univ, Dept Earth Environm &amp; Planetary Sci, Providence, RI 02912 USA; [Bisson, Kelsey] Oregon State Univ, Dept Bot &amp; Plant Pathol, Corvallis, OR USA; [Seabrook, Sarah; Cristi, Antonia] Natl Inst Water &amp; Atmospher Res, Wellington, New Zealand; [Cristi, Antonia] Univ Otago, Dept Marine Sci, Dunedin, New Zealand; [Matthes, Lisa C.] Univ Laval, Takuvik Joint Int Lab, Quebec City, PQ, Canada</t>
  </si>
  <si>
    <t>University of Auckland; Brown University; Oregon State University; National Institute of Water &amp; Atmospheric Research (NIWA) - New Zealand; University of Otago; Laval University</t>
  </si>
  <si>
    <t>Horvat, C (corresponding author), Univ Auckland, Dept Phys, Auckland, New Zealand.;Horvat, C (corresponding author), Brown Univ, Dept Earth Environm &amp; Planetary Sci, Providence, RI 02912 USA.</t>
  </si>
  <si>
    <t>christopher.horvat@auckland.ac.nz</t>
  </si>
  <si>
    <t>Matthes, Lisa/0000-0002-7362-0417; Horvat, Christopher/0000-0001-6512-0335; Cristi, Antonia/0000-0003-1381-8170; Bisson, Kelsey/0000-0003-4230-3467</t>
  </si>
  <si>
    <t>NASA [80NSSC20K0959, 80NSSC20K0970]; Weston Foundation; Schmidt Futures</t>
  </si>
  <si>
    <t>NASA(National Aeronautics &amp; Space Administration (NASA)); Weston Foundation; Schmidt Futures</t>
  </si>
  <si>
    <t>CH was supported by NASA grant 80NSSC20K0959 and by Schmidt Futures - a philanthropic initiative that seeks to improve societal outcomes through the development of emerging science and technologies. KB was supported by NASA grant 80NSSC20K0970 and thanks Tanya Maurer at MBARI for help with BGC-Argo under-ice identification. LM was supported by funding from the Weston Foundation.</t>
  </si>
  <si>
    <t>NOV 17</t>
  </si>
  <si>
    <t>10.3389/fmars.2022.942799</t>
  </si>
  <si>
    <t>6S2ME</t>
  </si>
  <si>
    <t>WOS:000892826200001</t>
  </si>
  <si>
    <t>Stauffer, JB; Purser, A; Griffiths, HJ; Smith, CR; Hoving, HJT</t>
  </si>
  <si>
    <t>Stauffer, Julian B.; Purser, Autun; Griffiths, Huw J.; Smith, Craig R.; Hoving, Henk-Jan T.</t>
  </si>
  <si>
    <t>Food falls in the deep northwestern Weddell Sea</t>
  </si>
  <si>
    <t>scavenging; penguin; Antarctic Peninsula; Powell Basin; OFOBS; fisheries discards; carbon pump; baleen whale</t>
  </si>
  <si>
    <t>COMMUNITY OXYGEN-CONSUMPTION; ORGANIC-CARBON FLUX; NATURAL WHALE FALL; DISSOSTICHUS-MAWSONI; OCEAN-FLOOR; DIET; DISCREPANCY; ECOSYSTEMS; DISCOVERY; ECOLOGY</t>
  </si>
  <si>
    <t>When pelagic organisms die and fall onto the deep-sea floor they create food falls, i.e., parcels of organic enrichment that subsidize deep benthic scavenging communities. The diversity and quantities of food falls remain unstudied for many ocean regions since they are stochastically deposited and rapidly scavenged. The Southern Ocean habitat supports large populations of megafauna but few food falls have been documented. To investigate the diversity and quantity of food falls in the northwestern Weddell Sea, we analyzed 8476 images from the deep seafloor that were captured during the expedition PS118 on RV Polarstern in 2019 by the camera system OFOBS (Ocean Floor Observation and Bathymetry System). OFOBS was towed 1.5 m above the seafloor along five transects (400 to 2200 m seafloor depth) east of the Antarctic Peninsula. We observed the carcasses of one baleen whale, one penguin, and four fish at depths of 647 m, 613 m, 647 m, 2136 m, 2165 m, and 2112 m, respectively, as well as associated scavenging fauna. To the best of our knowledge, we describe here the first in situ observations of deep-sea food falls for penguins and fish in the Southern Ocean. While the whale carcass seemed in an intermediate successional stage, both the penguin and the fish were likely recently deposited and three of the fish potentially resulted from fishery discards. Our relatively small data set suggests that a diverse array of food falls provide nutrients to the slopes of the Powell Basin.</t>
  </si>
  <si>
    <t>[Stauffer, Julian B.; Hoving, Henk-Jan T.] GEOMAR Helmholtz Ctr Ocean Res Kiel, Marine Ecol, Kiel, Germany; [Purser, Autun] Helmholtz Ctr Polar &amp; Marine Res, Alfred Wegener Inst, Bremerhaven, Germany; [Griffiths, Huw J.] British Antarctic Survey, Cambridge, England; [Smith, Craig R.] Univ Hawaii Manoa, Dept Oceanog, Honolulu, HI USA</t>
  </si>
  <si>
    <t>Helmholtz Association; GEOMAR Helmholtz Center for Ocean Research Kiel; Helmholtz Association; Alfred Wegener Institute, Helmholtz Centre for Polar &amp; Marine Research; UK Research &amp; Innovation (UKRI); Natural Environment Research Council (NERC); NERC British Antarctic Survey; University of Hawaii System; University of Hawaii Manoa</t>
  </si>
  <si>
    <t>Stauffer, JB (corresponding author), GEOMAR Helmholtz Ctr Ocean Res Kiel, Marine Ecol, Kiel, Germany.</t>
  </si>
  <si>
    <t>jstauffer@geomar.de</t>
  </si>
  <si>
    <t>Griffiths, Huw J/D-4234-2009</t>
  </si>
  <si>
    <t>Griffiths, Huw J/0000-0003-1764-223X; Stauffer, Julian Basil/0000-0001-5657-0422</t>
  </si>
  <si>
    <t>DFG (Deutsche Forschungsgemeinschaft) [HO 5569/2-1, HO 5569/3-1]; FRAM project; NERC; Land Schleswig-Holstein</t>
  </si>
  <si>
    <t>DFG (Deutsche Forschungsgemeinschaft)(German Research Foundation (DFG)); FRAM project; NERC(UK Research &amp; Innovation (UKRI)Natural Environment Research Council (NERC)); Land Schleswig-Holstein</t>
  </si>
  <si>
    <t>HJH and JS are funded by the DFG (Deutsche Forschungsgemeinschaft) under grant HO 5569/2-1 (Emmy Noether Junior Research Group) and HO 5569/3-1. The Ocean Floor Observation and Bathymetry System (OFOBS) was partially funded by the FRAM project. HG was funded through NERC core funding to the British Antarctic Survey Biodiversity, Evolution and Adaptation Team. We acknowledge financial support by Land Schleswig-Holstein within the funding programme Open Access Publikationsfonds.</t>
  </si>
  <si>
    <t>10.3389/fmars.2022.1055318</t>
  </si>
  <si>
    <t>6S2KN</t>
  </si>
  <si>
    <t>WOS:000892821900001</t>
  </si>
  <si>
    <t>Hodel, F; Fériot, C; Dera, G; De Rafélis, M; Lezin, C; Nardin, E; Rouby, D; Aretz, M; Antonio, P; Buatier, M; Steinmann, M; Lacan, F; Jeandel, C; Chavagnac, V</t>
  </si>
  <si>
    <t>Hodel, F.; Feriot, C.; Dera, G.; De Rafelis, M.; Lezin, C.; Nardin, E.; Rouby, D.; Aretz, M.; Antonio, P.; Buatier, M.; Steinmann, M.; Lacan, F.; Jeandel, C.; Chavagnac, V.</t>
  </si>
  <si>
    <t>Eocene-Oligocene southwest Pacific Ocean paleoceanography new insights from foraminifera chemistry (DSDP site 277, Campbell Plateau)</t>
  </si>
  <si>
    <t>paleoceanography; climate; foraminifera; Eocene; Oligocene; southwest Pacific Ocean</t>
  </si>
  <si>
    <t>RARE-EARTH-ELEMENTS; SOUTHERN-OCEAN; ANTARCTIC GLACIATION; SEA TEMPERATURES; MG/CA-PALEOTHERMOMETRY; CARBON-DIOXIDE; ARCTIC-OCEAN; PROXY DATA; ICE; PALEOCENE</t>
  </si>
  <si>
    <t>Despite its major role in the Earth's climate regulation, the evolution of high-latitude ocean dynamics through geological time remains unclear. Around Antarctica, changes in the Southern Ocean (SO) circulation are inferred to be responsible for cooling from the late Eocene and glaciation in the early Oligocene. Here, we present a geochemical study of foraminifera from DSDP Site 277 (Campbell Plateau), to better constrain thermal and redox evolution of the high latitude southwest Pacific Ocean during this time interval. From 56 to 48 Ma, Mg/Ca- and delta O-18-paleothermometers indicate high surface and bottom water temperatures (24-26 degrees C and 12-14 degrees C, respectively), while weak negative Ce anomalies indicate poorly oxygenated bottom waters. This is followed by a cooling of similar to 4 degrees between 48 and 42 Ma, possibly resulting from a weakening of a proto-EAC (East Australian Current) and concomitant strengthening of a proto-Ross gyre. This paleoceanographic change is associated with better ventilation at Site 277, recorded by an increasing negative Ce anomaly. Once this proto-Ross gyre was fully active, increasing biogenic sedimentation rates and decreasing Subbotina sp. delta C-13 values indicate enhanced productivity. This resulted in a shoaling of the oxygen penetration in the sediment pile recorded by increasing the foraminiferal U/Ca ratio. The negative Ce anomaly sharply increased two times at similar to 35 and similar to 31 Ma, indicating enhanced seawater ventilation synchronously with the opening of the Tasmanian and Drake Passage gateways, respectively. The Oligocene glaciation is recorded by a major increase of bottom seawater delta O-18 during the EOT (Eocene-Oligocene Transition) while Mg/Ca-temperatures remain rather constant. This indicates a significant ice control on the delta O-18 record.</t>
  </si>
  <si>
    <t>[Hodel, F.; Buatier, M.; Steinmann, M.] UFC, Lab Chrono Environm, CNRS, UMR6249, Besancon, France; [Hodel, F.; Feriot, C.; Dera, G.; De Rafelis, M.; Lezin, C.; Nardin, E.; Rouby, D.; Aretz, M.; Chavagnac, V.] Univ Paul Sabatier, Univ Toulouse, Geosci Environm Toulouse GET, CNRS,UMR5563,IRD,Observ Midi Pyrenees, Toulouse, France; [Antonio, P.] Univ Montpellier, CNRS, Geosci Montpellier, Montpellier, France; [Lacan, F.; Jeandel, C.] Univ Paul Sabatier, Univ Toulouse, Lab Etudes Geophys &amp; Oceanographie Spat, CNRS,CNES,IRD,Observ Midi Pyrenees, Toulouse, France</t>
  </si>
  <si>
    <t>Universite de Franche-Comte; Centre National de la Recherche Scientifique (CNRS); Universite de Toulouse; Universite Toulouse III - Paul Sabatier; Centre National de la Recherche Scientifique (CNRS); Institut de Recherche pour le Developpement (IRD); CNRS - National Institute for Earth Sciences &amp; Astronomy (INSU); Centre National de la Recherche Scientifique (CNRS); Universite de Montpellier; Universite de Toulouse; Universite Toulouse III - Paul Sabatier; Centre National de la Recherche Scientifique (CNRS); Institut de Recherche pour le Developpement (IRD)</t>
  </si>
  <si>
    <t>Hodel, F (corresponding author), UFC, Lab Chrono Environm, CNRS, UMR6249, Besancon, France.</t>
  </si>
  <si>
    <t>florent.hodel.geo@gmail.com</t>
  </si>
  <si>
    <t>Rouby, Delphine/HGD-3798-2022; Lacan, Francois/B-8032-2009; Antonio, Paul Yves Jean/ABA-2544-2021; Aretz, Markus/D-3481-2009</t>
  </si>
  <si>
    <t>Lacan, Francois/0000-0001-6794-2279; Rouby, Delphine/0000-0003-2827-0566; Antonio, Paul Yves Jean/0000-0002-6625-0059; Aretz, Markus/0000-0002-7260-7640</t>
  </si>
  <si>
    <t>IODP France; United States National Science Foundation (NSF)</t>
  </si>
  <si>
    <t>IODP France; United States National Science Foundation (NSF)(National Science Foundation (NSF))</t>
  </si>
  <si>
    <t>FH thanks IODP France for his postdoc fellowship and post cruise supports. This research used samples and data provided by the International Ocean Discovery Program (IODP). IODP is sponsored by the United States National Science Foundation (NSF) and participating countries under management of the Joint Oceanographic Institution (JOI) Inc.</t>
  </si>
  <si>
    <t>10.3389/feart.2022.998237</t>
  </si>
  <si>
    <t>6Q8AC</t>
  </si>
  <si>
    <t>WOS:000891831100001</t>
  </si>
  <si>
    <t>Chimienti, M; Kato, A; Hicks, O; Angelier, F; Beaulieu, M; Ouled-Cheikh, J; Marciau, C; Raclot, T; Tucker, M; Wisniewska, DM; Chiaradia, A; Ropert-Coudert, Y</t>
  </si>
  <si>
    <t>Chimienti, Marianna; Kato, Akiko; Hicks, Olivia; Angelier, Frederic; Beaulieu, Michael; Ouled-Cheikh, Jazel; Marciau, Coline; Raclot, Thierry; Tucker, Meagan; Wisniewska, Danuta Maria; Chiaradia, Andre; Ropert-Coudert, Yan</t>
  </si>
  <si>
    <t>The role of individual variability on the predictive performance of machine learning applied to large bio-logging datasets</t>
  </si>
  <si>
    <t>ADELIE PENGUINS; ANIMAL BEHAVIOR; ACCELEROMETERS</t>
  </si>
  <si>
    <t>Animal-borne tagging (bio-logging) generates large and complex datasets. In particular, accelerometer tags, which provide information on behaviour and energy expenditure of wild animals, produce high-resolution multi-dimensional data, and can be challenging to analyse. We tested the performance of commonly used artificial intelligence tools on datasets of increasing volume and dimensionality. By collecting bio-logging data across several sampling seasons, datasets are inherently characterized by inter-individual variability. Such information should be considered when predicting behaviour. We integrated both unsupervised and supervised machine learning approaches to predict behaviours in two penguin species. The classified behaviours obtained from the unsupervised approach Expectation Maximisation were used to train the supervised approach Random Forest. We assessed agreement between the approaches, the performance of Random Forest on unknown data and the implications for the calculation of energy expenditure. Consideration of behavioural variability resulted in high agreement (&gt; 80%) in behavioural classifications and minimal differences in energy expenditure estimates. However, some outliers with &lt; 70% of agreement, highlighted how behaviours characterized by signal similarity are confused. We advise the broad bio-logging community, approaching these large datasets, to be cautious when upscaling predictions, as this might lead to less accurate estimates of behaviour and energy expenditure.</t>
  </si>
  <si>
    <t>[Chimienti, Marianna; Hicks, Olivia; Angelier, Frederic; Marciau, Coline; Ropert-Coudert, Yan] La Rochelle Univ, CNRS, UMR7372, Ctr Etud Biol Chize, 405 Route Prisse La Charriere, F-79360 Villiers En Bois, France; [Kato, Akiko; Hicks, Olivia] British Antarctic Survey, Madingley Rd, Cambridge CB3 0ET, England; [Beaulieu, Michael] German Oceanog Museum, Stralsund, Germany; [Ouled-Cheikh, Jazel] Univ Barcelona, Fac Biol, Inst Recerca Biodiversitat IRBio, Av Diagonal 643, E-08028 Barcelona, Spain; [Ouled-Cheikh, Jazel] Univ Barcelona, Fac Biol, Dept Biol Evolut Ecol &amp; Ciencies Ambientals BEECA, Av Diagonal 643, E-08028 Barcelona, Spain; [Ouled-Cheikh, Jazel] Inst Ciencies Mar ICM CSIC, Dept Recursos Marins Renovables, Passeig Maritim Barceloneta 37-49, Barcelona 08003, Spain; [Marciau, Coline] Univ Tasmania, Inst Marine &amp; Antarctic Studies, Hobart, Tas 7001, Australia; [Raclot, Thierry] Univ Strasbourg, CNRS, UMR7178, Inst Pluridisciplinaire Hubert Curien, Strasbourg, France; [Tucker, Meagan; Chiaradia, Andre] Phillip Isl Nat Pk, Conservat Dept, Cowes, Vic, Australia; [Wisniewska, Danuta Maria] Univ Southern Denmark, Dept Biol, Sound Commun &amp; Behav Grp, Campusvej 55, DK-5230 Odense M, Denmark</t>
  </si>
  <si>
    <t>Centre National de la Recherche Scientifique (CNRS); CNRS - Institute of Ecology &amp; Environment (INEE); UK Research &amp; Innovation (UKRI); Natural Environment Research Council (NERC); NERC British Antarctic Survey; University of Barcelona; University of Barcelona; Consejo Superior de Investigaciones Cientificas (CSIC); CSIC - Centro Mediterraneo de Investigaciones Marinas y Ambientales (CMIMA); CSIC - Instituto de Ciencias del Mar (ICM); University of Tasmania; Universites de Strasbourg Etablissements Associes; Universite de Strasbourg; Centre National de la Recherche Scientifique (CNRS); CNRS - National Institute of Nuclear and Particle Physics (IN2P3); University of Southern Denmark</t>
  </si>
  <si>
    <t>Chimienti, M (corresponding author), La Rochelle Univ, CNRS, UMR7372, Ctr Etud Biol Chize, 405 Route Prisse La Charriere, F-79360 Villiers En Bois, France.</t>
  </si>
  <si>
    <t>marianna.chimienti@cebc.cnrs.fr</t>
  </si>
  <si>
    <t>Ouled-Cheikh, Jazel/KBA-2548-2024; Chimienti, Marianna/ISS-4352-2023</t>
  </si>
  <si>
    <t>Ouled-Cheikh, Jazel/0000-0001-5262-0517; Chimienti, Marianna/0000-0002-8236-9332; Wisniewska, Danuta Maria/0000-0002-3599-7440</t>
  </si>
  <si>
    <t>H2020-Marie Sklodowska-Curie Individual Fellowship [890284]; French Polar Institute Paul-Emile Victor (IPEV) [1091]; Zone Atelier Antarctique et Subantarctique -LTER France of the CNRS; PEW Foundation; WWF-UK; BNP Paribas Fundation; Marie Curie Actions (MSCA) [890284] Funding Source: Marie Curie Actions (MSCA)</t>
  </si>
  <si>
    <t>H2020-Marie Sklodowska-Curie Individual Fellowship; French Polar Institute Paul-Emile Victor (IPEV); Zone Atelier Antarctique et Subantarctique -LTER France of the CNRS; PEW Foundation; WWF-UK; BNP Paribas Fundation; Marie Curie Actions (MSCA)(Marie Curie Actions)</t>
  </si>
  <si>
    <t>This study was supported by: H2020-Marie Sklodowska-Curie Individual Fellowship, project number 890284, Modelling Foraging Fitness in Marine predators (MuFFIN), awarded to Marianna Chimienti, Logistic and/or financial support was provided by: French Polar Institute Paul-Emile Victor (IPEV) through the project 1091, Zone Atelier Antarctique et Subantarctique -LTER France of the CNRS, PEW Foundation, WWF-UK through R. Downie, This study is also contribution to the program SENSEI funded by the BNP Paribas Fundation.</t>
  </si>
  <si>
    <t>10.1038/s41598-022-22258-1</t>
  </si>
  <si>
    <t>6H0WS</t>
  </si>
  <si>
    <t>WOS:000885172100087</t>
  </si>
  <si>
    <t>Sindel, BM; Wilson, SC; Wilson, BR; Hawking, KL; Zahid, W; Iqbal, A; Williams, LK; Knox, OGG; Coleman, MJ; Kristiansen, P</t>
  </si>
  <si>
    <t>Sindel, Brian M.; Wilson, Susan C.; Wilson, Brian R.; Hawking, Kirsten L.; Zahid, Waqas; Iqbal, Ali; Williams, Laura K.; Knox, Oliver G. G.; Coleman, Michael J.; Kristiansen, Paul</t>
  </si>
  <si>
    <t>Ecology and management of invasive plants in the sub-Antarctic and Antarctic regions: evidence and synthesis from Macquarie Island</t>
  </si>
  <si>
    <t>Alien species; Cerastium fontanum; extreme environment; Macquarie Island; Poa annua; Stellaria media; sub-Antarctic islands</t>
  </si>
  <si>
    <t>POA-ANNUA L.; KING GEORGE ISLAND; ANNUAL BLUEGRASS; VASCULAR PLANTS; BIOLOGICAL INVASIONS; CLIMATE-CHANGE; CASEY STATION; AGROSTIS-STOLONIFERA; CREEPING BENTGRASS; SOIL FORMATION</t>
  </si>
  <si>
    <t>Background The Antarctic is an extreme environment for plants. Several invasive plant species, however, have invaded the sub-Antarctic Southern Ocean islands and increasingly threaten the vulnerability of maritime and continental Antarctica, particularly with changes in climate. Aims We provide an overview of issues to consider with regard to the impact, ecology and management of non-native plants in the Antarctic, focusing on knowledge gained and recent research results from the sub-Antarctic with possible application to Antarctica. Methods We provide a brief review of literature and bring together experience and previously unpublished research with Poa annua and Stellaria media on Macquarie Island. Results While no one set of biological characteristics predicts plant invasiveness in the sub-Antarctic, all are adapted to survive extreme cold conditions and persistence is enabled through large and long-lived soil seed banks. Ecological drivers for invasion include accidental human introductions and continuing movement, along with animal and other disturbance to soil. Conclusion The invasive cold-tolerant plant species now prevalent on sub-Antarctic islands also pose a threat to Antarctica due to a warming climate and so efforts should continue to prevent further spread, while developing effective, low-impact control and eradication options to protect these high-value extreme ecosystems.</t>
  </si>
  <si>
    <t>[Sindel, Brian M.; Wilson, Susan C.; Wilson, Brian R.; Hawking, Kirsten L.; Zahid, Waqas; Iqbal, Ali; Williams, Laura K.; Knox, Oliver G. G.; Coleman, Michael J.; Kristiansen, Paul] Univ New England, Sch Environm &amp; Rural Sci, Armidale, NSW, Australia</t>
  </si>
  <si>
    <t>University of New England</t>
  </si>
  <si>
    <t>Sindel, BM (corresponding author), Univ New England, Sch Environm &amp; Rural Sci, Armidale, NSW, Australia.</t>
  </si>
  <si>
    <t>bsindel@une.edu.au</t>
  </si>
  <si>
    <t>Kristiansen, Paul/X-6638-2019; Kristiansen, Paul/JDV-9957-2023</t>
  </si>
  <si>
    <t>Kristiansen, Paul/0000-0003-2116-0663; Hawking, Kirsten/0009-0009-3726-947X; Coleman, Michael/0000-0002-1910-7145; Wilson, Brian/0000-0002-7983-0909; Knox, Oliver/0000-0002-0414-5771; wilson, susan/0000-0002-3409-0847; Sindel, Brian/0000-0002-4100-218X</t>
  </si>
  <si>
    <t>Commonwealth Government of Australia through the Australian Antarctic Division; Australian Antarctic Science programme [AAS4158, AAS4341]; University of New England</t>
  </si>
  <si>
    <t>Commonwealth Government of Australia through the Australian Antarctic Division; Australian Antarctic Science programme; University of New England</t>
  </si>
  <si>
    <t>This work was supported by the Commonwealth Government of Australia through the Australian Antarctic Division and its Australian Antarctic Science programme under Grants AAS4158 and AAS4341; and by University of New England postgraduate support funds.</t>
  </si>
  <si>
    <t>10.1080/17550874.2022.2144777</t>
  </si>
  <si>
    <t>WOS:000884664900001</t>
  </si>
  <si>
    <t>Fiddes, SL; Protat, A; Mallet, MD; Alexander, SP; Woodhouse, MT</t>
  </si>
  <si>
    <t>Fiddes, Sonya L.; Protat, Alain; Mallet, Marc D.; Alexander, Simon P.; Woodhouse, Matthew T.</t>
  </si>
  <si>
    <t>Southern Ocean cloud and shortwave radiation biases in a nudged climate model simulation: does the model ever get it right?</t>
  </si>
  <si>
    <t>SUPERCOOLED LIQUID CLOUDS; GENERAL-CIRCULATION MODEL; GLOBAL WEATHER STATES; EMISSIONS DATA; MODIS; AEROSOL; PHASE; PRECIPITATION; TEMPERATURE; SCHEME</t>
  </si>
  <si>
    <t>The Southern Ocean radiative bias continues to impact climate and weather models, including the Australian Community Climate and Earth System Simulator (ACCESS). The radiative bias, characterised by too much shortwave radiation reaching the surface, is attributed to the incorrect simulation of cloud properties, including frequency and phase. To identify cloud regimes important to the Southern Ocean, we use k-means cloud histogram clustering, applied to a satellite product and then fitted to nudged simulations of the latest-generation ACCESS atmosphere model. We identify instances when the model correctly or incorrectly simulates the same cloud type as the satellite product for any point in time or space. We then evaluate the cloud and radiation biases in these instances. We find that when the ACCESS model correctly simulates the cloud type, cloud property and radiation biases of equivalent, or in some cases greater, magnitude remain compared to when cloud types are incorrectly simulated. Furthermore, we find that even when radiative biases appear small on average, cloud property biases, such as liquid or ice water paths or cloud fractions, remain large. Our results suggest that simply getting the right cloud type (or the cloud macrophysics) is not enough to reduce the Southern Ocean radiative bias. Furthermore, in instances where the radiative bias is small, it may be so for the wrong reasons. Considerable effort is still required to improve cloud microphysics, with a particular focus on cloud phase.</t>
  </si>
  <si>
    <t>[Fiddes, Sonya L.; Protat, Alain; Mallet, Marc D.; Alexander, Simon P.; Woodhouse, Matthew T.] Univ Tasmania, Inst Marine, Australian Antarctic Program Partnership, Antarctic Studies, Hobart, Tas, Australia; [Fiddes, Sonya L.; Woodhouse, Matthew T.] Commonwealth Sci &amp; Ind Res Org, Climate Sci Ctr, Oceans &amp; Atmosphere, Aspendale, ACT, Australia; [Protat, Alain] Bur Meteorol, Melbourne, Vic, Australia; [Alexander, Simon P.] Australian Antarctic Div, Hobart, Tas, Australia</t>
  </si>
  <si>
    <t>University of Tasmania; Commonwealth Scientific &amp; Industrial Research Organisation (CSIRO); Bureau of Meteorology - Australia; Australian Antarctic Division</t>
  </si>
  <si>
    <t>Fiddes, SL (corresponding author), Univ Tasmania, Inst Marine, Australian Antarctic Program Partnership, Antarctic Studies, Hobart, Tas, Australia.;Fiddes, SL (corresponding author), Commonwealth Sci &amp; Ind Res Org, Climate Sci Ctr, Oceans &amp; Atmosphere, Aspendale, ACT, Australia.</t>
  </si>
  <si>
    <t>sonya.fiddes@utas.edu.au</t>
  </si>
  <si>
    <t>Fiddes, Sonya L./HKM-5559-2023; DOUSSIN, Jean-Francois/AAT-3084-2021; Keyes, Dennis/AAZ-9285-2021; Woodhouse, Matthew/E-4808-2013</t>
  </si>
  <si>
    <t>Fiddes, Sonya L./0000-0002-2752-0845; DOUSSIN, Jean-Francois/0000-0002-8042-7228; Alexander, Simon/0000-0001-6823-8857; Woodhouse, Matthew/0000-0002-9892-4492; Mallet, Marc/0000-0003-2749-8833</t>
  </si>
  <si>
    <t>Australian Government [ASCI000002]</t>
  </si>
  <si>
    <t>Australian Government(Australian Government)</t>
  </si>
  <si>
    <t>This research has been supported by the Australian Government (grant no. ASCI000002).</t>
  </si>
  <si>
    <t>10.5194/acp-22-14603-2022</t>
  </si>
  <si>
    <t>6I5PO</t>
  </si>
  <si>
    <t>WOS:000886179500001</t>
  </si>
  <si>
    <t>Hu, CG; Yue, F; Zhan, HC; Leung, KMY; Liu, HW; Gu, WH; Zhang, RQ; Chen, A; Wang, XM; Xie, ZQ</t>
  </si>
  <si>
    <t>Hu, Chengge; Yue, Fange; Zhan, Haicong; Leung, Kenneth M. Y.; Liu, Hongwei; Gu, Weihua; Zhang, Runqi; Chen, Afeng; Wang, Xinming; Xie, Zhouqing</t>
  </si>
  <si>
    <t>Spatiotemporal distribution and influencing factors of secondary organic aerosols in the summer atmosphere from the Bering Sea to the western North Pacific</t>
  </si>
  <si>
    <t>Secondary organic aerosols tracers; Marine atmosphere; Secondary organic carbon; Terrestrial transmission</t>
  </si>
  <si>
    <t>ANTHROPOGENIC EMISSIONS; RELATIVE-HUMIDITY; PINONIC ACID; CHINA; ISOPRENE; PRODUCTS; FOREST; PM2.5; MONOTERPENE; OXIDATION</t>
  </si>
  <si>
    <t>To better understand the formation process of biogenic and anthropogenic secondary organic aerosols (BSOA and ASOA) in the marine atmosphere under the background of global warming, aerosol samples were collected over three summers (i.e., 2014, 2016 and 2018) from the Bering Sea (BS) to the western North Pacific (WNP). The results showed that temporally, atmospheric concentrations of isoprene-derived SOA (SOAI) tracers were the lowest in 2014 regardless of the marine region, while atmospheric concentrations of monoterpenes-derived SOA (SOAM) tracers in this year were the highest and the aerosols were more aged than those in the other two years. In comparison, the con-centrations of beta-caryophyllene-derived and toluene-derived SOA (SOAC and SOAA) tracers were relatively low overall. Spatially, the concentrations of SOA tracers were significantly higher over the WNP than over the BS, with SOA tracers over the BS mainly coming from marine sources, while the WNP was strongly influenced by terrestrial inputs. In par-ticular, for land-influenced samples from the WNP, NOx-channel products of SOAI were more dependent on O3 and SO2 relative to HO2-channel product, and the high atmospheric oxidation capacity and SO2 could promote the formation of later-generation SOAM products. The extent of terrestrial influence was further quantified using a principal component analysis (PCA)-generalized additive model (GAM), which showed that terrestrial emissions explained more than half of the BSOA tracers' concentrations and contributed almost all of the ASOA tracer. In addition, the assessment of sec-ondary organic carbon (SOC) highlighted the key role of anthropogenic activities in organic carbon levels in offshore areas. Our study revealed significant contributions of terrestrial natural and anthropogenic sources to different SOA over the WNP, and these relevant findings help improve knowledge about SOA in the marine atmosphere.</t>
  </si>
  <si>
    <t>[Hu, Chengge; Yue, Fange; Zhan, Haicong; Liu, Hongwei; Gu, Weihua; Chen, Afeng; Xie, Zhouqing] Univ Sci &amp; Technol China, Dept Environm Sci &amp; Engn, Anhui Key Lab Polar Environm &amp; Global Change, Hefei, Peoples R China; [Hu, Chengge] Univ Sci &amp; Technol China, Suzhou Inst Adv Study, Suzhou, Peoples R China; [Leung, Kenneth M. Y.] City Univ Hong Kong, State Key Lab Marine Pollut, Tat Chee Ave, Hong Kong, Peoples R China; [Leung, Kenneth M. Y.] City Univ Hong Kong, Dept Chem, Tat Chee Ave, Hong Kong, Peoples R China; [Zhang, Runqi; Wang, Xinming] Chinese Acad Sci, Guangzhou Inst Geochem, State Key Lab Organ Geochem, Guangzhou, Peoples R China</t>
  </si>
  <si>
    <t>Chinese Academy of Sciences; University of Science &amp; Technology of China, CAS; Chinese Academy of Sciences; University of Science &amp; Technology of China, CAS; City University of Hong Kong; City University of Hong Kong; Chinese Academy of Sciences; Guangzhou Institute of Geochemistry, CAS</t>
  </si>
  <si>
    <t>Xie, ZQ (corresponding author), Univ Sci &amp; Technol China, Dept Environm Sci &amp; Engn, Anhui Key Lab Polar Environm &amp; Global Change, Hefei, Peoples R China.;Wang, XM (corresponding author), Chinese Acad Sci, Guangzhou Inst Geochem, State Key Lab Organ Geochem, Guangzhou, Peoples R China.</t>
  </si>
  <si>
    <t>wangxm@gig.ac.cn; zqxie@ustc.edu.cn</t>
  </si>
  <si>
    <t>Wang, Xinming/A-7388-2014; Zhang, Runqi/I-9809-2019; Leung, Kenneth Mei Yee/C-1055-2009</t>
  </si>
  <si>
    <t>Wang, Xinming/0000-0002-1982-0928; Zhang, Runqi/0000-0002-4434-509X; Leung, Kenneth Mei Yee/0000-0002-2164-4281</t>
  </si>
  <si>
    <t>National Natural Science Foundation of China [41941014, 41930532]; Ministry of Natural Resources of the People's Republic of China [01-01-02E]</t>
  </si>
  <si>
    <t>National Natural Science Foundation of China(National Natural Science Foundation of China (NSFC)); Ministry of Natural Resources of the People's Republic of China</t>
  </si>
  <si>
    <t>This work was supported by the National Natural Science Foundation of China (grant no. 41941014, 41930532) , and Ministry of Natural Resources of the People's Republic of China (IRASCC2020-2022-No.01-01-02E). We gratefully acknowledge the China Arctic and Antarctic Administration for their fieldwork support, and sincerely thank Zexun Wei, Shidong Fan and Pengzhen He for carrying out the sampling during the field campaign. We also thank the NOAA Air Resources Laboratory for providing the HYSPLIT model. Chengge Hu is very thankful to the University of Science and Technology of China and City University of Hong Kong for supporting her research study through the joint PhD degree programme.</t>
  </si>
  <si>
    <t>10.1016/j.scitotenv.2022.160138</t>
  </si>
  <si>
    <t>8A2FK</t>
  </si>
  <si>
    <t>WOS:000916059500003</t>
  </si>
  <si>
    <t>Xavier, JC; Golikov, AV; Queiros, JP; Perales-Raya, C; Rosas-Luis, R; Abreu, J; Bello, G; Bustamante, P; Capaz, JC; Dimkovikj, VH; Gonzalez, AF; Guimaro, H; Guerra-Marrero, A; Gomes-Pereira, JN; Kubodera, T; Laptikhovsky, V; Lefkaditou, E; Lishchenko, F; Luna, A; Liu, BL; Pierce, GJ; Pissarra, V; Reveillac, E; Romanov, EV; Rosa, R; Roscian, M; Rose-Mann, L; Rouget, I; Sanchez, P; Sanchez-Marquez, A; Seixas, S; Souquet, L; Varela, J; Vidal, EAG; Cherel, Y</t>
  </si>
  <si>
    <t>Xavier, Jose C.; Golikov, Alexey V.; Queiros, Jose P.; Perales-Raya, Catalina; Rosas-Luis, Rigoberto; Abreu, Jose; Bello, Giambattista; Bustamante, Paco; Capaz, Juan C.; Dimkovikj, Valerie H.; Gonzalez, Angel F.; Guimaro, Hugo; Guerra-Marrero, Airam; Gomes-Pereira, Jose N.; Kubodera, Tsunemi; Laptikhovsky, Vladimir; Lefkaditou, Evgenia; Lishchenko, Fedor; Luna, Amanda; Liu, Bilin; Pierce, Graham J.; Pissarra, Vasco; Reveillac, Elodie; Romanov, Evgeny V.; Rosa, Rui; Roscian, Marjorie; Rose-Mann, Lisa; Rouget, Isabelle; Sanchez, Pilar; Sanchez-Marquez, Antoni; Seixas, Sonia; Souquet, Louise; Varela, Jaquelino; Vidal, Erica A. G.; Cherel, Yves</t>
  </si>
  <si>
    <t>The significance of cephalopod beaks as a research tool: An update</t>
  </si>
  <si>
    <t>cephalopod ecology; beak taxonomy/composition/morphology/microstructure/paleontology; cephalopod trophic dynamics; cephalopod population dynamics; cephalopod ecotoxicology</t>
  </si>
  <si>
    <t>OCTOPUS OCTOPUS-VULGARIS; STABLE-ISOTOPE SIGNATURES; SQUID DOSIDICUS-GIGAS; NEON FLYING SQUID; PREDATOR-PREY INTERACTIONS; DAILY GROWTH INCREMENTS; TROPHIC ECOLOGY; OMMASTREPHES-BARTRAMII; SHAPE-ANALYSIS; JUMBO SQUID</t>
  </si>
  <si>
    <t>The use of cephalopod beaks in ecological and population dynamics studies has allowed major advances of our knowledge on the role of cephalopods in marine ecosystems in the last 60 years. Since the 1960's, with the pioneering research by Malcolm Clarke and colleagues, cephalopod beaks (also named jaws or mandibles) have been described to species level and their measurements have been shown to be related to cephalopod body size and mass, which permitted important information to be obtained on numerous biological and ecological aspects of cephalopods in marine ecosystems. In the last decade, a range of new techniques has been applied to cephalopod beaks, permitting new kinds of insight into cephalopod biology and ecology. The workshop on cephalopod beaks of the Cephalopod International Advisory Council Conference (Sesimbra, Portugal) in 2022 aimed to review the most recent scientific developments in this field and to identify future challenges, particularly in relation to taxonomy, age, growth, chemical composition (i.e., DNA, proteomics, stable isotopes, trace elements) and physical (i.e., structural) analyses. In terms of taxonomy, new techniques (e.g., 3D geometric morphometrics) for identifying cephalopods from their beaks are being developed with promising results, although the need for experts and reference collections of cephalopod beaks will continue. The use of beak microstructure for age and growth studies has been validated. Stable isotope analyses on beaks have proven to be an excellent technique to get valuable information on the ecology of cephalopods (namely habitat and trophic position). Trace element analyses is also possible using beaks, where concentrations are significantly lower than in other tissues (e.g., muscle, digestive gland, gills). Extracting DNA from beaks was only possible in one study so far. Protein analyses can also be made using cephalopod beaks. Future challenges in research using cephalopod beaks are also discussed.</t>
  </si>
  <si>
    <t>[Xavier, Jose C.; Queiros, Jose P.; Abreu, Jose; Guimaro, Hugo; Seixas, Sonia] Univ Coimbra, Marine &amp; Environm Sci Ctr, Dept Life Sci, ARNET Aquat Res Network, Coimbra, Portugal; [Xavier, Jose C.; Queiros, Jose P.; Abreu, Jose; Guimaro, Hugo] British Antarctic Survey, Nat Environm Res Council, Cambridge, Cambridgeshire, England; [Golikov, Alexey V.] GEOMAR Helmholtz Ctr Ocean Res Kiel, Kiel, Germany; [Perales-Raya, Catalina] CSIC, Inst Espanol Oceanog IEO, Santa Cruz De Tenerife, Spain; [Rosas-Luis, Rigoberto] CONACYT Tecnol Nacl Mexico IT, Chetmal, Quintana Roo, Mexico; [Bustamante, Paco; Reveillac, Elodie] La Rochelle Univ, Littoral Environm &amp; Soc LIENSs, UMR CNRS 7266, La Rochelle, France; [Bustamante, Paco] Inst Univ France IUF, Paris, France; [Capaz, Juan C.] Univ Algarve, Ctr Marine Sci, Campus Gambelas, Faro, Portugal; [Dimkovikj, Valerie H.] Coastal Carolina Univ, Dept Marine Sci, Conway, SC USA; [Gonzalez, Angel F.; Pierce, Graham J.] CSIC, Inst Invest Marinas, Vigo, Spain; [Guerra-Marrero, Airam] Univ Las Palmas Gran Canaria, IU ECOAQUA, Edf Ciencias Bas,Campus Tafira, Las Palmas Gran Canaria, Spain; [Gomes-Pereira, Jose N.] Atlantic Naturalist Assoc, Horta, Portugal; [Kubodera, Tsunemi] Natl Museum Nat &amp; Sci, Tokyo, Japan; [Laptikhovsky, Vladimir] Ctr Environm Fisheries &amp; Aquaculture Sci CEFAS, Lowestoft, Suffolk, England; [Lefkaditou, Evgenia] HCMR, Hellen Ctr Marine Res, Athens, Greece; [Lishchenko, Fedor] Russian Acad Sci, AN Severtsov Inst Ecol &amp; Evolut, Lab Ecol &amp; Morphol Marine Invertebrates, Moscow, Russia; [Luna, Amanda] Univ Vigo, Fac Marine Sci, Dept Ecol &amp; Anim Biol, Vigo, Spain; [Liu, Bilin] Shanghai Ocean Univ, Coll Marine Sci, Shanghai, Peoples R China; [Pissarra, Vasco; Rosa, Rui; Varela, Jaquelino] Univ Lisbon, Fac Ciencias, MARE Marine &amp; Environm Sci Ctr, Lab Maritimo Guia,ARNET Aquat Res Network, Cascais, Portugal; [Romanov, Evgeny V.] Ctr Tech Rech &amp; Valorisat Milieux Aquat CITEB, Le Port, Ile De La Reuni, France; [Roscian, Marjorie; Rouget, Isabelle] Sorbonne Univ, Ctr Rech Paleontol Paris CR2P, CNRS, Paris, France; [Rose-Mann, Lisa] Univ S Florida, Coll Marine Sci, St Petersburg, FL USA; [Sanchez, Pilar; Sanchez-Marquez, Antoni] CSIC, Inst Ciences Mar, Psg Maritim Barceloneta, Barcelona, Spain; [Seixas, Sonia] Univ Aberta, Rua Escola Politecn, Lisbon, Portugal; [Souquet, Louise] UCL, Fac Engn Sci, Dept Mech Engn, London, England; [Vidal, Erica A. G.] Fed Univ Parana UFPR, Ctr Marine Studies, Pontal Do Parana, PR, Brazil; [Cherel, Yves] Rochelle Univ, Ctr Etud Biol Chize, UMR CNRS 7372, La Rochelle, France</t>
  </si>
  <si>
    <t>Universidade de Coimbra; UK Research &amp; Innovation (UKRI); Natural Environment Research Council (NERC); NERC British Antarctic Survey; Helmholtz Association; GEOMAR Helmholtz Center for Ocean Research Kiel; Consejo Superior de Investigaciones Cientificas (CSIC); Institut Universitaire de France; Universidade do Algarve; Coastal Carolina University; Consejo Superior de Investigaciones Cientificas (CSIC); CSIC - Instituto de Investigaciones Marinas (IIM); Universidad de Las Palmas de Gran Canaria; National Museum of Nature and Science; Centre for Environment Fisheries &amp; Aquaculture Science; Hellenic Centre for Marine Research; Russian Academy of Sciences; Saratov Scientific Center of the Russian Academy of Sciences; Severtsov Institute of Ecology &amp; Evolution; Universidade de Vigo; Shanghai Ocean University; Universidade de Lisboa; Sorbonne Universite; Centre National de la Recherche Scientifique (CNRS); State University System of Florida; University of South Florida; Consejo Superior de Investigaciones Cientificas (CSIC); CSIC - Centro Mediterraneo de Investigaciones Marinas y Ambientales (CMIMA); CSIC - Instituto de Ciencias del Mar (ICM); Universidade Aberta; University of London; University College London; Universidade Federal do Parana</t>
  </si>
  <si>
    <t>Xavier, JC (corresponding author), Univ Coimbra, Marine &amp; Environm Sci Ctr, Dept Life Sci, ARNET Aquat Res Network, Coimbra, Portugal.;Xavier, JC (corresponding author), British Antarctic Survey, Nat Environm Res Council, Cambridge, Cambridgeshire, England.</t>
  </si>
  <si>
    <t>jxavier@zoo.uc.pt</t>
  </si>
  <si>
    <t>Bello, Giambattista/HMD-4143-2023; Lishchenko, Fedor/AAR-2800-2021; Rosas-Luis, Rigoberto/AAB-8012-2019; Golikov, Alexey/T-3504-2019; Perales-Raya, Catalina/ABA-1332-2021; Seixas, Sónia/E-3430-2015; Bustamante, Paco/G-5833-2011; Rosa, Rui/A-4580-2009; Xavier, José/KFB-6739-2024; Guímaro, Hugo/JNE-7768-2023; Luna, Amanda/AAQ-1625-2021; Hernandez-Urcera, Jorge/L-2863-2014; Pierce, Graham/A-5404-2018</t>
  </si>
  <si>
    <t>Rosas-Luis, Rigoberto/0000-0002-7785-7120; Golikov, Alexey/0000-0002-1596-2857; Perales-Raya, Catalina/0000-0001-7782-2561; Seixas, Sónia/0000-0002-9635-6321; Bustamante, Paco/0000-0003-3877-9390; Rosa, Rui/0000-0003-2801-5178; Luna, Amanda/0000-0002-8006-1035; Hernandez-Urcera, Jorge/0000-0003-1032-2786; Varela, Jaquelino/0000-0003-4071-6735; Guimaro, Hugo/0000-0002-9418-3439; Sanchez Marquez, Antoni/0000-0003-0414-4928; Guerra, Airam/0000-0002-8226-1786; Pierce, Graham/0000-0002-4744-4501; Dimkovikj, Valerie/0000-0002-3491-085X; Queiros, Jose Pedro/0000-0003-2763-2529; /0000-0002-9621-6660; Lishchenko, Fedor/0000-0001-8340-346X</t>
  </si>
  <si>
    <t>FCT [UIDB/704292/2020]; European Union [101065960]; FSE [SFRH/BD/144320/2019]; Project OCTOMICS [AGL 201789475-C2-1-R]; EU-FEDER funds; Project ECOSUMA [PID 2019-110088RB-I00]; IUF (Institut Universitaire de France); NSF REU Site [EAR1062692]; Natural History Research Experiences summer internship at the Smithsonian Institution; University of Las Palmas de Gran Canaria [PIFULPGC-2017CIENCIAS-2]; EU FEDER; La Region Reunion; Ministerio de Ciencia e Innovacion, Spanish Government [PRE 2021-099558, PID 2020-114732RB-C31]; Human Frontier Science Program Long-term fellowship [LT000476/2021-L]; Brazilian National Research Council (CNPq) [316391/2021-2]; Marie Curie Actions (MSCA) [101065960] Funding Source: Marie Curie Actions (MSCA)</t>
  </si>
  <si>
    <t>FCT(Fundacao para a Ciencia e a Tecnologia (FCT)); European Union(European Union (EU)); FSE(European Social Fund (ESF)); Project OCTOMICS; EU-FEDER funds(European Union (EU)); Project ECOSUMA; IUF (Institut Universitaire de France); NSF REU Site(National Science Foundation (NSF)); Natural History Research Experiences summer internship at the Smithsonian Institution; University of Las Palmas de Gran Canaria; EU FEDER(European Union (EU)); La Region Reunion; Ministerio de Ciencia e Innovacion, Spanish Government(Spanish Government); Human Frontier Science Program Long-term fellowship(Human Frontier Science Program); Brazilian National Research Council (CNPq)(Conselho Nacional de Desenvolvimento Cientifico e Tecnologico (CNPQ)); Marie Curie Actions (MSCA)(Marie Curie Actions)</t>
  </si>
  <si>
    <t>This study benefited fromthe strategic program of the Marine and Environmental Sciences Centre (MARE), financed by the FCT (UIDB/704292/2020). This project was also supported through funding from the European Union's Horizon 2020 research and innovation programme under the Marie Sklodowska-Curie grant agreement No. 101065960 granted to AG. JQ is supported by FCT PhD scholarship co-financed by FSE (SFRH/BD/144320/2019). CP-R would like to thank the support of the project OCTOMICS (AGL 201789475-C2-1-R) and the EU-FEDER funds. AG also thank the support of the project ECOSUMA (PID 2019-110088RB-I00). The IUF (Institut Universitaire de France) is acknowledged for its support to PB as a senior member. VD was supported by NSF REU Site EAR1062692, as well as through a Natural History Research Experiences summer internship at the Smithsonian Institution. AG-M was supported by a PhD-fellowship (PIFULPGC-2017CIENCIAS-2) from the University of Las Palmas de Gran Canaria. Participation of ER in the workshop on cephalopod beaks and studies of cephalopods in Reunion Island was supported by the Project DECAPOT funded by EU FEDER and la Region Reunion. AS-M was supported by a PhDfellowship (ref. PRE 2021-099558) associated to the project BITER (PID 2020-114732RB-C31, Ministerio de Ciencia e Innovacion, Spanish Government). LS was supported by a Human Frontier Science Program Long-term fellowship (LT000476/2021-L). EV would like to thank support from the Brazilian National Research Council (CNPq #316391/2021-2). Finally, the authors acknowledge the journals Marine Ecology Progress Series, Journal of Shellfish Research and Bulletin of Marine Science for their approval of our permission requests.</t>
  </si>
  <si>
    <t>NOV 16</t>
  </si>
  <si>
    <t>10.3389/fphys.2022.1038064</t>
  </si>
  <si>
    <t>7A4HS</t>
  </si>
  <si>
    <t>WOS:000898420000001</t>
  </si>
  <si>
    <t>Wu, GM; Shi, GT; Li, CJ; Hu, Y; Ma, HM; Chen, ZL</t>
  </si>
  <si>
    <t>Wu, Guangmei; Shi, Guitao; Li, Chuanjin; Hu, Ye; Ma, Hongmei; Chen, Zhenlou</t>
  </si>
  <si>
    <t>Spatial variations of particulate-bound mercury in the atmosphere along a transect from the mid-Northern Hemisphere to the high southern latitudes</t>
  </si>
  <si>
    <t>Aerosol; Particulate -bound mercury; Latitudinal gradient; Antarctica</t>
  </si>
  <si>
    <t>GASEOUS ELEMENTAL MERCURY; AIR-SEA EXCHANGE; ATLANTIC-OCEAN; ANTARCTIC PLATEAU; TIBETAN PLATEAU; EAST ANTARCTICA; DUMONT DURVILLE; POLAR-REGIONS; COASTAL; CHINA</t>
  </si>
  <si>
    <t>Particulate-bound mercury (PBM) measurements in the boundary layer were performed during the 2015-2016 Chinese Antarctic Research Expedition from the middle Northern Hemisphere (Shanghai, China) to the Antarctic Ice Sheet summit, Dome A. A significant latitudinal gradient in PBM was observed. PBM over the Northern Hemisphere oceans was influenced by both continental and oceanic sources, with elevated PBM levels associated with continental inputs. PBM over this region was significantly higher in November than that in April, which could be related to the continental Hg carried by the strong East Asian winter monsoon. Far away from the continental sources, extremely low PBM was observed over the Southern Ocean (2.6 +/- 1.6 pg m-3). Elevated PBM was found across the Antarctic Ice Sheet (79.1 +/- 43.4 pg m-3), and the highest PBM observed at Dome A (143.4 +/- 27.0 pg m-3) was likely associated with GEM emissions from snow and enhanced oxidation of GEM due to snow photochemistry. Across the Antarctic Ice Sheet, PBM increased significantly with the increasing distance from the coast, which may have resulted from the mixing of air masses from the Antarctic plateau and the ocean. GEM emissions from inland Antarctic snow can influence atmospheric PBM concentrations over the Antarctic coastal seas via the transport by katabatic winds, and thus play an important role in atmospheric Hg cycle in the high southern latitudes.</t>
  </si>
  <si>
    <t>[Wu, Guangmei; Shi, Guitao; Hu, Ye; Chen, Zhenlou] East China Normal Univ, State Key Lab Estuarine &amp; Coastal Res, Key Lab Geog Informat Sci, Shanghai 200241, Peoples R China; [Shi, Guitao] Minist Nat Resources, Key Lab Spatial temporal Big Data Anal &amp; Applicat, Shanghai 200241, Peoples R China; [Li, Chuanjin] Chinese Acad Sci, State Key Lab Cryospher Sci Cold &amp; Arid Reg Enviro, Lanzhou 730000, Peoples R China; [Ma, Hongmei] Polar Res Inst China, Shanghai 200136, Peoples R China; [Shi, Guitao] East China Normal Univ, State Key Lab Estuarine &amp; Coastal Res, Shanghai 200241, Peoples R China; [Shi, Guitao] East China Normal Univ, Sch Geog Sci, Key Lab Geog Informat Sci, 500 Dongchuan Rd,, Shanghai 200241, Peoples R China</t>
  </si>
  <si>
    <t>East China Normal University; Ministry of Natural Resources of the People's Republic of China; Chinese Academy of Sciences; Polar Research Institute of China; East China Normal University; East China Normal University</t>
  </si>
  <si>
    <t>Shi, GT (corresponding author), East China Normal Univ, Sch Geog Sci, Key Lab Geog Informat Sci, 500 Dongchuan Rd,, Shanghai 200241, Peoples R China.</t>
  </si>
  <si>
    <t>gtshi@geo.ecnu.edu.cn</t>
  </si>
  <si>
    <t>Hu, Ye/0000-0003-4210-1304</t>
  </si>
  <si>
    <t>National Science Foundation of China; Program of Shanghai Academic/Technology Research Leader; Social Development Project of Science and Technology Innovation Ac- tion Plan of Shanghai; Fundamental Research Funds for the Central Universities; [41922046]; [41876225]; [20XD1421600]; [20dz1207107]</t>
  </si>
  <si>
    <t>National Science Foundation of China(National Natural Science Foundation of China (NSFC)); Program of Shanghai Academic/Technology Research Leader; Social Development Project of Science and Technology Innovation Ac- tion Plan of Shanghai; Fundamental Research Funds for the Central Universities(Fundamental Research Funds for the Central Universities); ; ; ;</t>
  </si>
  <si>
    <t>This work was supported by the National Science Foundation of China (Grant Nos. 41922046 and 41876225) , the Program of Shanghai Academic/Technology Research Leader (Grant No. 20XD1421600) , Social Development Project of Science and Technology Innovation Ac- tion Plan of Shanghai (Grant No. 20dz1207107) , and the Fundamental Research Funds for the Central Universities. The authors are grateful to the CHINARE members and Dr. Wang Yongjie for their technical support and assistance.</t>
  </si>
  <si>
    <t>10.1016/j.atmosenv.2022.119470</t>
  </si>
  <si>
    <t>6P0SA</t>
  </si>
  <si>
    <t>WOS:000890644900003</t>
  </si>
  <si>
    <t>Yu, ZJ; Colin, C; Wilson, DJ; Bayon, G; Song, ZH; Sepulcre, S; Dapoigny, A; Li, YL; Wan, SM</t>
  </si>
  <si>
    <t>Yu, Zhaojie; Colin, Christophe; Wilson, David J.; Bayon, Germain; Song, Zehua; Sepulcre, Sophie; Dapoigny, Arnaud; Li, Yuanlong; Wan, Shiming</t>
  </si>
  <si>
    <t>Millennial Variability in Intermediate Ocean Circulation and Indian Monsoonal Weathering Inputs During the Last Deglaciation and Holocene</t>
  </si>
  <si>
    <t>neodymium (Nd) isotope; Indian Summer Monsoon; Antarctic Intermediate Water</t>
  </si>
  <si>
    <t>NEODYMIUM ISOTOPE COMPOSITION; SUMMER-MONSOON; SOUTHERN-OCEAN; EROSION RATES; ND-ISOTOPE; DEEP-OCEAN; CLIMATE; ATLANTIC; CARBON; ICE</t>
  </si>
  <si>
    <t>The relationship between ocean circulation and monsoon systems over orbital to sub-millennial timescales is a crucial but poorly constrained component of the climate system. Here, using foraminiferal and detrital neodymium (Nd) isotope records from the intermediate-depth northern Indian Ocean, we provide new evidence revealing that both monsoon-driven weathering inputs and water mass advection from the Southern Ocean influenced past seawater Nd isotope changes in this region. Our results suggest that Indian Summer Monsoon weakening coincided with enhanced northward Antarctic Intermediate Water (AAIW) advection during the last deglaciation, reflecting a strong interhemispheric coupling. In contrast, the Early Holocene was characterized by enhanced monsoon strength but persistently strong AAIW inflow, indicating a relationship in the opposite sense. These differing interhemispheric relationships indicate asynchronous changes in the global atmosphere-ocean-climate system, and may represent a previously unrecognized component of the ocean-atmosphere reorganization during the deglacial to Holocene transition.</t>
  </si>
  <si>
    <t>[Yu, Zhaojie; Song, Zehua; Wan, Shiming] Chinese Acad Sci, Key Lab Marine Geol &amp; Environm, Inst Oceanol, Qingdao, Peoples R China; [Yu, Zhaojie; Wan, Shiming] Qingdao Natl Lab Marine Sci &amp; Technol, Lab Marine Geol, Qingdao, Peoples R China; [Yu, Zhaojie; Wan, Shiming] Chinese Acad Sci, Ctr Ocean Megasci, Qingdao, Peoples R China; [Colin, Christophe; Sepulcre, Sophie] Univ Paris Saclay, CNRS, GEOPS, Orsay, France; [Wilson, David J.] Univ London, Univ Coll London &amp; Birkbeck, Inst Earth &amp; Planetary Sci, London, England; [Bayon, Germain] IFREMER, Marine Geosci Unit, Plouzane, France; [Dapoigny, Arnaud] Univ Paris Saclay, CEA CNRS UVSQ, LSCE IPSL, Gif Sur Yvette, France; [Li, Yuanlong] Chinese Acad Sci, Key Lab Ocean Circulat &amp; Waves, Inst Oceanol, Qingdao, Peoples R China</t>
  </si>
  <si>
    <t>Chinese Academy of Sciences; Institute of Oceanology, CAS; Laoshan Laboratory; Chinese Academy of Sciences; Centre National de la Recherche Scientifique (CNRS); Universite Paris Saclay; Universite Paris Cite; University of London; University College London; Birkbeck University London; Ifremer; Universite Paris Cite; Universite Paris Cite; CEA; Centre National de la Recherche Scientifique (CNRS); Universite Paris Saclay; Chinese Academy of Sciences; Institute of Oceanology, CAS</t>
  </si>
  <si>
    <t>Yu, ZJ (corresponding author), Chinese Acad Sci, Key Lab Marine Geol &amp; Environm, Inst Oceanol, Qingdao, Peoples R China.;Yu, ZJ (corresponding author), Qingdao Natl Lab Marine Sci &amp; Technol, Lab Marine Geol, Qingdao, Peoples R China.;Yu, ZJ (corresponding author), Chinese Acad Sci, Ctr Ocean Megasci, Qingdao, Peoples R China.</t>
  </si>
  <si>
    <t>yuzhaojie@qdio.ac.cn</t>
  </si>
  <si>
    <t>Bayon, Germain/F-9754-2010; Wilson, David/AAA-9939-2019; Wan, Shiming/B-4735-2011; YU, ZHAOJIE/L-8930-2019; Li, Yuanlong/AES-6061-2022</t>
  </si>
  <si>
    <t>Wilson, David/0000-0003-2786-4688; Wan, Shiming/0000-0001-9335-2248; Li, Yuanlong/0000-0002-7239-5756; Yu, Zhaojie/0000-0003-4135-9418; Sepulcre, Sophie/0000-0001-6152-3313; Song, Zehua/0000-0003-3022-602X</t>
  </si>
  <si>
    <t>e2022GL100003</t>
  </si>
  <si>
    <t>10.1029/2022GL100003</t>
  </si>
  <si>
    <t>6L9QK</t>
  </si>
  <si>
    <t>Green Submitted, Green Published, Bronze</t>
  </si>
  <si>
    <t>WOS:000888513600001</t>
  </si>
  <si>
    <t>Ganeshan, M; Yang, YK; Palm, SP</t>
  </si>
  <si>
    <t>Ganeshan, Manisha; Yang, Yuekui; Palm, Stephen P.</t>
  </si>
  <si>
    <t>Impact of Clouds and Blowing Snow on Surface and Atmospheric Boundary Layer Properties Over Dome C, Antarctica</t>
  </si>
  <si>
    <t>CALIPSO; blowing snow; Antarctic boundary layer; Antarctic clouds; surface downwelling longwave radiation; surface-based inversion</t>
  </si>
  <si>
    <t>EAST ANTARCTICA; TEMPERATURE; HEIGHT; TOWER; COVER</t>
  </si>
  <si>
    <t>Clouds and blowing snow (BLSN) occur frequently over Antarctica, where it is critical to understand their feedbacks to surface and atmospheric boundary layer processes. Dome C, an elevated East Antarctic station, dominated by lengthy periods of surface longwave (LW) radiative cooling, is selected to reveal cloud and BLSN impacts within a largely stable environment. The sky condition is classified as clear, cloudy, or BLSN, using 3 years of Cloud-Aerosol Lidar and Infrared Pathfinder Satellite Observations satellite data. Co-located and contemporaneous in situ observations are used to investigate the relationship of sky condition with surface and atmospheric boundary layer thermal structure, focusing on seasonal variability. Results show that increased downwelling LW radiation from clouds abate surface radiative cooling losses, contributing to warming during all seasons. An increase of 3 degrees C in the mean surface air temperature is observed during spring, whereas, a more dramatic rise (around 10 degrees C), due to accompanying large-scale subsidence, is observed during fall and winter in association with clouds. For all seasons, the wind speed and wind speed shear are strongest during BLSN events, and the surface-based inversion is weakened by cooling which peaks in a shallow above-surface turbulent layer. The stronger background stability during fall and winter seasons, restricts turbulence and BLSN depths generally to the lowest tens of meters. The Earth's cryosphere is among the most rapidly evolving yet least well-observed regions, and knowledge of clouds and BLSN interactions with the typical stable atmospheric boundary layer can help further understand energy and moisture exchanges.</t>
  </si>
  <si>
    <t>[Ganeshan, Manisha] Morgan State Univ, Baltimore, MD 21239 USA; [Ganeshan, Manisha; Yang, Yuekui; Palm, Stephen P.] NASA, Goddard Space Flight Ctr, Greenbelt, MD 20771 USA; [Palm, Stephen P.] Sci Syst &amp; Applicat Inc, Lanham, MD USA</t>
  </si>
  <si>
    <t>Morgan State University; National Aeronautics &amp; Space Administration (NASA); NASA Goddard Space Flight Center; Science Systems and Applications Inc</t>
  </si>
  <si>
    <t>Ganeshan, M (corresponding author), Morgan State Univ, Baltimore, MD 21239 USA.;Ganeshan, M (corresponding author), NASA, Goddard Space Flight Ctr, Greenbelt, MD 20771 USA.</t>
  </si>
  <si>
    <t>manisha.ganeshan@nasa.gov</t>
  </si>
  <si>
    <t>Ganeshan, Manisha/0000-0001-7824-9111</t>
  </si>
  <si>
    <t>e2022JD036801</t>
  </si>
  <si>
    <t>10.1029/2022JD036801</t>
  </si>
  <si>
    <t>6L9RJ</t>
  </si>
  <si>
    <t>WOS:000888516100001</t>
  </si>
  <si>
    <t>Mason, E; Edmonds, M; McConnell, JR</t>
  </si>
  <si>
    <t>Mason, Emily; Edmonds, Marie; McConnell, Joseph R.</t>
  </si>
  <si>
    <t>Volatile trace metals deposited in ice as soluble volcanic aerosols during the 17.7.ka eruptions of Mt Takahe, West Antarctic Rift</t>
  </si>
  <si>
    <t>degassing; volatile metals; ice core; stratosphere; volcanic</t>
  </si>
  <si>
    <t>CORE RECORD; HIGH-TEMPERATURE; EREBUS VOLCANO; CLIMATE-CHANGE; WHITE ISLAND; ETNA VOLCANO; GAS; EMISSIONS; ELEMENTS; PARTICULATE</t>
  </si>
  <si>
    <t>Volatile metals are emitted at significant rates as gases and particulates from volcanoes, although their speciation, bioreactivity and longevity during atmospheric transport are essentially unknown. Ice cores provide detailed yet largely unexplored long-term records of volcanogenic volatile metals in air and precipitation. Here we evaluate the source and speciation of volatile metals (cadmium, lead, bismuth, and thallium) in Antarctic ice cores from the massive, halogen-rich and sulfur-poor similar to 17.7 ka eruptions of Mt. Takahe, West Antarctic Rift. We show that these volatile, chalcophile metals were transported to the ice core as soluble aerosol, derived from magma degassing, in contrast to lithophile elements in the ice core that were transported as silicate ash. We use correlation analysis and chemical speciation modelling of the chlorine-rich volcanic plume to show that the volcanic metals cadmium, lead and bismuth were likely transported as water-soluble chloride aerosols in the atmosphere before they were scavenged from the plume by ice, water or ash and deposited onto the ice within 400 km of the vent. Our findings show that as well as recording trace metals sourced from much more distal regions, ice cores from Antarctica also record clear signatures of regional continental volcanism in the form of chloride aerosol.</t>
  </si>
  <si>
    <t>[Mason, Emily; Edmonds, Marie] Univ Cambridge, Dept Earth Sci, Cambridge, England; [McConnell, Joseph R.] Desert Res Inst, Div Hydrol Sci, Reno, NV USA</t>
  </si>
  <si>
    <t>University of Cambridge; Nevada System of Higher Education (NSHE); Desert Research Institute NSHE</t>
  </si>
  <si>
    <t>Edmonds, M (corresponding author), Univ Cambridge, Dept Earth Sci, Cambridge, England.</t>
  </si>
  <si>
    <t>marie.edmonds@esc.cam.ac.uk</t>
  </si>
  <si>
    <t>UKRI EPSRC; United States National Science Foundation [0538427, 0839093, 1142166]; Clare Hall, Cambridge through the Sir Nicholas Shackleton Fellowship</t>
  </si>
  <si>
    <t>UKRI EPSRC(UK Research &amp; Innovation (UKRI)Engineering &amp; Physical Sciences Research Council (EPSRC)); United States National Science Foundation(National Science Foundation (NSF)); Clare Hall, Cambridge through the Sir Nicholas Shackleton Fellowship</t>
  </si>
  <si>
    <t>EM was funded by an UKRI EPSRC studentship during this work. The WD ice core was analysed at the Desert Research Institute with funding from United States National Science Foundation to JRM (grants 0538427, 0839093, and 1142166). Clare Hall, Cambridge, provided additional support to JRM through the Sir Nicholas Shackleton Fellowship.</t>
  </si>
  <si>
    <t>10.3389/feart.2022.1002366</t>
  </si>
  <si>
    <t>6Q8AG</t>
  </si>
  <si>
    <t>WOS:000891831500001</t>
  </si>
  <si>
    <t>Pimentel, ZT; Thibodeau, PS; Song, BK; Zhang, Y</t>
  </si>
  <si>
    <t>Pimentel, Zachary T.; Thibodeau, Patricia S.; Song, Bongkeun; Zhang, Ying</t>
  </si>
  <si>
    <t>A Mollicutes Metagenome-Assembled Genome from the Gut of the Pteropod Limacina rangii</t>
  </si>
  <si>
    <t>A nearly complete genome of an uncultured Mollicutes sp. was obtained from the metagenome of the gut of Limacina rangii (open-ocean snail), an important grazer and prey for higher trophic animals along the rapidly warming region of the western Antarctic Peninsula. A nearly complete genome of an uncultured Mollicutes sp. was obtained from the metagenome of the gut of Limacina rangii (open-ocean snail), an important grazer and prey for higher trophic animals along the rapidly warming region of the western Antarctic Peninsula.</t>
  </si>
  <si>
    <t>[Pimentel, Zachary T.; Zhang, Ying] Univ Rhode Isl, Coll Environm &amp; Life Sci, Dept Cell &amp; Mol Biol, Kingston, RI 02881 USA; [Thibodeau, Patricia S.; Song, Bongkeun] William &amp; Mary, Virginia Inst Marine Sci, Dept Biol Sci, Gloucester Point, VA 23185 USA; [Thibodeau, Patricia S.] Univ Rhode Isl, Grad Sch Oceanog, Narragansett, RI USA</t>
  </si>
  <si>
    <t>University of Rhode Island; William &amp; Mary; Virginia Institute of Marine Science; University of Rhode Island</t>
  </si>
  <si>
    <t>Zhang, Y (corresponding author), Univ Rhode Isl, Coll Environm &amp; Life Sci, Dept Cell &amp; Mol Biol, Kingston, RI 02881 USA.;Thibodeau, PS (corresponding author), William &amp; Mary, Virginia Inst Marine Sci, Dept Biol Sci, Gloucester Point, VA 23185 USA.</t>
  </si>
  <si>
    <t>thibodeau@uri.edu; yingzhang@uri.edu</t>
  </si>
  <si>
    <t>Zhang, Ying/HKF-2437-2023</t>
  </si>
  <si>
    <t>Zhang, Ying/0000-0001-8759-0194; Thibodeau, Patricia/0000-0002-6005-8816; Song, Bongkeun/0000-0002-6645-7025; Pimentel, Zachary/0000-0002-3962-780X</t>
  </si>
  <si>
    <t>National Science Foundation Antarctic Organisms and Ecosystems Program [PLR 1440435]; NSF Biological Oceanography [OCE 1321373, 1737258]; NSF [OIA-1929078]; Rhode Island NSF EPSCoR [OIA-165522]; Division Of Ocean Sciences; Directorate For Geosciences [1737258] Funding Source: National Science Foundation</t>
  </si>
  <si>
    <t>National Science Foundation Antarctic Organisms and Ecosystems Program(National Science Foundation (NSF)NSF - Directorate for Geosciences (GEO)); NSF Biological Oceanography(National Science Foundation (NSF)NSF - Directorate for Geosciences (GEO)); NSF(National Science Foundation (NSF)); Rhode Island NSF EPSCoR; Division Of Ocean Sciences; Directorate For Geosciences(National Science Foundation (NSF)NSF - Directorate for Geosciences (GEO))</t>
  </si>
  <si>
    <t>Funding was from the National Science Foundation Antarctic Organisms and Ecosystems Program (PLR 1440435), NSF Biological Oceanography (OCE 1321373 and 1737258), NSF OIA-1929078, and Rhode Island NSF EPSCoR grant OIA-165522. Z.T.P. wrote the manuscript and analyzed sequence data. P.S.T. wrote the manuscript and provided sequence data. B.S. provided sequence data and revised the manuscript. Y.Z. provided analysis oversight and revised the manuscript.</t>
  </si>
  <si>
    <t>DEC 15</t>
  </si>
  <si>
    <t>10.1128/mra.00752-22</t>
  </si>
  <si>
    <t>7A4SD</t>
  </si>
  <si>
    <t>WOS:000885658500001</t>
  </si>
  <si>
    <t>Muenzel, D; Critchell, K; Cox, C; Campbell, SJ; Jakub, R; Chollett, I; Krueck, N; Holstein, D; Treml, EA; Beger, M</t>
  </si>
  <si>
    <t>Muenzel, Dominic; Critchell, Kay; Cox, Courtney; Campbell, Stuart J.; Jakub, Raymond; Chollett, Iliana; Krueck, Nils; Holstein, Daniel; Treml, Eric A.; Beger, Maria</t>
  </si>
  <si>
    <t>Comparing spatial conservation prioritization methods with site-versus spatial dependency-based connectivity</t>
  </si>
  <si>
    <t>connectivity; graph theory; larval dispersal; marine reserve design; Marxan; systematic conservation planning</t>
  </si>
  <si>
    <t>LARVAL DISPERSAL; POPULATION CONNECTIVITY; MARINE RESERVES; CORAL-REEFS; DESIGN; NETWORKS; LIMITATIONS; GUIDELINES; MODELS; GREAT</t>
  </si>
  <si>
    <t>Larval dispersal is an important component of marine reserve networks. Two conceptually different approaches to incorporate dispersal connectivity into spatial planning of these networks exist, and it is an open question as to when either is most appropriate. Candidate reserve sites can be selected individually based on local properties of connectivity or on a spatial dependency-based approach of selecting clusters of strongly connected habitat patches. The first acts on individual sites, whereas the second acts on linked pairs of sites. We used a combination of larval dispersal simulations representing different seascapes and case studies of biophysical larval dispersal models in the Coral Triangle region and the province of Southeast Sulawesi, Indonesia, to compare the performance of these 2 methods in the spatial planning software Marxan. We explored the reserve design performance implications of different dispersal distances and patterns based on the equilibrium settlement of larvae in protected and unprotected areas. We further assessed different assumptions about metapopulation contributions from unprotected areas, including the case of 100% depletion and more moderate scenarios. The spatial dependency method was suitable when dispersal was limited, a high proportion of the area of interest was substantially degraded, or the target amount of habitat protected was low. Conversely, when subpopulations were well connected, the 100% depletion was relaxed, or more habitat was protected, protecting individual sites with high scores in metrics of connectivity was a better strategy. Spatial dependency methods generally produced more spatially clustered solutions with more benefits inside than outside reserves compared with site-based methods. Therefore, spatial dependency methods potentially provide better results for ecological persistence objectives over enhancing fisheries objectives, and vice versa. Different spatial prioritization methods of using connectivity are appropriate for different contexts, depending on dispersal characteristics, unprotected area contributions, habitat protection targets, and specific management objectives.</t>
  </si>
  <si>
    <t>[Muenzel, Dominic; Beger, Maria] Univ Leeds, Fac Biol Sci, Sch Biol, Leeds LS2 9JT, W Yorkshire, England; [Critchell, Kay; Treml, Eric A.] Deakin Univ, Sch Life &amp; Environm Sci, Ctr Integrat Ecol, Geelong, Vic, Australia; [Cox, Courtney; Campbell, Stuart J.; Jakub, Raymond] Rare, Arlington, VA USA; [Campbell, Stuart J.; Jakub, Raymond] Rare Indonesia, Bogor, Indonesia; [Chollett, Iliana] Sea Cottage, Louisburgh, Ireland; [Krueck, Nils] Univ Tasmania, Inst Marine &amp; Antarctic Studies, Hobart, Tas, Australia; [Holstein, Daniel] Louisiana State Univ, Dept Oceanog &amp; Coastal Sci, Baton Rouge, LA 70803 USA; [Beger, Maria] Univ Queensland, Sch Biol Sci, Ctr Biodivers &amp; Conservat Sci, Brisbane, Qld, Australia</t>
  </si>
  <si>
    <t>University of Leeds; Deakin University; University of Tasmania; Louisiana State University System; Louisiana State University; University of Queensland</t>
  </si>
  <si>
    <t>Muenzel, D (corresponding author), Univ Leeds, Fac Biol Sci, Sch Biol, Leeds LS2 9JT, W Yorkshire, England.</t>
  </si>
  <si>
    <t>bsdkm@leeds.ac.uk</t>
  </si>
  <si>
    <t>Beger, Maria/ABC-5975-2022; Treml, Eric A/C-7580-2013; Critchell, Kay/E-3150-2017</t>
  </si>
  <si>
    <t>Beger, Maria/0000-0003-1363-3571; Treml, Eric A/0000-0003-4844-4420; Cox, Courtney/0000-0002-4344-001X; Chollett, Iliana/0000-0003-0536-499X; Critchell, Kay/0000-0003-0599-2355; Holstein, Daniel/0000-0002-9933-833X; Muenzel, Dominic/0000-0002-7158-7748</t>
  </si>
  <si>
    <t>University of Leeds School of Biology Doctoral Training Studentship; Bloomberg Philanthropies; Nature Conservancy; Coral Triangle Initiative</t>
  </si>
  <si>
    <t>D.M. was funded by the University of Leeds School of Biology Doctoral Training Studentship. We thank members of the Beger research group for their helpful comments. We thank Bloomberg Philanthropies for funding the larval dispersal modeling in Southeast Sulawesi and The Nature Conservancy and the Coral Triangle Initiative for funding dispersal modeling in the Coral Triangle.</t>
  </si>
  <si>
    <t>e14008</t>
  </si>
  <si>
    <t>10.1111/cobi.14008</t>
  </si>
  <si>
    <t>L1XX0</t>
  </si>
  <si>
    <t>WOS:000884305300001</t>
  </si>
  <si>
    <t>Colesie, C; Walshaw, CV; Sancho, LG; Davey, MP; Gray, A</t>
  </si>
  <si>
    <t>Colesie, Claudia; Walshaw, Charlotte, V; Sancho, Leopoldo Garcia; Davey, Matthew P.; Gray, Andrew</t>
  </si>
  <si>
    <t>Antarctica's vegetation in a changing climate</t>
  </si>
  <si>
    <t>WILEY INTERDISCIPLINARY REVIEWS-CLIMATE CHANGE</t>
  </si>
  <si>
    <t>Antarctica; climate change; lichen; terrestrial; vegetation</t>
  </si>
  <si>
    <t>LICHENS UMBILICARIA-ANTARCTICA; BIOLOGICAL SOIL CRUSTS; MCMURDO DRY VALLEYS; INVASIVE POA-ANNUA; TO-CONSUMER RATIO; VASCULAR PLANTS; COLOBANTHUS-QUITENSIS; CRYOCONITE HOLES; PHOTOSYNTHETIC RESPONSES; CONTINENTAL ANTARCTICA</t>
  </si>
  <si>
    <t>Antarctica plays a central role in regulating global climatic and oceanographic patterns and is an integral part of global climate change discussions. The functioning of Antarctica's terrestrial ecosystems is dominated by poikilohydric cryptogams such as lichens, bryophytes, eukaryotic algae, and cyanobacteria and there are only two native species of vascular plants. Antarctica's vegetation is highly adapted to the region's extreme conditions but, at the same time, it is potentially highly susceptible to climatic fluctuations. Biological responses to shifts in temperature, water availability, wind patterns, snow, and ice cover are complex, taxa-specific and act on different temporal and spatial scales. In maritime Antarctica, where warming and mass loss of outlet glaciers have been mainly observed, the vegetation is expected to show increases in productivity, abundance, and cover. In continental Antarctica, observational and experimental evidence is still sparse, but it is pointing toward even drier and harsher conditions for survival. We need more information on what the observed and predicted changes in Antarctic vegetation are for different regions and ecosystems. This will inform us how environmental change and human impact will shape the future of these ecosystems, and whether the speed and magnitude of change have habitat-specific effects and implications. Antarctica's unique ecosystems are changing and in this review, we describe the current situation, tools to measure, and evaluate change and how change is likely to look in the future. This article is categorized under: Climate, Ecology, and Conservation &gt; Observed Ecological Changes Assessing Impacts of Climate Change &gt; Evaluating Future Impacts of Climate Change Climate, Ecology, and Conservation &gt; Modeling Species and Community Interactions Assessing Impacts of Climate Change &gt; Observed Impacts of Climate Change 'Global</t>
  </si>
  <si>
    <t>[Colesie, Claudia; Walshaw, Charlotte, V; Gray, Andrew] Univ Edinburgh, Sch GeoSci, Global Change Inst, Edinburgh, Midlothian, Scotland; [Sancho, Leopoldo Garcia] Univ Complutense Madrid, Fac Pharm, Sect Bot, Madrid, Spain; [Davey, Matthew P.] Scottish Assoc Marine Sci SAMS, Oban, Argyll, Scotland</t>
  </si>
  <si>
    <t>University of Edinburgh; Complutense University of Madrid</t>
  </si>
  <si>
    <t>Colesie, C (corresponding author), Univ Edinburgh, Sch GeoSci, Global Change Inst, Edinburgh, Midlothian, Scotland.</t>
  </si>
  <si>
    <t>; SANCHO, LEOPOLDO/G-9120-2015; Colesie, Claudia/H-4258-2015</t>
  </si>
  <si>
    <t>Gray, Andrew/0000-0003-1145-9741; SANCHO, LEOPOLDO/0000-0002-4751-7475; Walshaw, Charlotte/0000-0001-6478-4076; Colesie, Claudia/0000-0003-1136-0290</t>
  </si>
  <si>
    <t>NERC [NE/V000764/1]; Spanish Ministry of Science [CTM2015-64728-C2-1-R, PID2019-105469RB-C21]</t>
  </si>
  <si>
    <t>NERC(UK Research &amp; Innovation (UKRI)Natural Environment Research Council (NERC)); Spanish Ministry of Science(Spanish Government)</t>
  </si>
  <si>
    <t>Financial support was provided by a NERC Standard Grant (NE/V000764/1) and a grant from the Spanish Ministry of Science (CRYPTOCOVER, CTM2015-64728-C2-1-R, and POLAR-ROCKS, PID2019-105469RB-C21).</t>
  </si>
  <si>
    <t>1757-7780</t>
  </si>
  <si>
    <t>1757-7799</t>
  </si>
  <si>
    <t>WIRES CLIM CHANGE</t>
  </si>
  <si>
    <t>Wiley Interdiscip. Rev.-Clim. Chang.</t>
  </si>
  <si>
    <t>e810</t>
  </si>
  <si>
    <t>10.1002/wcc.810</t>
  </si>
  <si>
    <t>Environmental Studies; Meteorology &amp; Atmospheric Sciences</t>
  </si>
  <si>
    <t>8D0TN</t>
  </si>
  <si>
    <t>WOS:000884309400001</t>
  </si>
  <si>
    <t>Pang, XP; Zhang, CL; Ji, Q; Chen, YZ; Zhen, Z; Zhu, YM; Yan, ZN</t>
  </si>
  <si>
    <t>Pang, Xiaoping; Zhang, Chenlei; Ji, Qing; Chen, Yizhuo; Zhen, Zeng; Zhu, Yamin; Yan, Zhongnan</t>
  </si>
  <si>
    <t>Analysis of sea ice conditions and navigability in the Arctic Northeast Passage during the summer from 2002-2021</t>
  </si>
  <si>
    <t>GEO-SPATIAL INFORMATION SCIENCE</t>
  </si>
  <si>
    <t>Arctic Northeast Passage (NEP); inter-calibration; sea ice thickness; sea ice extent; navigability</t>
  </si>
  <si>
    <t>THICKNESS</t>
  </si>
  <si>
    <t>The decreasing of Arctic sea ice is projected to continue with global warming, which makes the summer navigation conditions of the Arctic improve. Based on the multi-source remote-sensing data with inter-sensor calibration processing and the ship-based observational data from R/V Xuelong and M/V Yongsheng, the sea ice conditions of the Arctic Northeast Passage (NEP) during the 2002-2021 summer seasons were analyzed, and the navigability of the NEP between July and October from 2002 to 2021 was discussed. Inter-sensor calibration could effectively reduce the deviation from different passive microwave data. Sea ice extent and thickness in the NEP decreased annually, which resulted in the navigability of the NEP showing a potential tendency toward improvement in navigability. The navigation period was mainly concentrated in early August to early October. The middle part of the NEP was primarily affected by sea ice. This influence decreased over time, while the navigation period increased, especially in the Vilkitsky Strait, which is a key shipping area. This analysis of sea ice conditions and navigability in the past 20 years could provide a reference for future scientific investigations and aid in merchant ship navigation in the Arctic summer.</t>
  </si>
  <si>
    <t>[Pang, Xiaoping; Zhang, Chenlei; Ji, Qing; Chen, Yizhuo; Yan, Zhongnan] Wuhan Univ, Chinese Antarctic Ctr Surveying &amp; Mapping, Wuhan, Peoples R China; [Zhen, Zeng; Zhu, Yamin] Wuhan Univ, Sch Resource &amp; Environm Sci, Wuhan, Peoples R China</t>
  </si>
  <si>
    <t>Ji, Q (corresponding author), Wuhan Univ, Chinese Antarctic Ctr Surveying &amp; Mapping, Wuhan, Peoples R China.</t>
  </si>
  <si>
    <t>jiqing@whu.edu.cn</t>
  </si>
  <si>
    <t>Ji, Qing/0000-0003-1386-5604</t>
  </si>
  <si>
    <t>National Key Research and Development Program of China [2017YFA0603104]; National Natural Science Foundation of China [42076235]; Fundamental Research Funds for the Central Universities [2042022kf0018]; Special Fund for High Resolution Images Surveying and Mapping Application [42-Y30B04-9001-19/21]</t>
  </si>
  <si>
    <t>National Key Research and Development Program of China; National Natural Science Foundation of China(National Natural Science Foundation of China (NSFC)); Fundamental Research Funds for the Central Universities(Fundamental Research Funds for the Central Universities); Special Fund for High Resolution Images Surveying and Mapping Application</t>
  </si>
  <si>
    <t>This work was supported by the National Key Research and Development Program of China [grant number 2017YFA0603104]; the National Natural Science Foundation of China [grant number 42076235]; the Fundamental Research Funds for the Central Universities [grant number 2042022kf0018] and the Special Fund for High Resolution Images Surveying and Mapping Application [grant number 42-Y30B04-9001-19/21]</t>
  </si>
  <si>
    <t>1009-5020</t>
  </si>
  <si>
    <t>1993-5153</t>
  </si>
  <si>
    <t>GEO-SPAT INF SCI</t>
  </si>
  <si>
    <t>Geo-Spat. Inf. Sci.</t>
  </si>
  <si>
    <t>JUL 3</t>
  </si>
  <si>
    <t>10.1080/10095020.2022.2124128</t>
  </si>
  <si>
    <t>W4IZ3</t>
  </si>
  <si>
    <t>WOS:000884247100001</t>
  </si>
  <si>
    <t>Xia, XY; Hong, Y; Du, Y; Xiu, P</t>
  </si>
  <si>
    <t>Xia, Xingyue; Hong, Yu; Du, Yan; Xiu, Peng</t>
  </si>
  <si>
    <t>Three Types of Antarctic Intermediate Water Revealed by a Machine Learning Approach</t>
  </si>
  <si>
    <t>MODE WATER; CIRCULATION; TRANSPORT; HEAT; EXCHANGE; TRACERS; RENEWAL; FRONTS; IMPACT</t>
  </si>
  <si>
    <t>The subduction and export of Antarctic Intermediate Water (AAIW) is important for the heat, freshwater, carbon, and nutrient budgets of the world's oceans. Three types of AAIW are identified by applying an unsupervised machine learning approach to individual Argo profiles. The likely sources and pathways of these AAIWs are indicated by the locations and magnitudes of the salinity and oxygen extrema. The Southeast Pacific AAIW forms north of the Subantarctic Front (SAF) in the west corner of the Drake Passage and is exported north into the subtropical gyre. The South Pacific AAIW forms in the South Pacific along the SAF and is transported through the Drake Passage, thereby becoming a saliter and denser AAIW. The circumpolar AAIW, the coldest and freshest AAIW, has a circumpolar source and is injected into the ocean interior in the Brazil-Malvinas confluence. The results clarify different types of AAIW have different origins.</t>
  </si>
  <si>
    <t>[Xia, Xingyue; Hong, Yu; Du, Yan; Xiu, Peng] Chinese Acad Sci, State Key Lab Trop Oceanog, South China Sea Inst Oceanog, Guangzhou, Peoples R China; [Xia, Xingyue; Du, Yan; Xiu, Peng] Univ Chinese Acad Sci, Beijing, Peoples R China; [Hong, Yu; Du, Yan; Xiu, Peng] Southern Marine Sci &amp; Engn Guangdong Lab Guangzho, Guangzhou, Peoples R China</t>
  </si>
  <si>
    <t>Chinese Academy of Sciences; South China Sea Institute of Oceanology, CAS; Chinese Academy of Sciences; University of Chinese Academy of Sciences, CAS; Hong Kong Branch of the Southern Marine Science &amp; Engineering Guangdong Laboratory (Guangzhou)</t>
  </si>
  <si>
    <t>Du, Y (corresponding author), Chinese Acad Sci, State Key Lab Trop Oceanog, South China Sea Inst Oceanog, Guangzhou, Peoples R China.;Du, Y (corresponding author), Univ Chinese Acad Sci, Beijing, Peoples R China.;Du, Y (corresponding author), Southern Marine Sci &amp; Engn Guangdong Lab Guangzho, Guangzhou, Peoples R China.</t>
  </si>
  <si>
    <t>duyan@scsio.ac.cn</t>
  </si>
  <si>
    <t>DU, Yan/C-4496-2013; DU, YAN/HZI-1091-2023; Xiu, Peng/O-6724-2014</t>
  </si>
  <si>
    <t>DU, Yan/0000-0002-7842-0801; Xiu, Peng/0000-0001-5328-8405; Hong, Yu/0000-0003-2150-5449; xia, xingyue/0000-0003-0028-1976</t>
  </si>
  <si>
    <t>NSFC [42090042, 41906180]; Chinese Academy of Sciences [133244KYSB20190031]; Guangdong Basic and Applied Basic Research Foundation [2022A1515011933]</t>
  </si>
  <si>
    <t>NSFC(National Natural Science Foundation of China (NSFC)); Chinese Academy of Sciences(Chinese Academy of Sciences); Guangdong Basic and Applied Basic Research Foundation</t>
  </si>
  <si>
    <t>The authors wish to acknowledge Dr. William Hobbs for his helpful comments on the manuscript. This work is supported by the NSFC (42090042, 41906180), the Chinese Academy of Sciences (133244KYSB20190031), and the Guangdong Basic and Applied Basic Research Foundation (2022A1515011933).</t>
  </si>
  <si>
    <t>e2022GL099445</t>
  </si>
  <si>
    <t>10.1029/2022GL099445</t>
  </si>
  <si>
    <t>5Z2NV</t>
  </si>
  <si>
    <t>WOS:000879814700001</t>
  </si>
  <si>
    <t>Alvarez-Valero, AM; Sumino, H; Caracausi, A; Sánchez, AP; Burgess, R; Geyer, A; Borrajo, J; Rodríguez, JAL; Albert, H; Aulinas, M; Núñez-Guerrero, E</t>
  </si>
  <si>
    <t>Alvarez-Valero, Antonio M.; Sumino, Hirochika; Caracausi, Antonio; Sanchez, Antonio Polo; Burgess, Ray; Geyer, Adelina; Borrajo, Javier; Rodriguez, Jose A. Lozano; Albert, Helena; Aulinas, Meritxell; Nunez-Guerrero, Elena</t>
  </si>
  <si>
    <t>Noble gas isotopes reveal degassing-derived eruptions at Deception Island (Antarctica): implications for the current high levels of volcanic activity</t>
  </si>
  <si>
    <t>SOUTH SHETLAND ISLANDS; GEOCHEMICAL EVIDENCE; BRANSFIELD RIFT; HELIUM; PALEOMAGNETISM; ABUNDANCES; EVOLUTION; PENINSULA; HYDROGEN; FLUIDS</t>
  </si>
  <si>
    <t>Deception Island is one of the most active volcanoes in Antarctica with more than twenty explosive eruptions in the past two centuries. Any future volcanic eruption(s) is a serious concern for scientists and tourists, will be detrimental to marine ecosystems and could have an impact to global oceanographic processes. Currently, it is not possible to carry-out low and high frequency volcanic gas monitoring at Deception Island because of the arduous climatic conditions and its remote location. Helium, neon and argon isotopes measured in olivine samples of the main eruptive events (pre-, syn- and post caldera) offer insights into the processes governing its volcanic history. Our results show that: (i) ascending primitive magmas outgassed volatiles with a MORB-like helium isotopic signature (He-3/He-4 ratio); and (ii) variations in the He isotope ratio, as well as intensive degassing evidenced by fractionated He-4/Ar-40* values, occurred before the beginning of the main eruptive episodes. Our results show how the pre-eruptive noble gas signals of volcanic activity is an important step toward a better understanding of the magmatic dynamics and has the potential to improve eruption forecasting.</t>
  </si>
  <si>
    <t>[Alvarez-Valero, Antonio M.; Sanchez, Antonio Polo; Nunez-Guerrero, Elena] Univ Salamanca, Dept Geol, Salamanca, Spain; [Sumino, Hirochika] Univ Tokyo, Res Ctr Adv Sci &amp; Technol, Tokyo, Japan; [Caracausi, Antonio] Ist Nazl Geofis &amp; Vulcanol, Sez Palermo, Palermo, Italy; [Burgess, Ray] Univ Manchester, Dept Earth &amp; Environm Sci, Manchester, Lancs, England; [Geyer, Adelina] CSIC, Geosci Barcelona, Barcelona, Spain; [Borrajo, Javier] Univ Salamanca, Dept Phys Engn &amp; Med Radiol, Salamanca, Spain; [Rodriguez, Jose A. Lozano] Ctr Oceanog Canarias, Inst Espanol Oceanog, Santa Cruz De Tenerife, Spain; [Albert, Helena; Aulinas, Meritxell] Univ Barcelona, Dept Mineral Petrol &amp; Geol Aplicada, Barcelona, Spain</t>
  </si>
  <si>
    <t>University of Salamanca; University of Tokyo; Istituto Nazionale Geofisica e Vulcanologia (INGV); University of Manchester; Consejo Superior de Investigaciones Cientificas (CSIC); University of Salamanca; Spanish Institute of Oceanography; University of Barcelona</t>
  </si>
  <si>
    <t>Alvarez-Valero, AM (corresponding author), Univ Salamanca, Dept Geol, Salamanca, Spain.</t>
  </si>
  <si>
    <t>aav@usal.es</t>
  </si>
  <si>
    <t>Sumino, Hirochika/G-4912-2014; Albert, Helena/ABH-2214-2020; Geyer, Adelina/C-9490-2011; Geyer, Adelina/A-6624-2012; Alvarez-Valero, Antonio M./B-2732-2015</t>
  </si>
  <si>
    <t>Albert, Helena/0000-0002-5434-9916; Geyer, Adelina/0000-0002-8803-6504; Nunez-Guerrero, Elena/0000-0003-2829-9422; Alvarez-Valero, Antonio M./0000-0001-9707-0168; Burgess, Ray/0000-0001-7674-8718; Aulinas, Meritxell/0000-0003-3795-3537</t>
  </si>
  <si>
    <t>Spanish Government (MICINN) [CTM2009-05919-E/ANT, CTM2011-13578-E/ANT, CTM2016-79617-P, PGC2018-095693-B-I00, PID2020-114876GB-I00, MCIN/AEI/10.13039/501100011033, PID2021-127189OB-I00]; Programa Propio's project (Universidad de Salamanca-2019 modalidad 1B); JSPS invitation fellowship at the University of Tokyo [S18113]; National Science Foundation [OPP-1643713, OPP2137467]; Grants-in-Aid for Scientific Research [22H01304, 22K03771, 20K20529] Funding Source: KAKEN</t>
  </si>
  <si>
    <t>Spanish Government (MICINN)(Spanish Government); Programa Propio's project (Universidad de Salamanca-2019 modalidad 1B); JSPS invitation fellowship at the University of Tokyo; National Science Foundation(National Science Foundation (NSF)); Grants-in-Aid for Scientific Research(Ministry of Education, Culture, Sports, Science and Technology, Japan (MEXT)Japan Society for the Promotion of ScienceGrants-in-Aid for Scientific Research (KAKENHI))</t>
  </si>
  <si>
    <t>This research was supported by the Spanish Government (MICINN) projects: RECALDEC (CTM2009-05919-E/ANT), PEVOLDEC (CTM2011-13578-E/ANT), POSVOLDEC (CTM2016-79617-P)(AEI/FEDER, UE), VOLGASDEC (PGC2018-095693-B-I00)(AEI/FEDER, UE), HYDROCAL (PID2020-114876GB-I00)(MCIN/AEI/10.13039/501100011033), EruptING (PID2021-127189OB-I00) (MCIN/AEI/10.13039/501100011033), and Programa Propio's project (Universidad de Salamanca-2019 modalidad 1B). A.A-V also thanks the JSPS invitation fellowship (S18113) at the University of Tokyo. A.P.S is grateful for his PhD grant Programa Propio III Universidad de Salamanca-2021 cofounded by Banco de Santander. We thank all the military staff of the Spanish Antarctic Base Gabriel de Castilla for their constant help and logistic support, and the crew of the scientific vessel BIO-Hesperides without which this research would not have been possible. The manuscript has greatly benefited from detailed and constructive comments by Elliot Carter, an anonymous reviewer, and the editor Marco Viccaro. We also thank Tobias Fischer for valuable comments on an early version of the manuscript, as well as the Polar Rock Repository (http://research.bpcrc.osu.edu/rr/) for loaning the rock sample PRR-10298 collected by C.H. Shultz in 1970. This sample on loan is based on services provided by the Polar Rock Repository with support from the National Science Foundation, under Cooperative Agreements OPP-1643713 and OPP2137467 (https://doi.org/10.7289/V5RF5 S18). This research is also part of the CSIC Interdisciplinary Thematic Platform (PTI) Polar zone Observatory (PTI-POLARCSIC) activities.</t>
  </si>
  <si>
    <t>NOV 15</t>
  </si>
  <si>
    <t>10.1038/s41598-022-23991-3</t>
  </si>
  <si>
    <t>6H0KC</t>
  </si>
  <si>
    <t>WOS:000885139000072</t>
  </si>
  <si>
    <t>Robinson, MM; Dowsett, HJ; Herbert, TD</t>
  </si>
  <si>
    <t>Robinson, Marci M.; Dowsett, Harry J.; Herbert, Timothy D.</t>
  </si>
  <si>
    <t>Very high Middle Miocene surface productivity on the US mid-Atlantic shelf amid glacioeustatic sea level variability</t>
  </si>
  <si>
    <t>PALAEOGEOGRAPHY PALAEOCLIMATOLOGY PALAEOECOLOGY</t>
  </si>
  <si>
    <t>Middle Miocene; BG&amp;E; Miocene Climatic Optimum; Middle Miocene Climate Transition; Atlantic Coastal Plain</t>
  </si>
  <si>
    <t>ANTARCTIC ICE-SHEET; CALVERT CLIFFS; CLIMATE; MARGIN; EVOLUTION; SEQUENCES; CALIBRATION; SOUTHERN; MARYLAND; PACIFIC</t>
  </si>
  <si>
    <t>The Miocene Climatic Optimum (MCO) provides important insights into how the climate system operates under elevated temperatures and atmospheric CO2 levels. Few western North Atlantic paleotemperature or paleoecological records exist from the MCO, despite their importance for understanding both regional and global climate dynamics. Here we present quantitative MCO paleoecological data from the western North Atlantic, specifically from the Baltimore Gas &amp; Electric (BG&amp;E) marine sediment core from southern Maryland, USA. We examine alkenones and planktic foraminifera and document the first sea surface temperature (SST) and productivity estimates for the MCO and the Middle Miocene Climate Transition (MMCT) from the continental shelf. Increased levels of planktic foraminifer species diversity and surface productivity accompany high sea level intervals of the MCO, indicating coastal upwelling. Cooling episodes correlate to unconformities in the BG&amp;E core that reflect sea level lowstands; these and sedimentary cycles tie the record to eccentricity-paced Antarctic ice sheet growth and decay. This dynamic record not only captures the variability in SST, sea level and coastal productivity during the warm MCO and the transition to cooler global temperatures during the MMCT, but it also demonstrates the variability in local conditions within and between intervals of high sea level.</t>
  </si>
  <si>
    <t>[Robinson, Marci M.; Dowsett, Harry J.] US Geol Survey Florence Bascom Geosci Ctr, 926A Natl Ctr, Reston, VA 20192 USA; [Herbert, Timothy D.] Brown Univ, Dept Earth Environm &amp; Planetary Sci, Providence, RI USA</t>
  </si>
  <si>
    <t>Brown University</t>
  </si>
  <si>
    <t>Robinson, MM (corresponding author), US Geol Survey Florence Bascom Geosci Ctr, 926A Natl Ctr, Reston, VA 20192 USA.</t>
  </si>
  <si>
    <t>mmrobinson@usgs.gov</t>
  </si>
  <si>
    <t>USGS Climate Research and Development Program; NSF [OCE-1635127]</t>
  </si>
  <si>
    <t>USGS Climate Research and Development Program; NSF(National Science Foundation (NSF))</t>
  </si>
  <si>
    <t>This work is a product of the US Geological Survey Geological Investigations of the Neogene project. MMR and HJD were funded by the USGS Climate Research and Development Program. TDH received funding through NSF grant OCE-1635127. Nancy Durika and Ashley Lynn provided lab support. We thank Laura Gemery and Michael Toomey for their editorial reviews and Rob Weems for his shared expertise and critical input as well as two anonymous reviewers whose comments and suggestions improved this manuscript. Any use of trade, firm, or product names is for descriptive purposes only and does not imply endorsement by the U.S. Government. Foraminifera abundance and alkenone paleothermometry data can be accessed through ScienceBase at doi:htt ps://doi.org/10.5066/P9G3AFRZ.</t>
  </si>
  <si>
    <t>0031-0182</t>
  </si>
  <si>
    <t>1872-616X</t>
  </si>
  <si>
    <t>PALAEOGEOGR PALAEOCL</t>
  </si>
  <si>
    <t>Paleogeogr. Paleoclimatol. Paleoecol.</t>
  </si>
  <si>
    <t>10.1016/j.palaeo.2022.111249</t>
  </si>
  <si>
    <t>Geography, Physical; Geosciences, Multidisciplinary; Paleontology</t>
  </si>
  <si>
    <t>Physical Geography; Geology; Paleontology</t>
  </si>
  <si>
    <t>8Z8TZ</t>
  </si>
  <si>
    <t>WOS:000933645500003</t>
  </si>
  <si>
    <t>Sengupta, T; Lefol, Y; Lirussi, L; Suaste, V; Luders, T; Gupta, S; Aman, Y; Sharma, K; Fei, EVD; Nilsen, H</t>
  </si>
  <si>
    <t>Sengupta, Tanima; Lefol, Yohan; Lirussi, Lisa; Suaste, Veronica; Luders, Torben; Gupta, Swapnil; Aman, Yahyah; Sharma, Kulbhushan; Fei, Evandro; Nilsen, Hilde</t>
  </si>
  <si>
    <t>Krill oil protects dopaminergic neurons from age-related degeneration through temporal transcriptome rewiring and suppression of several hallmarks of aging</t>
  </si>
  <si>
    <t>AGING-US</t>
  </si>
  <si>
    <t>krill oil; aging; healthspan; mitochondrial health; senescence</t>
  </si>
  <si>
    <t>C.-ELEGANS; EXPRESSION; PARKINSONS; STRESS; BETA; G(Q)ALPHA; DISEASE</t>
  </si>
  <si>
    <t>There is accumulating evidence that interfering with the basic aging mechanisms can enhance healthy longevity. The interventional/therapeutic strategies targeting multiple aging hallmarks could be more effective than targeting one hallmark. While health-promoting qualities of marine oils have been extensively studied, the underlying molecular mechanisms are not fully understood. Lipid extracts from Antarctic krill are rich in long -chain omega-3 fatty acids choline, and astaxanthin. Here, we used C. elegans and human cells to investigate whether krill oil promotes healthy aging. In a C. elegans model of Parkinson &amp; PRIME;s disease, we show that krill oil protects dopaminergic neurons from aging-related degeneration, decreases alpha-synuclein aggregation, and improves dopamine-dependent behavior and cognition. Krill oil rewires distinct gene expression programs that contribute to attenuating several aging hallmarks, including oxidative stress, proteotoxic stress, senescence, genomic instability, and mitochondrial dysfunction. Mechanistically, krill oil increases neuronal resilience through temporal transcriptome rewiring to promote anti-oxidative stress and anti-inflammation via healthspan regulating transcription factors such as SNK-1. Moreover, krill oil promotes dopaminergic neuron survival through regulation of synaptic transmission and neuronal functions via PBO-2 and RIM-1. Collectively, krill oil rewires global gene expression programs and promotes healthy aging via abrogating multiple aging hallmarks, suggesting directions for further pre-clinical and clinical explorations.</t>
  </si>
  <si>
    <t>[Sengupta, Tanima; Lefol, Yohan; Luders, Torben; Aman, Yahyah; Fei, Evandro; Nilsen, Hilde] Univ Oslo, Inst Clin Med, Dept Clin Mol Biol, N-0318 Oslo, Norway; [Sengupta, Tanima; Lirussi, Lisa; Aman, Yahyah; Sharma, Kulbhushan; Fei, Evandro; Nilsen, Hilde] Akershus Univ Hosp, Sect Clin Mol Biol, N-1474 Nordbyhagen, Norway; [Nilsen, Hilde] Oslo Univ Hosp, Dept Microbiol, N-0424 Oslo, Norway; [Sengupta, Tanima] Univ Oslo, Dept Biosci, N-0318 Oslo, Norway</t>
  </si>
  <si>
    <t>University of Oslo; University of Oslo; University of Oslo; University of Oslo</t>
  </si>
  <si>
    <t>Nilsen, H (corresponding author), Univ Oslo, Inst Clin Med, Dept Clin Mol Biol, N-0318 Oslo, Norway.;Nilsen, H (corresponding author), Akershus Univ Hosp, Sect Clin Mol Biol, N-1474 Nordbyhagen, Norway.;Nilsen, H (corresponding author), Oslo Univ Hosp, Dept Microbiol, N-0424 Oslo, Norway.</t>
  </si>
  <si>
    <t>hilde.nilsen@medisin.uio.no</t>
  </si>
  <si>
    <t>Lefol, Yohan/0000-0001-6306-5416; SHARMA, KULBHUSHAN/0000-0001-5226-4209</t>
  </si>
  <si>
    <t>Research Council of Norway [302483]; Aker Bio Marine; EUROSTARS grant LEMONAID [312005]; European Union's Horizon 2020 research and innovation programme under the Marie Sklodowska-Curie grant [945371]; Marie Curie Actions (MSCA) [945371] Funding Source: Marie Curie Actions (MSCA)</t>
  </si>
  <si>
    <t>Research Council of Norway(Research Council of Norway); Aker Bio Marine; EUROSTARS grant LEMONAID; European Union's Horizon 2020 research and innovation programme under the Marie Sklodowska-Curie grant(Marie Curie Actions); Marie Curie Actions (MSCA)(Marie Curie Actions)</t>
  </si>
  <si>
    <t>This work was supported by the Research Council of Norway [grant number 302483] and Aker BioMarine. YPL was supported by a EUROSTARS grant LEMONAID (grant no: 312005). This project has received funding from the European Union's Horizon 2020 research and innovation programme under the Marie Sklodowska-Curie grant agreement No:945371 for VSM.</t>
  </si>
  <si>
    <t>IMPACT JOURNALS LLC</t>
  </si>
  <si>
    <t>ORCHARD PARK</t>
  </si>
  <si>
    <t>6666 E QUAKER ST, STE 1, ORCHARD PARK, NY 14127 USA</t>
  </si>
  <si>
    <t>1945-4589</t>
  </si>
  <si>
    <t>Aging-US</t>
  </si>
  <si>
    <t>Cell Biology; Geriatrics &amp; Gerontology</t>
  </si>
  <si>
    <t>6I8FK</t>
  </si>
  <si>
    <t>WOS:000886366800007</t>
  </si>
  <si>
    <t>Ding, MH; Zou, XW; Sun, QZ; Yang, DY; Zhang, WQ; Bian, LE; Lu, CG; Allison, I; Heil, P; Xiao, CD</t>
  </si>
  <si>
    <t>Ding, Minghu; Zou, Xiaowei; Sun, Qizhen; Yang, Diyi; Zhang, Wenqian; Bian, Lingen; Lu, Changgui; Allison, Ian; Heil, Petra; Xiao, Cunde</t>
  </si>
  <si>
    <t>The PANDA automatic weather station network between the coast and Dome A, East Antarctica</t>
  </si>
  <si>
    <t>SURFACE MASS-BALANCE; GLOBAL ATMOSPHERIC REANALYSES; ZHONGSHAN STATION; ENERGY-BALANCE; TRAVERSE ROUTE; DAILY CYCLE; ICE-SHEET; CLIMATE; TEMPERATURES; PRESSURE</t>
  </si>
  <si>
    <t>This paper introduces a unique multiyear dataset and the monitoring capability of the PANDA automatic weather station network, which includes 11 automatic weather stations (AWSs) across the Prydz Bay- Amery Ice Shelf-Dome A area from the coast to the summit of the East Antarctic Ice Sheet. The similar to 1460 km transect from Zhongshan to Panda S follows roughly along similar to 77 degrees E longitude and covers all geographic units of East Antarctica. Initial inland observations, near the coast, started in the 1996/97 austral summer. All AWSs in this network measure air temperature, relative humidity, air pressure, wind speed and wind direction at 1 h intervals, and some of them can also measure firn temperature and shortwave/longwave radiation. Data are relayed in near real time via the Argos system. The data quality is generally very reliable, and the data have been used widely. In this paper, we firstly present a detailed overview of the AWSs, including the sensor characteristics, installation procedure, data quality control protocol and the basic analysis of each variable. We then give an example of a short-term atmospheric event that shows the monitoring capacity of the PANDA AWS network. This dataset, which is publicly available, is planned to be updated on a near-real-time basis and should be valuable for climate change estimation, extreme weather events diagnosis, data assimilation, weather forecasting, etc. The dataset is available at https://doi.org/10.11888/Atmos.tpdc.272721 (Ding et al., 2022b).</t>
  </si>
  <si>
    <t>[Ding, Minghu; Zou, Xiaowei; Yang, Diyi; Zhang, Wenqian; Bian, Lingen; Lu, Changgui] Chinese Acad Meteorol Sci, State Key Lab Severe Weather, Beijing 100081, Peoples R China; [Zou, Xiaowei] Wuhan Univ, GNSS Res Ctr, Wuhan 430079, Peoples R China; [Sun, Qizhen] Natl Marine Environm Forecasting Ctr, Polar Res &amp; Forecasting Div, Beijing 100081, Peoples R China; [Allison, Ian] Univ Tasmania, Inst Marine &amp; Antarctic Studies, Hobart, Australia; [Heil, Petra] Univ Tasmania, Australian Antarctic Div, Hobart, Australia; [Heil, Petra] Univ Tasmania, Australian Antarctic Program Partnership, Hobart, Australia; [Xiao, Cunde] Beijing Normal Univ, State Key Lab Earth Surface Proc &amp; Resource Ecol, Beijing 100875, Peoples R China</t>
  </si>
  <si>
    <t>China Meteorological Administration; Chinese Academy of Meteorological Sciences (CAMS); Wuhan University; National Marine Environmental Forecasting Center; University of Tasmania; University of Tasmania; Australian Antarctic Division; University of Tasmania; Beijing Normal University</t>
  </si>
  <si>
    <t>Ding, MH (corresponding author), Chinese Acad Meteorol Sci, State Key Lab Severe Weather, Beijing 100081, Peoples R China.;Xiao, CD (corresponding author), Beijing Normal Univ, State Key Lab Earth Surface Proc &amp; Resource Ecol, Beijing 100875, Peoples R China.</t>
  </si>
  <si>
    <t>dingminghu@foxmail.com; cdxiao@bnu.edu.cn</t>
  </si>
  <si>
    <t>Sun, Qizhen/JCE-6070-2023; Ding, Minghu/AFU-3600-2022</t>
  </si>
  <si>
    <t>Ding, Minghu/0000-0002-1142-6598; Allison, Ian/0000-0001-9599-0251; Yang, Diyi/0000-0002-1844-5900; Heil, Petra/0000-0003-2078-0342</t>
  </si>
  <si>
    <t>National Science Foundation of China; National Key Research and Development Program of China [42122047]; Basic Fund of the Chinese Academy of Meteorological Sciences [2021YFC2802504]; [2021Z006]</t>
  </si>
  <si>
    <t>National Science Foundation of China(National Natural Science Foundation of China (NSFC)); National Key Research and Development Program of China; Basic Fund of the Chinese Academy of Meteorological Sciences;</t>
  </si>
  <si>
    <t>This research has been supported by the National Science Foundation of China (42122047), the National Key Research and Development Program of China (2021YFC2802504),and the Basic Fund of the Chinese Academy of Meteorological Sciences (2021Z006)</t>
  </si>
  <si>
    <t>10.5194/essd-14-5019-2022</t>
  </si>
  <si>
    <t>6P4HM</t>
  </si>
  <si>
    <t>WOS:000890891200001</t>
  </si>
  <si>
    <t>Nürnberg, D; Kayode, A; Meier, KJF; Karas, C</t>
  </si>
  <si>
    <t>Nuernberg, Dirk; Kayode, Akintunde; Meier, Karl J. F.; Karas, Cyrus</t>
  </si>
  <si>
    <t>Leeuwin Current dynamics over the last 60 kyr - relation to Australian ecosystem and Southern Ocean change</t>
  </si>
  <si>
    <t>SEA-SURFACE TEMPERATURE; WESTERN-AUSTRALIA; GLACIAL MAXIMUM; INDIAN-OCEAN; GLACIAL/INTERGLACIAL CHANGES; MEGAFAUNAL EXTINCTION; PLEISTOCENE AUSTRALIA; CLIMATE VARIABILITY; SUBTROPICAL RIDGE; VEGETATION CHANGE</t>
  </si>
  <si>
    <t>The Leeuwin Current, flowing southward along the western coast of Australia, is an important conduit for the poleward heat transport and inter-ocean water exchange between the tropical and the subantarctic ocean areas. Its past development and its relationship to Southern Ocean change and Australian ecosystem response is, however, largely unknown. Here we reconstruct sea surface and thermocline temperatures and salinities from foraminiferal-based Mg/Ca and stable oxygen isotopes from areas offshore of southwestern and southeastern Australia, reflecting the Leeuwin Current dynamics over the last 60 kyr. Their variability resembles the biomass burning development in Australasia from similar to 60-20 ka BP, implying that climate-modulated changes related to the Leeuwin Current most likely affected Australian vegetational and fire regimes. Particularly during similar to 60-43 ka BP, the warmest thermocline temperatures point to a strongly developed Leeuwin Current during Antarctic cool periods when the Antarctic Circumpolar Current (ACC) weakened. The pronounced centennial-scale variations in Leeuwin Current strength appear to be in line with the migrations of the Southern Hemisphere frontal system and are captured by prominent changes in the Australian megafauna biomass. We argue that the concerted action of a rapidly changing Leeuwin Current, the ecosystem response in Australia, and human interference since similar to 50 BP enhanced the ecological stress on the Australian megafauna until its extinction at similar to 43 ka BR. While being weakest during the Last Glacial Maximum (LGM), the deglacial Leeuwin Current intensified at times of poleward migrations of the Subtropical Front (STF). During the Holocene, the thermocline off southern Australia was considerably shallower compared to the short-term glacial and deglacial periods of Leeuwin Current intensification.</t>
  </si>
  <si>
    <t>[Nuernberg, Dirk; Kayode, Akintunde] GEOMAR Helmholtz Ctr Ocean Res Kiel, Ocean Circulat &amp; Climate Dynam, Wischhofstr 1-3, D-24148 Kiel, Germany; [Meier, Karl J. F.] Heidelberg Univ, Inst Earth Sci, Neuenheimer Feld 234, D-69120 Heidelberg, Germany; [Karas, Cyrus] Univ Santiago Chile, Dept Ingn Geoespacial &amp; Ambiental, Av Bernardo OHiggins 3363, Santiago, Chile</t>
  </si>
  <si>
    <t>Helmholtz Association; GEOMAR Helmholtz Center for Ocean Research Kiel; Ruprecht Karls University Heidelberg; Universidad de Santiago de Chile</t>
  </si>
  <si>
    <t>Nürnberg, D (corresponding author), GEOMAR Helmholtz Ctr Ocean Res Kiel, Ocean Circulat &amp; Climate Dynam, Wischhofstr 1-3, D-24148 Kiel, Germany.</t>
  </si>
  <si>
    <t>dnuernberg@geomar.de</t>
  </si>
  <si>
    <t>Meier, Karl J. F./AFJ-5414-2022</t>
  </si>
  <si>
    <t>Meier, Karl J. F./0000-0001-9800-8673; Karas, Cyrus/0000-0002-7436-5016</t>
  </si>
  <si>
    <t>Deutsche Forschungsgemeinschaft; [Nu60/11-1]</t>
  </si>
  <si>
    <t>Deutsche Forschungsgemeinschaft(German Research Foundation (DFG));</t>
  </si>
  <si>
    <t>This research has been supported by the Deutsche Forschungsgemeinschaft (grant no. Nu60/11-1).</t>
  </si>
  <si>
    <t>10.5194/cp-18-2483-2022</t>
  </si>
  <si>
    <t>6J6DU</t>
  </si>
  <si>
    <t>WOS:000886912100001</t>
  </si>
  <si>
    <t>Li, QX; Luo, YY; Lu, J; Liu, FK</t>
  </si>
  <si>
    <t>Li, Qiuxian; Luo, Yiyong; Lu, Jian; Liu, Fukai</t>
  </si>
  <si>
    <t>The Role of Ocean Circulation in Southern Ocean Heat Uptake, Transport, and Storage Response to Quadrupled CO2</t>
  </si>
  <si>
    <t>Southern Ocean; Ocean circulation; Heat budgets; fluxes</t>
  </si>
  <si>
    <t>ANTARCTIC CIRCUMPOLAR CURRENT; SEA-LEVEL; BJERKNES COMPENSATION; TRANSIENT-RESPONSE; ATMOSPHERE MODEL; HEMISPHERE OCEAN; NORTH-ATLANTIC; CLIMATE; CARBON; REDISTRIBUTION</t>
  </si>
  <si>
    <t>In response to quadrupled CO2, the Southern Ocean primarily uptakes excess heat around 60 degrees S, which is then redistributed by the northward ocean heat transport (OHT) and mostly stored in the ocean or released back to the atmosphere around 45 degrees S. However, the relative roles of mean ocean circulation and ocean circulation change in the uptake and redistribution of heat in the Southern Ocean remain controversial. Here, a set of climate model experiments embedded with a novel partial coupling technique are used to separate the roles of mean ocean circulation (passive component) and ocean circulation change (active component). For the ocean heat uptake (OHU) response, the mean ocean circulation and ocean circulation change are of equal importance. The OHT response south of 50 degrees S is mainly determined by mean ocean circulation, while the ocean circulation change generates an anomalous southward OHT north of 50 degrees S. A heat budget analysis finds that the divergence of passive OHT acts to balance the passive surface heat gain to the south of similar to 50 degrees S, while the convergence of active OHT acts to balance the active surface heat loss to the north of similar to 50 degrees S. Intriguingly, all the increase in ocean heat storage (OHS) is attributable to the passive component, with the ocean circulation change playing almost no role. In the Southern Ocean, both the active and the passive ocean heat transports are overcompensated by the reverse atmospheric heat transport via the Bjerknes compensation.</t>
  </si>
  <si>
    <t>[Li, Qiuxian; Luo, Yiyong; Liu, Fukai] Ocean Univ China, Frontier Sci Ctr Deep Ocean Multispheres &amp; Earth S, Qingdao, Peoples R China; [Li, Qiuxian; Luo, Yiyong; Liu, Fukai] Ocean Univ China, Phys Oceanog Lab, Qingdao, Peoples R China; [Li, Qiuxian; Luo, Yiyong; Liu, Fukai] Qingdao Natl Lab Marine Sci &amp; Technol, Qingdao, Peoples R China; [Li, Qiuxian; Luo, Yiyong; Liu, Fukai] Ocean Univ China, Coll Ocean &amp; Atmospher Sci, Qingdao, Peoples R China; [Lu, Jian] Pacific Northwest Natl Lab, Atmospher Sci &amp; Global Change Div, Richland, WA 99354 USA</t>
  </si>
  <si>
    <t>Ocean University of China; Ocean University of China; Laoshan Laboratory; Ocean University of China; United States Department of Energy (DOE); Pacific Northwest National Laboratory</t>
  </si>
  <si>
    <t>Luo, YY (corresponding author), Ocean Univ China, Frontier Sci Ctr Deep Ocean Multispheres &amp; Earth S, Qingdao, Peoples R China.;Luo, YY (corresponding author), Qingdao Natl Lab Marine Sci &amp; Technol, Qingdao, Peoples R China.;Luo, YY (corresponding author), Ocean Univ China, Coll Ocean &amp; Atmospher Sci, Qingdao, Peoples R China.;Lu, J (corresponding author), Pacific Northwest Natl Lab, Atmospher Sci &amp; Global Change Div, Richland, WA 99354 USA.</t>
  </si>
  <si>
    <t>yiyongluo@ouc.edu.cn; jian.lu@pnnl.gov</t>
  </si>
  <si>
    <t>Liu, Fukai/F-8131-2018</t>
  </si>
  <si>
    <t>Liu, Fukai/0000-0002-0687-9568</t>
  </si>
  <si>
    <t>National Key Research and Development Program of China [2018YFA0605702]; National Natural Science Foundation of China (NSFC) [41976006, 41906002, 42230405]; Office of Science, U.S. Department of Energy Biological and Environmental Research, Regional and Global Climate Model Analysis program area; U.S. Department of Energy Office of Science User Facility located at Lawrence Berkeley National Laboratory [DE-AC02-05CH11231]; NERSC [ERCAP0017151]</t>
  </si>
  <si>
    <t>National Key Research and Development Program of China; National Natural Science Foundation of China (NSFC)(National Natural Science Foundation of China (NSFC)); Office of Science, U.S. Department of Energy Biological and Environmental Research, Regional and Global Climate Model Analysis program area(United States Department of Energy (DOE)); U.S. Department of Energy Office of Science User Facility located at Lawrence Berkeley National Laboratory(United States Department of Energy (DOE)); NERSC</t>
  </si>
  <si>
    <t>We thank two anonymous reviewers for their valuable comments that helped improve the manuscript. We also acknowledge Dr. Oluwayemi Garuba for sharing the data of the fully and partially coupled experiments with tracers. This work is supported by the National Key Research and Development Program of China (2018YFA0605702) and the National Natural Science Foundation of China (NSFC; 41976006, 41906002, and 42230405). JL is supported by the Office of Science, U.S. Department of Energy Biological and Environmental Research as part of the Regional and Global Climate Model Analysis program area. This research used resources of the National Energy Research Scientific Computing Center (NERSC), a U.S. Department of Energy Office of Science User Facility located at Lawrence Berkeley National Laboratory, operated under Contract DE-AC02-05CH11231 using NERSC award ERCAP0017151.</t>
  </si>
  <si>
    <t>10.1175/JCLI-D-22-0160.1</t>
  </si>
  <si>
    <t>6G3VI</t>
  </si>
  <si>
    <t>WOS:000884682900001</t>
  </si>
  <si>
    <t>Zhu, CY; Zhang, JX; Liu, ZY; Otto-Bliesner, BL; He, CF; Brady, EC; Tomas, R; Wen, Q; Li, Q; Zhu, CG; Zhang, SQ; Wu, LX</t>
  </si>
  <si>
    <t>Zhu, Chenyu; Zhang, Jiaxu; Liu, Zhengyu; Otto-Bliesner, Bette L. L.; He, Chengfei; Brady, Esther C. C.; Tomas, Robert; Wen, Qin; Li, Qing; Zhu, Chenguang; Zhang, Shaoqing; Wu, Lixin</t>
  </si>
  <si>
    <t>Antarctic Warming during Heinrich Stadial 1 in a Transient Isotope-Enabled Deglacial Simulation</t>
  </si>
  <si>
    <t>Antarctica; Paleoclimate; Climate models; Atmospheric circulation; Ocean circulation; Greenhouse gases</t>
  </si>
  <si>
    <t>ATMOSPHERIC CO2; SOUTHERN-OCEAN; NORTH-ATLANTIC; OVERTURNING CIRCULATION; CLIMATE VARIABILITY; LAST DEGLACIATION; FRESH-WATER; ICE; TEMPERATURE; GREENLAND</t>
  </si>
  <si>
    <t>Heinrich Stadial 1 (HS1) was the major climate event at the onset of the last deglaciation associated with rapid cooling in Greenland and lagged, slow warming in Antarctica. Although it is widely believed that temperature signals were triggered in the Northern Hemisphere and propagated southward associated with the Atlantic meridional overturning circulation (AMOC), understanding how these signals were able to cross the Antarctic Circumpolar Current (ACC) barrier and further warm up Antarctica has proven particularly challenging. In this study, we explore the physical processes that lead to the Antarctic warming during HS1 in a transient isotope-enabled deglacial simulation iTRACE, in which the interpolar phasing has been faithfully reproduced. We show that the increased meridional heat transport alone, first through the ocean and then through the atmosphere, can explain the Antarctic warming during the early stage of HS1 without notable changes in the strength and position of the Southern Hemisphere midlatitude westerlies. In particular, when a reduction of the AMOC causes ocean warming to the north of the ACC, increased southward ocean heat transport by mesoscale eddies is triggered by steeper isopycnals to warm up the ocean beyond the ACC, which further decreases the sea ice concentration and leads to more absorption of insolation. The increased atmospheric heat then releases to the Antarctic primarily by a strengthening zonal wavenumber-3 (ZW3) pattern. Sensitivity experiments further suggest that a similar to 4 degrees C warming caused by this mechanism superimposed on a comparable warming driven by the background atmospheric CO2 rise is able to explain the total simulated similar to 8 degrees C warming in the West Antarctica during HS1.</t>
  </si>
  <si>
    <t>[Zhu, Chenyu; Zhang, Shaoqing; Wu, Lixin] Ocean Univ China, Frontier Sci Ctr Deep Ocean Multispheres &amp; Earth, Qingdao, Peoples R China; [Zhu, Chenyu; Zhang, Shaoqing; Wu, Lixin] Ocean Univ China, Phys Oceanog Lab, Qingdao, Peoples R China; [Zhu, Chenyu; Zhang, Shaoqing; Wu, Lixin] Qingdao Natl Lab Marine Sci &amp; Technol, Qingdao, Peoples R China; [Zhang, Jiaxu] Univ Washington, Cooperat Inst Climate Ocean &amp; Ecosyst Studies, Seattle, WA 98195 USA; [Zhang, Jiaxu] NOAA, Pacific Marine Environm Lab, Seattle, WA 98115 USA; [Liu, Zhengyu; He, Chengfei] Ohio State Univ, Dept Geog, Columbus, OH USA; [Liu, Zhengyu] Nanjing Normal Univ, Coll Geog Sci, Nanjing, Peoples R China; [Otto-Bliesner, Bette L. L.; Brady, Esther C. C.; Tomas, Robert] Natl Ctr Atmospher Res, Climate &amp; Global Dynam Lab, Boulder, CO USA; [He, Chengfei] Univ Miami, Rosenstiel Sch Marine &amp; Atmospher Sci, Miami, FL USA; [Wen, Qin] Nanjing Normal Univ, Sch Geog, Minist Educ, Key Lab Virtual Geog Environm, Nanjing, Peoples R China; [Wen, Qin] Jiangsu Ctr Collaborat Innovat Geog Informat Reso, Sch Environm Studies, Nanjing, Peoples R China</t>
  </si>
  <si>
    <t>Ocean University of China; Ocean University of China; Laoshan Laboratory; University of Washington; University of Washington Seattle; National Oceanic Atmospheric Admin (NOAA) - USA; University System of Ohio; Ohio State University; Nanjing Normal University; National Center Atmospheric Research (NCAR) - USA; University of Miami; Nanjing Normal University</t>
  </si>
  <si>
    <t>Zhu, CY (corresponding author), Ocean Univ China, Frontier Sci Ctr Deep Ocean Multispheres &amp; Earth, Qingdao, Peoples R China.;Zhu, CY (corresponding author), Ocean Univ China, Phys Oceanog Lab, Qingdao, Peoples R China.;Zhu, CY (corresponding author), Qingdao Natl Lab Marine Sci &amp; Technol, Qingdao, Peoples R China.;Zhang, JX (corresponding author), Univ Washington, Cooperat Inst Climate Ocean &amp; Ecosyst Studies, Seattle, WA 98195 USA.;Zhang, JX (corresponding author), NOAA, Pacific Marine Environm Lab, Seattle, WA 98115 USA.</t>
  </si>
  <si>
    <t>zhuouc@163.com; jiaxuzh@uw.edu</t>
  </si>
  <si>
    <t>He, chengfei/JPL-7259-2023; Zhang, Shaoqing/X-3124-2019; Li, Qing/I-5479-2019</t>
  </si>
  <si>
    <t>He, chengfei/0000-0003-1453-9691; Li, Qing/0000-0002-6464-0977; Zhu, Chenyu/0000-0002-9330-4294; Zhang, Jiaxu/0000-0002-8564-3026</t>
  </si>
  <si>
    <t>NCAR's Computational and Information Systems Laboratory (CISL); National Natural Science Foundation of China [42106013, 41630527, 42106016]; Ministry of Science and Technology [2017YFA0603801]; U.S. National Science Foundation (NSF) [1656907, 1810681]; Pilot National Laboratory for Marine Science and Technology (Qingdao); Directorate For Geosciences; Div Atmospheric &amp; Geospace Sciences [1656907] Funding Source: National Science Foundation; Division Of Ocean Sciences; Directorate For Geosciences [1810681] Funding Source: National Science Foundation</t>
  </si>
  <si>
    <t>NCAR's Computational and Information Systems Laboratory (CISL); National Natural Science Foundation of China(National Natural Science Foundation of China (NSFC)); Ministry of Science and Technology(Spanish Government); U.S. National Science Foundation (NSF)(National Science Foundation (NSF)); Pilot National Laboratory for Marine Science and Technology (Qingdao); Directorate For Geosciences; Div Atmospheric &amp; Geospace Sciences(National Science Foundation (NSF)NSF - Directorate for Geosciences (GEO)); Division Of Ocean Sciences; Directorate For Geosciences(National Science Foundation (NSF)NSF - Directorate for Geosciences (GEO))</t>
  </si>
  <si>
    <t>We acknowledge the high-performance computing support from NCAR's Computational and Information Systems Laboratory (CISL). This work is jointly supported by the National Natural Science Foundation of China Grants 42106013, 41630527, and 42106016, Ministry of Science and Technology Grant 2017YFA0603801, and U.S. National Science Foundation (NSF) projects 1656907 and 1810681. C.Z. is also financially supported by the Pilot National Laboratory for Marine Science and Technology (Qingdao).</t>
  </si>
  <si>
    <t>10.1175/JCLI-D-22-0094.1</t>
  </si>
  <si>
    <t>WOS:000884682900011</t>
  </si>
  <si>
    <t>Silvy, Y; Sallée, JB; Guilyardi, E; Mignot, J; Rousset, C</t>
  </si>
  <si>
    <t>Silvy, Yona; Sallee, Jean-Baptiste; Guilyardi, Eric; Mignot, Juliette; Rousset, Clement</t>
  </si>
  <si>
    <t>What Causes Anthropogenic Ocean Warming to Emerge from Internal Variability in a Coupled Model?</t>
  </si>
  <si>
    <t>Ocean; Meridional overturning circulation; Coupled models; Ensembles; Numerical analysis; modeling; Climate variability</t>
  </si>
  <si>
    <t>MERIDIONAL OVERTURNING CIRCULATION; ANTARCTIC BOTTOM WATER; SOUTHERN-OCEAN; NORTH-ATLANTIC; HEAT UPTAKE; FLUX COMPONENTS; CLIMATE-CHANGE; MECHANISMS; CARBON; VENTILATION</t>
  </si>
  <si>
    <t>In response to increasing human emissions, the global ocean is continually warming. The spatial distribution of this warming can result from several mechanisms, difficult to disentangle in observations. Idealized modeling studies have successfully separated the contribution of additional heat passively entering the ocean from the contribution of the changing circulation redistributing the pre-existing heat in response to perturbations in air-sea fluxes. However, the time scales of these different contributions have been largely unexplored so far. Here, we revisit this decomposition with a novel numerical framework to investigate the mechanisms driving regional ocean warming and its emergence from internal variability. Based on the IPSL-CM6A-LR coupled model and its large ensemble of transient climate change simulations, we extract both the internal fluctuations and the externally forced signal in each component of the surface fluxes. With a stand-alone configuration of the ocean, we then test the response to perturbations applied on all surface fluxes together or individually. We find that the contribution of the different processes can largely vary in time, reinforcing or counteracting each other, causing the time of emergence of subsurface temperature changes to be advanced or delayed. Anthropogenic warming in the upper ocean water masses is generally driven by the uptake of excess heat passively stored by the ocean circulation. Circulation changes have a minor role at the time when these signals emerge. On the contrary, in the deeper ocean, circulation changes are much more sensitive to surface forcings and play an important role in setting the time scales of ocean warming, through redistributive warming or cooling.</t>
  </si>
  <si>
    <t>[Silvy, Yona; Sallee, Jean-Baptiste; Guilyardi, Eric; Mignot, Juliette; Rousset, Clement] Sorbonne Univ, Lab Oceanog &amp; Climat Expt &amp; Approches Numer, LOCEAN IPSL, CNRS IRD MNHN, Paris, France; [Guilyardi, Eric] Univ Reading, NCAS Climate, Reading, Berks, England</t>
  </si>
  <si>
    <t>Institut de Recherche pour le Developpement (IRD); Sorbonne Universite; Museum National d'Histoire Naturelle (MNHN); University of Reading; UK Research &amp; Innovation (UKRI); Natural Environment Research Council (NERC); NERC National Centre for Atmospheric Science</t>
  </si>
  <si>
    <t>Silvy, Y (corresponding author), Sorbonne Univ, Lab Oceanog &amp; Climat Expt &amp; Approches Numer, LOCEAN IPSL, CNRS IRD MNHN, Paris, France.</t>
  </si>
  <si>
    <t>yona.silvy@locean.ipsl.fr</t>
  </si>
  <si>
    <t>SALLEE, Jean baptiste/HDO-5355-2022; Guilyardi, Eric/D-4868-2011; Mignot, Juliette/F-3138-2011</t>
  </si>
  <si>
    <t>Guilyardi, Eric/0000-0002-2255-8625; Mignot, Juliette/0000-0002-4894-898X; Silvy, Yona/0000-0002-7082-7375</t>
  </si>
  <si>
    <t>ARCHANGE project of the Make our planet great again program (France) [821001]; European Union's Horizon 2020 research and innovation program; [ANR-18-MPGA-0001]</t>
  </si>
  <si>
    <t>ARCHANGE project of the Make our planet great again program (France); European Union's Horizon 2020 research and innovation program;</t>
  </si>
  <si>
    <t>We thank Christian Ethe and Gurvan Madec for all their help in the development of the modeling framework. This work was granted access to the HPC resources of IDRIS under the allocations 2020-A009017403 and 2020-A0080107451 made by GENCI. This work also benefited from the ESPRI computing and data centre (https://mesocentre.ipsl.fr), which is supported by CNRS, Sorbonne University, Ecole Polytechnique, and CNES and through national and international grants. E.G. acknowledges funding from the ARCHANGE project of the Make our planet great again program (ANR-18-MPGA-0001, France). J-B.S. acknowledges funding from the European Union's Horizon 2020 research and innovation program under grant agreement 821001.</t>
  </si>
  <si>
    <t>10.1175/JCLI-D-22-0074.1</t>
  </si>
  <si>
    <t>WOS:000884682900016</t>
  </si>
  <si>
    <t>Mitchell, JD; Drymon, JM; Vardon, J; Coulson, PG; Simpfendorfer, CA; Scyphers, SB; Kajiura, SM; Hoel, K; Williams, S; Ryan, KL; Barnett, A; Heupel, MR; Chin, A; Navarro, M; Langlois, T; Ajemian, MJ; Gilman, E; Prasky, E; Jackson, G</t>
  </si>
  <si>
    <t>Mitchell, J. D.; Drymon, J. M.; Vardon, J.; Coulson, P. G.; Simpfendorfer, C. A.; Scyphers, S. B.; Kajiura, S. M.; Hoel, K.; Williams, S.; Ryan, K. L.; Barnett, A.; Heupel, M. R.; Chin, A.; Navarro, M.; Langlois, T.; Ajemian, M. J.; Gilman, E.; Prasky, E.; Jackson, G.</t>
  </si>
  <si>
    <t>Shark depredation: future directions in research and management</t>
  </si>
  <si>
    <t>REVIEWS IN FISH BIOLOGY AND FISHERIES</t>
  </si>
  <si>
    <t>Human-wildlife conflict; Fisheries management; Social-ecological systems; Shark behaviour</t>
  </si>
  <si>
    <t>HUMAN-WILDLIFE CONFLICT; PREDATOR IDENTIFICATION; NEGAPRION-BREVIROSTRIS; CARCHARHINUS-OBSCURUS; RECREATIONAL FISHERY; SPINY DOGFISH; LEMON SHARKS; GULF; DNA; COMMUNICATION</t>
  </si>
  <si>
    <t>Shark depredation is a complex social-ecological issue that affects a range of fisheries worldwide. Increasing concern about the impacts of shark depredation, and how it intersects with the broader context of fisheries management, has driven recent research in this area, especially in Australia and the United States. This review synthesises these recent advances and provides strategic guidance for researchers aiming to characterise the occurrence of depredation, identify the shark species responsible, and test deterrent and management approaches to reduce its impacts. Specifically, the review covers the application of social science approaches, as well as advances in video camera and genetic methods for identifying depredating species. The practicalities and considerations for testing magnetic, electrical, and acoustic deterrent devices are discussed in light of recent research. Key concepts for the management of shark depredation are reviewed, with recommendations made to guide future research and policy development. Specific management responses to address shark depredation are lacking, and this review emphasizes that a silver bullet approach for mitigating depredation does not yet exist. Rather, future efforts to manage shark depredation must rely on a diverse range of integrated approaches involving those in the fishery (fishers, scientists and fishery managers), social scientists, educators, and other stakeholders.</t>
  </si>
  <si>
    <t>[Mitchell, J. D.; Williams, S.] Queensland Govt, Ecosci Precinct, Dept Agr &amp; Fisheries, 41 Boggo Rd, Dutton Pk, Qld 4102, Australia; [Drymon, J. M.] Mississippi State Univ, Coastal Res &amp; Extens Ctr, 1815 Popps Ferry Rd, Biloxi, MS 39532 USA; [Drymon, J. M.] Mississippi Alabama Sea Grant Consortium, 703 East Beach Dr, Ocean Springs, MS 39564 USA; [Vardon, J.] Southern Cross Univ, Lismore, NSW, Australia; [Coulson, P. G.; Ryan, K. L.; Jackson, G.] Western Australian Fisheries &amp; Marine Res Labs, Dept Primary Ind &amp; Reg Dev, 39 Northside Dr, Hillarys, WA 6025, Australia; [Simpfendorfer, C. A.; Heupel, M. R.] Univ Tasmania, Inst Marine &amp; Antarctic Studies, 20 Castray Esplanade, Battery Point, Tas 7004, Australia; [Scyphers, S. B.; Prasky, E.] Northeastern Univ, Coastal Sustainabil Inst, Dept Marine &amp; Environm Sci, Nahant, MA 01908 USA; [Scyphers, S. B.; Prasky, E.] Northeastern Univ, Social Sci Environm Hlth Res Inst, Boston, MA 02115 USA; [Kajiura, S. M.] Florida Atlantic Univ, Dept Biol Sci, 777 Glades Rd, Boca Raton, FL 33431 USA; [Hoel, K.; Chin, A.] James Cook Univ, Ctr Sustainable Trop Fisheries &amp; Aquaculture, Bldg 34 James Cook Dr, Douglas, Qld 4811, Australia; [Williams, S.] Univ Queensland, Sch Biol Sci, St Lucia, Qld 4072, Australia; [Barnett, A.] Biopixel Oceans Fdn, Cairns, Qld, Australia; [Barnett, A.] James Cook Univ, Marine Data Technol Hub, Townsville, Qld 4811, Australia; [Navarro, M.; Langlois, T.] Univ Western Australia, Sch Biol Sci, Crawley, WA, Australia; [Navarro, M.; Langlois, T.] Univ Western Australia, Oceans Inst, Crawley, WA, Australia; [Ajemian, M. J.] Florida Atlantic Univ, Harbor Branch Oceanog Inst, 5600 US 1 North, Ft Pierce, FL 34946 USA; [Gilman, E.] Pelag Ecosyst Res Grp, Honolulu, HI USA; [Gilman, E.] Heriot Watt Univ, Edinburgh, Midlothian, Scotland</t>
  </si>
  <si>
    <t>Mississippi State University; Southern Cross University; Western Australian Fisheries &amp; Marine Research Laboratories; University of Tasmania; Northeastern University; Northeastern University; State University System of Florida; Florida Atlantic University; James Cook University; University of Queensland; James Cook University; University of Western Australia; University of Western Australia; State University System of Florida; Florida Atlantic University; Harbor Branch Oceanographic Institute Foundation; Heriot Watt University</t>
  </si>
  <si>
    <t>Mitchell, JD (corresponding author), Queensland Govt, Ecosci Precinct, Dept Agr &amp; Fisheries, 41 Boggo Rd, Dutton Pk, Qld 4102, Australia.</t>
  </si>
  <si>
    <t>Jonathan.mitchell@daf.qld.gov.au</t>
  </si>
  <si>
    <t>Simpfendorfer, Colin A/G-9681-2011; Navarro, Matt/IAP-1249-2023; Chin, Andrew/C-2254-2008</t>
  </si>
  <si>
    <t>Prasky, Evan/0000-0003-1570-840X; Navarro, Matthew/0000-0003-2778-5322; Chin, Andrew/0000-0003-1813-4042</t>
  </si>
  <si>
    <t>CAUL</t>
  </si>
  <si>
    <t>Open Access funding enabled and organized by CAUL and its Member Institutions.</t>
  </si>
  <si>
    <t>0960-3166</t>
  </si>
  <si>
    <t>1573-5184</t>
  </si>
  <si>
    <t>REV FISH BIOL FISHER</t>
  </si>
  <si>
    <t>Rev. Fish. Biol. Fish.</t>
  </si>
  <si>
    <t>10.1007/s11160-022-09732-9</t>
  </si>
  <si>
    <t>G9QB4</t>
  </si>
  <si>
    <t>Green Accepted, Green Published, hybrid</t>
  </si>
  <si>
    <t>WOS:000884198200001</t>
  </si>
  <si>
    <t>Van Achter, G; Fichefet, T; Goosse, H; Moreno-Chamarro, E</t>
  </si>
  <si>
    <t>Van Achter, Guillian; Fichefet, Thierry; Goosse, Hugues; Moreno-Chamarro, Eduardo</t>
  </si>
  <si>
    <t>Influence of fast ice on future ice shelf melting in the Totten Glacier area, East Antarctica</t>
  </si>
  <si>
    <t>MODEL; OCEAN; CAVITY; VARIABILITY; CIRCULATION; DYNAMICS; POLYNYA; LIM3.6; EDDY</t>
  </si>
  <si>
    <t>The Totten Glacier in East Antarctica is of major climatic interest because of the large fluctuations in its grounding line and potential vulnerability to climate change. Here, we use a series of high-resolution, regional NEMO-LIM-based (Nucleus for European Modelling of the Ocean coupled with the Louvain-la-Neuve sea ice model) experiments, which include an explicit treatment of ocean-ice shelf interactions, as well as a representation of grounded icebergs and fast ice, to investigate the changes in ocean-ice interactions in the Totten Glacier area between the recent past (1995-2014) and the end of the 21st century (2081-2100) under SSP4-4.5 climate change conditions. By the end of the 21st century, the wide areas of multiyear fast ice simulated in the recent past are replaced by small patches of first year fast ice along the coast, which decreases the total summer sea ice extent. The Antarctic Slope Current is accelerated by about 116 %, which decreases the heat exchange across the shelf and tends to reduce the ice shelf basal melt rate, but this effect is counterbalanced by the effect of the oceanic warming. As a consequence, despite the accelerated Antarctic Slope Current, the Totten ice shelf melt rate is increased by 91 % due to the intrusion of warmer water into its cavity. The representation of fast ice dampens the ice shelf melt rate increase throughout the 21st century, as the Totten ice shelf melt rate increase reaches 136 % when fast ice is not taken into account. The Moscow University ice shelf melt rate increase is even more impacted by the representation of fast ice, with a 36 % melt rate increase with fast ice, compared to a 75 % increase without a fast ice representation. This influence of the representation of fast ice in our simulations on the basal melting rate trend over the 21st century is explained by the large impact of the fast ice for present-day conditions (similar to 25 % difference in m yr(-1)), while the impact decreases significantly at the end of the 21st century (similar to 4 % difference in m yr(-1)). As a consequence, the reduction in the fast ice extent in the future induces a decrease in the fast ice effect on the ice shelf melt rate that partly compensates for the increase due to warming of the ocean. This highlights the importance of including a representation of fast ice to simulate realistic ice shelf melt rate increase in East Antarctica under warming conditions.</t>
  </si>
  <si>
    <t>[Van Achter, Guillian; Fichefet, Thierry; Goosse, Hugues] UCLouvain, Earth &amp; Life Inst, Georges Lemaitre Ctr Earth &amp; Climate Res, Louvain La Neuve, Belgium; [Moreno-Chamarro, Eduardo] Barcelona Supercomp Ctr BSC, Barcelona 08034, Spain</t>
  </si>
  <si>
    <t>Universite Catholique Louvain; Universitat Politecnica de Catalunya; Barcelona Supercomputer Center (BSC-CNS)</t>
  </si>
  <si>
    <t>Van Achter, G (corresponding author), UCLouvain, Earth &amp; Life Inst, Georges Lemaitre Ctr Earth &amp; Climate Res, Louvain La Neuve, Belgium.</t>
  </si>
  <si>
    <t>guillian.vanachter@uclouvain.be</t>
  </si>
  <si>
    <t>Van Achter, Guillian/0000-0003-3864-9238</t>
  </si>
  <si>
    <t>Fonds de la Recherche Scientifique - FNRS; FWO under the Excellence of Science (EOS) programme [1117545]; F.R.S-FNRS (Belgium); Walloon Region; Fond de la Recherche Scientifique de Belgique, Belgium (F.R.S.-FNRS); [O0100718F]; [30454083]</t>
  </si>
  <si>
    <t>Fonds de la Recherche Scientifique - FNRS(Fonds de la Recherche Scientifique - FNRS); FWO under the Excellence of Science (EOS) programme; F.R.S-FNRS (Belgium)(Fonds de la Recherche Scientifique - FNRS); Walloon Region; Fond de la Recherche Scientifique de Belgique, Belgium (F.R.S.-FNRS)(Fonds de la Recherche Scientifique - FNRS); ;</t>
  </si>
  <si>
    <t>We thank the editor and the two referees for their comments and suggestions. This work was supported by the PARAMOUR project Decadal predictability and variability of polar climate: the role of atmosphere-ocean-cryosphere multiscale interactions, supported by the Fonds de la Recherche Scientifique - FNRS and the FWO under the Excellence of Science (EOS) programme (grant no. O0100718F, EOS ID no. 30454083). Hugues Goosse is research director with the F.R.S-FNRS (Belgium). Computational resources have been provided by the supercomputing facilities of the Universite catholique de Louvain (CISM/UCL) and the Consortium des Equipements de Calcul Intensif en Federation Wallonie Bruxelles (CECI) funded by the Fond de la Recherche Scientifique de Belgique, Belgium (F.R.S.-FNRS), under convention 2.5020.11. The present research benefited from computational resources made available on the Tier-1 supercomputer of the Federation Wallonie-Bruxelles infrastructure funded by the Walloon Region under the grant agreement n 1117545.</t>
  </si>
  <si>
    <t>10.5194/tc-16-4745-2022</t>
  </si>
  <si>
    <t>6I5PP</t>
  </si>
  <si>
    <t>WOS:000886179600001</t>
  </si>
  <si>
    <t>Zhang, T; Yan, D; Ji, ZQ; Chen, XF; Yu, LY</t>
  </si>
  <si>
    <t>Zhang, Tao; Yan, Dong; Ji, Zhongqiang; Chen, Xiufei; Yu, Liyan</t>
  </si>
  <si>
    <t>A comprehensive assessment of fungal communities in various habitats from an ice-free area of maritime Antarctica: diversity, distribution, and ecological trait</t>
  </si>
  <si>
    <t>ENVIRONMENTAL MICROBIOME</t>
  </si>
  <si>
    <t>CLIMATE-CHANGE; RANGE; TOOL</t>
  </si>
  <si>
    <t>Background In the ice-free area of maritime Antarctica, fungi are the essential functioning group in terrestrial and marine ecosystems. Until now, no study has been conducted to comprehensively assess fungal communities in various habitats in Antarctica. We aimed to characterize fungal communities in the eleven habitats (i.e., soil, seawater, vascular plant, dung, moss, marine alga, lichen, green alga, freshwater, feather) in the Fildes Region (maritime Antarctica) using next-generation sequencing. Results A total of 12 known phyla, 37 known classes, 85 known orders, 164 known families, 313 known genera, and 320 known species were detected. Habitat specificity rather than habitat overlap determined the composition of fungal communities, suggesting that, although fungal communities were connected by dispersal at the local scale, the environmental filter is a key factor driving fungal assemblages in the ice-free Antarctica. Furthermore, 20 fungal guilds and 6 growth forms were detected. Many significant differences in the functional guild (e.g., lichenized, algal parasite, litter saprotroph) and growth form (e.g., yeast, filamentous mycelium, thallus photosynthetic) existed among different habitat types. Conclusion The present study reveals the high diversity of fungal communities in the eleven ice-free Antarctic habitats and elucidates the ecological traits of fungal communities in this unique ice-free area of maritime Antarctica. The findings will help advance our understanding of fungal diversity and their ecological roles with respect to habitats on a neighbourhood scale in the ice-free area of maritime Antarctica.</t>
  </si>
  <si>
    <t>[Zhang, Tao; Chen, Xiufei; Yu, Liyan] Chinese Acad Med Sci &amp; Peking Union Med Coll, Inst Med Biotechnol, China Pharmaceut Culture Collect, Beijing, Peoples R China; [Yan, Dong] Xinxiang Med Univ, Sch Basic Med Sci, Dept Pathogen Biol, Xinxiang Key Lab Pathogen Biol, Xinxiang 453003, Henan, Peoples R China; [Ji, Zhongqiang] Minist Nat Resources, Key Lab Marine Ecosyst Dynam, Inst Oceanog 2, Hangzhou, Peoples R China</t>
  </si>
  <si>
    <t>Chinese Academy of Medical Sciences - Peking Union Medical College; Peking Union Medical College; Xinxiang Medical University; Ministry of Natural Resources of the People's Republic of China</t>
  </si>
  <si>
    <t>Zhang, T; Yu, LY (corresponding author), Chinese Acad Med Sci &amp; Peking Union Med Coll, Inst Med Biotechnol, China Pharmaceut Culture Collect, Beijing, Peoples R China.</t>
  </si>
  <si>
    <t>zhangt@cpcc.ac.cn; yly@cpcc.ac.cn</t>
  </si>
  <si>
    <t>yan, dong/ACK-2526-2022</t>
  </si>
  <si>
    <t>yan, dong/0000-0002-5115-083X</t>
  </si>
  <si>
    <t>Projects of the Chinese Arctic and Antarctic Administration, State Oceanic Administration; CAMS Innovation Fund for Medical Sciences [2021-I2M-1-055]; National Microbial Resource Center [NMRC-2020-3]; Non-profit Central Research Institute Fund of CAMS [2021-PT350-001]; Chinese Polar Environmental Comprehensive Investigation &amp; Assessment Programs [CHINARE-02-01]</t>
  </si>
  <si>
    <t>Projects of the Chinese Arctic and Antarctic Administration, State Oceanic Administration; CAMS Innovation Fund for Medical Sciences; National Microbial Resource Center; Non-profit Central Research Institute Fund of CAMS; Chinese Polar Environmental Comprehensive Investigation &amp; Assessment Programs</t>
  </si>
  <si>
    <t>This research was supported by Projects of the Chinese Arctic and Antarctic Administration, State Oceanic Administration; CAMS Innovation Fund for Medical Sciences (Grant No. 2021-I2M-1-055); National Microbial Resource Center (Grant No. NMRC-2020-3); Non-profit Central Research Institute Fund of CAMS (Grant No. 2021-PT350-001); the Chinese Polar Environmental Comprehensive Investigation &amp; Assessment Programs (CHINARE-02-01).</t>
  </si>
  <si>
    <t>2524-6372</t>
  </si>
  <si>
    <t>ENVIRON MICROBIOME</t>
  </si>
  <si>
    <t>Environ. Microbiome</t>
  </si>
  <si>
    <t>10.1186/s40793-022-00450-0</t>
  </si>
  <si>
    <t>Genetics &amp; Heredity; Microbiology</t>
  </si>
  <si>
    <t>6F8ES</t>
  </si>
  <si>
    <t>WOS:000884291700001</t>
  </si>
  <si>
    <t>Pretorius, LE; Bester, MN; Connan, M; Hofmeyr, GJG</t>
  </si>
  <si>
    <t>Pretorius, Liezl E.; Bester, Marthan N.; Connan, Maelle; Hofmeyr, G. J. Greg</t>
  </si>
  <si>
    <t>Canine morphometrics as a tool for distinguishing species, sex, and age class in Southern Ocean fur seals</t>
  </si>
  <si>
    <t>JOURNAL OF MORPHOLOGY</t>
  </si>
  <si>
    <t>age; Antarctic fur seal; sexual dimorphism; Sub-Antarctic fur seal; tooth</t>
  </si>
  <si>
    <t>ARCTOCEPHALUS-GAZELLA; GEOGRAPHIC-VARIATION; POPULATION-CHANGES; DENTAL MORPHOLOGY; MACQUARIE ISLAND; BODY LENGTH; SIZE; GROWTH; MARION; TROPICALIS</t>
  </si>
  <si>
    <t>Carcasses resulting from natural mortalities are invaluable for use in scientific studies, provided species, sex, and age class are known. When such data are unavailable, identifying skeletal remains is necessary if one is to use the information contained within samples. Teeth are amongst the best preserved skeletal remains owing to the durability of enamel and dentine. Here, we tested whether external measurements of canines could be used to distinguish two partially sympatric species of Southern Ocean fur seals, the Antarctic Arctocephalus gazella and Sub-Antarctic A. tropicalis fur seals. We also investigated whether the external measurements of canines could be used to determine the age, sex, as well as island of origin of the animals. Eight morphological variables (crown length, root length, crown width, root width, crown thickness, root thickness, total canine length, and count of external surface annular ridges) were recorded from canines of 340 individuals of known species, sex, and island of origin. The count of external annular ridges provided a good estimate of age, which was confirmed by counting the growth layer groups of sectioned teeth, especially for older animals (&gt; 9 years old). External canine measurements proved useful in distinguishing species, as well as sex within and between species, particularly in adult animals. Species were more difficult to distinguish in females than in males. The islands of origin could only be inferred in male Antarctic fur seals. This study indicates that fur seal teeth of unknown provenance, found either in breeding colonies or as vagrants, provide evidence on species, sex, and age of the animal, which increases the value of associated samples. It further highlights the importance of external measurements of skeletal remains such as canine teeth in separating closely related species.</t>
  </si>
  <si>
    <t>[Pretorius, Liezl E.; Bester, Marthan N.] Univ Pretoria, Mammal Res Inst, Dept Zool &amp; Entomol, Private Bag X20, ZA-0028 Pretoria, South Africa; [Connan, Maelle; Hofmeyr, G. J. Greg] Nelson Mandela Univ, Inst Coastal &amp; Marine Res, Dept Zool, Marine Apex Predator Res Unit, Gqeberha, South Africa; [Hofmeyr, G. J. Greg] Port Elizabeth Museum Bayworld, Gqeberha, South Africa</t>
  </si>
  <si>
    <t>University of Pretoria; Nelson Mandela University</t>
  </si>
  <si>
    <t>Pretorius, LE (corresponding author), Univ Pretoria, Mammal Res Inst, Dept Zool &amp; Entomol, Private Bag X20, ZA-0028 Pretoria, South Africa.</t>
  </si>
  <si>
    <t>drliezlpretorius@gmail.com</t>
  </si>
  <si>
    <t>Connan, Maelle/A-8468-2008; Hofmeyr, G. J. Greg/AAV-3286-2020</t>
  </si>
  <si>
    <t>Hofmeyr, G. J. Greg/0000-0003-0283-6058; Pretorius, Liezl Eleanore/0000-0003-1598-1270; Connan, Maelle/0000-0002-1308-9118</t>
  </si>
  <si>
    <t>National Research Foundation; SANAP [93086]</t>
  </si>
  <si>
    <t>National Research Foundation; SANAP</t>
  </si>
  <si>
    <t>National Research Foundation, Grant/Award Number: SANAP Grant Number 93086</t>
  </si>
  <si>
    <t>0362-2525</t>
  </si>
  <si>
    <t>1097-4687</t>
  </si>
  <si>
    <t>J MORPHOL</t>
  </si>
  <si>
    <t>J. Morphol.</t>
  </si>
  <si>
    <t>10.1002/jmor.21521</t>
  </si>
  <si>
    <t>Anatomy &amp; Morphology</t>
  </si>
  <si>
    <t>6L3LG</t>
  </si>
  <si>
    <t>WOS:000883812000001</t>
  </si>
  <si>
    <t>dos Santos, RO; Riff, D; Amenábar, CR; Ramos, RRC; Rodrigues, IF; Scheffler, SM; Carvalho, MD</t>
  </si>
  <si>
    <t>dos Santos, Rodolfo Otavio; Riff, Douglas; Amenabar, Cecilia R.; Cabral Ramos, Renato Rodriguez; Rodrigues, Igor Fernandes; Scheffler, Sandro Marcelo; Carvalho, Marcelo de Araujo</t>
  </si>
  <si>
    <t>New records of hexanchiform sharks (Elasmobranchii: Neoselachii) from the Late Cretaceous of Antarctica with comments on previous reports and described taxa</t>
  </si>
  <si>
    <t>NEW ZEALAND JOURNAL OF GEOLOGY AND GEOPHYSICS</t>
  </si>
  <si>
    <t>James Ross Island; James Ross Sub-basin; Larsen Basin; Late Cretaceous sharks; Hexanchiformes</t>
  </si>
  <si>
    <t>JAMES-ROSS-ISLAND; SEYMOUR-ISLAND; 1ST RECORD; CHONDRICHTHYES; BASIN; FAUNA; EOCENE; FOSSIL; STRATIGRAPHY; PENINSULA</t>
  </si>
  <si>
    <t>Sharks are virtually absent from coastal Antarctica since the Late Eocene glaciations, but this group exhibited a notable austral diversity during the Cretaceous and Paleogene. Several species have already been described from the Aptian-Eocene successions of the Larsen Basin exposed in the James Ross Island area (northern Antarctic Peninsula) and the predominantly deep-water Hexanchiformes have a record that, although still rare, has been continually increased. Four species of this group are currently known from that basin: Notidanodon pectinatus, Xampylodon dentatus, Rolfodon thompsoni, and Rolfodon tatere. Such records are especially concentrated in the Gamma Member of the Snow Hill Island Formation (or Herbert Sound Member of Santa Marta Formation), on James Ross Island. Here we described four teeth assigned to X. dentatus and one identified as R. tatere from upper Campanian sections of James Ross Island, highlighting the nomenclatural changes that led to the definition of Xampylodon and Rolfodon. Some specimens of X. dentatus presented here are considerably more complete or represent teeth of different positions than most previous records. The material assigned to R. tatere represents the oldest record of this species in the world, extending its time range by more than 10 million years.</t>
  </si>
  <si>
    <t>[dos Santos, Rodolfo Otavio] Univ Sao Paulo, Inst Biociencias, Sao Paulo, Brazil; [Riff, Douglas] Ecoinformat Studio, Rio De Janeiro, Brazil; [Amenabar, Cecilia R.] Inst Antartico Argentino, San Martin, Argentina; [Amenabar, Cecilia R.] Univ Buenos Aires, Fac Ciencias Exactas &amp; Nat, IDEAN CONICET, Buenos Aires, DF, Argentina; [Cabral Ramos, Renato Rodriguez; Scheffler, Sandro Marcelo; Carvalho, Marcelo de Araujo] Univ Fed Rio de Janeiro, Dept Geol &amp; Paleontol, Museu Nacl, Rio De Janeiro, Brazil; [Rodrigues, Igor Fernandes] Univ Fed Rio de Janeiro, Museu Nacl, Secao Assistencia Ensino, Rio De Janeiro, Brazil</t>
  </si>
  <si>
    <t>Universidade de Sao Paulo; Instituto Antartico Argentino; University of Buenos Aires; Universidade Federal do Rio de Janeiro; Universidade Federal do Rio de Janeiro</t>
  </si>
  <si>
    <t>dos Santos, RO (corresponding author), Univ Sao Paulo, Inst Biociencias, Sao Paulo, Brazil.</t>
  </si>
  <si>
    <t>rodolfosantos013@gmail.com</t>
  </si>
  <si>
    <t>Riff, Douglas/B-5183-2012</t>
  </si>
  <si>
    <t>Riff, Douglas/0000-0003-0805-2828; Rodriguez Cabral Ramos, Renato/0000-0003-4023-6301; AMENABAR, CECILIA R./0000-0003-1280-3903; Scheffler, Sandro/0000-0002-6965-4550; Santos, Rodolfo/0000-0001-8264-5803; DE ARAUJO CARVALHO, MARCELO/0000-0001-6088-5718</t>
  </si>
  <si>
    <t>National Council and Technological Development (CNPq); Brazilian Antarctic Program (PROANTAR) through Project FLORANTAR [442765/2018-5PROANTAR/CNPq]</t>
  </si>
  <si>
    <t>National Council and Technological Development (CNPq)(Conselho Nacional de Desenvolvimento Cientifico e Tecnologico (CNPQ)Fundacao de Apoio a Pesquisa do Distrito Federal (FAPDF)); Brazilian Antarctic Program (PROANTAR) through Project FLORANTAR</t>
  </si>
  <si>
    <t>This work was supported by the National Council and Technological Development (CNPq) and the Brazilian Antarctic Program (PROANTAR) through Project FLORANTAR [Grant number 442765/2018-5PROANTAR/CNPq].</t>
  </si>
  <si>
    <t>0028-8306</t>
  </si>
  <si>
    <t>1175-8791</t>
  </si>
  <si>
    <t>NEW ZEAL J GEOL GEOP</t>
  </si>
  <si>
    <t>N. Z. J. Geol. Geophys.</t>
  </si>
  <si>
    <t>2022 NOV 15</t>
  </si>
  <si>
    <t>10.1080/00288306.2022.2143382</t>
  </si>
  <si>
    <t>Geology; Geosciences, Multidisciplinary</t>
  </si>
  <si>
    <t>6E3WE</t>
  </si>
  <si>
    <t>WOS:000883310100001</t>
  </si>
  <si>
    <t>Davenport, J; Bels, V</t>
  </si>
  <si>
    <t>Davenport, John; Bels, Vincent</t>
  </si>
  <si>
    <t>Quadrupedal terrestrial locomotion in emperor penguins (Aptenodytes forsteri)</t>
  </si>
  <si>
    <t>JOURNAL OF NATURAL HISTORY</t>
  </si>
  <si>
    <t>Spheniscidae; penguins; terrestrial migrations; snow and ice; tobogganing; climbing</t>
  </si>
  <si>
    <t>EVOLUTION</t>
  </si>
  <si>
    <t>Birds generally employ bipedal terrestrial locomotion; their wings flap synchronously to provide aerial propulsion. Penguins (Spheniscidae) are non-flyers that use their modified wings (flippers) to 'fly' underwater, again using synchronous action. The family is distributed from the equator to the Antarctic; the earliest penguins lived at temperate latitudes. On land, penguins usually walk bipedally and slowly (waddling) because their legs are short and their bodies long and fusiform. Their flippers are held out sideways and show little movement; they may function like balance poles. A few penguin species breed at high latitude and make substantial terrestrial migrations over snow and ice; they intermittently use an alternative terrestrial locomotory mode (tobogganing) in which they lie on their ventral surfaces and use the feet alternately to propel them more quickly. The emperor penguin Aptenodytes forsteri makes two-way trips (&lt;250 km) to breed, encountering both ice and several types of snow. The topography varies from flat areas to steep slopes and ridges. In this study we analysed 13 publicly available video records and demonstrate that the flippers are also used for propulsion (particularly for climbing in deep snow). Gait analysis reveals that all four limbs are employed in a quadrupedal, ipsilaterally coordinated manner: the classic mode of tetrapod terrestrial locomotion. During climbing, tetrapod limb action is supplemented by use of the beak as an anchor. During quadrupedal locomotion over snow the flippers move snow on their power strokes, thereby demonstrating exchange of forces.</t>
  </si>
  <si>
    <t>[Davenport, John] Univ Coll Cork, Earth &amp; Environm Sci &amp; Environm Res Inst, Sch Biol, Cork, Ireland; [Bels, Vincent] Sorbonne Univ, Inst Systemat Evolut Biodivers, Museum Natl Hist Nat, Paris, France</t>
  </si>
  <si>
    <t>University College Cork; Sorbonne Universite; Museum National d'Histoire Naturelle (MNHN)</t>
  </si>
  <si>
    <t>Davenport, J (corresponding author), Univ Coll Cork, Earth &amp; Environm Sci &amp; Environm Res Inst, Sch Biol, Cork, Ireland.</t>
  </si>
  <si>
    <t>j.davenport@ucc.ie</t>
  </si>
  <si>
    <t>0022-2933</t>
  </si>
  <si>
    <t>1464-5262</t>
  </si>
  <si>
    <t>J NAT HIST</t>
  </si>
  <si>
    <t>J. Nat. Hist.</t>
  </si>
  <si>
    <t>41-44</t>
  </si>
  <si>
    <t>10.1080/00222933.2023.2282623</t>
  </si>
  <si>
    <t>Biodiversity Conservation; Ecology; Zoology</t>
  </si>
  <si>
    <t>Biodiversity &amp; Conservation; Environmental Sciences &amp; Ecology; Zoology</t>
  </si>
  <si>
    <t>Z3YX8</t>
  </si>
  <si>
    <t>WOS:001111478600001</t>
  </si>
  <si>
    <t>Del Guasta, M</t>
  </si>
  <si>
    <t>Del Guasta, Massimo</t>
  </si>
  <si>
    <t>ICE-CAMERA: a flatbed scanner to study inland Antarctic polar precipitation</t>
  </si>
  <si>
    <t>DOME-C; HYDROMETEOR CLASSIFICATION; CRYSTAL PRECIPITATION; SOUTH-POLE; FALL SPEED; SNOWFALL; PLATEAU; DISDROMETER; RESOLUTION; RADAR</t>
  </si>
  <si>
    <t>Studying precipitation at very high latitudes is difficult because of the harsh environmental conditions that limit the external activity of humans and instruments, especially in the polar winter. The direct monitoring of ice crystal habits and size distribution in Antarctic precipitation is important for the validation of the algorithms used for retrieving precipitation from ground-based and satellite-borne radar instruments and for the improvement of the climatological modelling of polar areas. This paper describes an automated device (ICE-CAMERA) specifically developed for the imaging, measurement, and classification of ice precipitation on the Antarctic high plateau. The instrument gives detailed information on precipitation on an hourly basis. The article provides a description of the device and its image processing software. Starting in 2014, the instrument has operated almost unattended all year round at Concordia station, Antarctica (75 degrees S, 123 degrees E, 3220 m altitude).</t>
  </si>
  <si>
    <t>[Del Guasta, Massimo] CNR, Ist Nazl Ott, I-50019 Sesto Fiorentino, Italy</t>
  </si>
  <si>
    <t>Consiglio Nazionale delle Ricerche (CNR); Istituto Nazionale di Ottica (INO-CNR)</t>
  </si>
  <si>
    <t>Del Guasta, M (corresponding author), CNR, Ist Nazl Ott, I-50019 Sesto Fiorentino, Italy.</t>
  </si>
  <si>
    <t>massimo.delguasta@ino.cnr.it</t>
  </si>
  <si>
    <t>del guasta, massimo/0000-0002-1042-0370</t>
  </si>
  <si>
    <t>Italian Antarctic Project PNRA [PNRA 2009/A4.1, PNRA 2013/AC3.05, PNRA 14_00100]</t>
  </si>
  <si>
    <t>Italian Antarctic Project PNRA</t>
  </si>
  <si>
    <t>AcknowledgementsI am grateful to the Italian Antarctic Project PNRA for supporting this work with the projects ICE-CAMERA (PNRA 2009/A4.1) and PRE-REC (PNRA 2013/AC3.05). I am also grateful to the Osservatorio Meteo-Climatologico Antartico (PNRA 14_00100) for the Meteo data and to all the logistics staff and winter-over crews of Concordia station, all working hard to permit our scientific activity. I am also grateful to Francesco Castagnoli (INO CNR) for the initial design of the instrument.</t>
  </si>
  <si>
    <t>NOV 14</t>
  </si>
  <si>
    <t>10.5194/amt-15-6521-2022</t>
  </si>
  <si>
    <t>8V5BP</t>
  </si>
  <si>
    <t>WOS:000930645600001</t>
  </si>
  <si>
    <t>Batista, RF; Reichert, JM; Holthusen, D; Batistao, AC; Daher, M; Schünemann, AL; Fernandes, EIF; Schaefer, CEGR; Francelino, MR</t>
  </si>
  <si>
    <t>Batista, Rai Ferreira; Reichert, Jose Miguel; Holthusen, Doerthe; Batistao, Alan Carlos; Daher, Mayara; Schuenemann, Adriano Luis; Fernandes Filho, Elpidio Inacio; Goncalves Reynaud Schaefer, Carlos Ernesto; Francelino, Marcio Rocha</t>
  </si>
  <si>
    <t>Freeze-thaw cycles affecting rheological properties of Antarctic soils</t>
  </si>
  <si>
    <t>GEODERMA</t>
  </si>
  <si>
    <t>Soil microstructure; Frozen soils; Permafrost; Climate change; Freezing and thawing</t>
  </si>
  <si>
    <t>AGGREGATE STABILITY; ORGANIC-MATTER; ACTIVE-LAYER; POTASSIUM FERTILIZATION; STRUCTURAL STABILITY; MARITIME ANTARCTICA; WET SOILS; WATER; MINERALOGY; RHEOMETRY</t>
  </si>
  <si>
    <t>Antarctic soils are heavily affected by climate change in terms of properties and ecosystem functions. With increasing global temperatures, the frequency of freeze and thaw cycles of Antarctic soils will increase, thus affecting their mechanical behavior, with varying responses in erosion. This study quantitatively evaluated the effect of increasing frequency of freezing-thawing (F-T) cycles on rheological properties of four soils from the maritime Antarctica. Using an amplitude sweep test, the effects of 1, 5 and 9F-T cycles on soil micromechanics were evaluated and compared to a reference soil without F-T. These rheological parameters were determined: (i) the linear viscoelastic strain interval (LVR) (gamma LVR), (ii) the shear stress at the end of the LVR (rLVR), (iii) the maximum shear stress (rmax), (iv) the strain at the yield point (gamma YP), and (v) the storage and loss modulus at the yield point (G'YP). F-T cycles influenced soil rheological properties. Higher F-T frequency either increased or decreased gamma LVR and gamma YP, depending on the soil material. A 35% increase in rLVE occurred after one F-T cycle; however, at the fifth cycle a decrease of approximately 27% occurred, when compared to one cycle treatment, reaching similar values of no F-T. But after nine cycles, rLVE increased again by approximately 29% compared to previous treatment. The resistance and elasticity of the Antarctic soil microstructure showed great variation among the different soils, while soils with different textures behaved similarly for some rheological properties. Rheometry was confirmed as a method with little soil material consumption, however, soil rheology of Antarctic soils requires further studies to disentangle its interactions with soil chemical properties.</t>
  </si>
  <si>
    <t>[Batista, Rai Ferreira; Reichert, Jose Miguel] Fed Univ Santa Maria UFSM, Dept Soils, Santa Maria, RS, Brazil; [Holthusen, Doerthe] Fed Inst Hydrol, Dept Vegetat Studies Landscape Management, Koblenz, Germany; [Batistao, Alan Carlos] Fed Univ Santa Catarina UFSC, Dept Rural Engn, Florianopolis, SC, Brazil; [Daher, Mayara; Fernandes Filho, Elpidio Inacio; Goncalves Reynaud Schaefer, Carlos Ernesto; Francelino, Marcio Rocha] Fed Univ Vicosa UFV, Dept Soils, Vicosa, MG, Brazil; [Schuenemann, Adriano Luis] Fed Univ Pampa Unipampa, Ctr Studies Antarctic Vegetat, Sao Gabriel, Brazil</t>
  </si>
  <si>
    <t>Universidade Federal de Santa Maria (UFSM); Universidade Federal de Santa Catarina (UFSC); Universidade Federal de Vicosa; Universidade Federal do Pampa</t>
  </si>
  <si>
    <t>Batista, RF (corresponding author), Ave Roraima 1000,Predio 42, BR-97105900 Santa Maria, RS, Brazil.</t>
  </si>
  <si>
    <t>ferreira.raibatista@gmail.com</t>
  </si>
  <si>
    <t>Francelino, Marcio Rocha/AAS-4224-2020; Filho, Elpídio Inácio Fernandes/AAE-7315-2019; Reichert, José Miguel/F-8189-2012</t>
  </si>
  <si>
    <t>Francelino, Marcio Rocha/0000-0001-8837-1372; Filho, Elpídio Inácio Fernandes/0000-0002-9484-1411; Reichert, José Miguel/0000-0001-9943-2898; Holthusen, Doerthe/0000-0003-3005-4520</t>
  </si>
  <si>
    <t>Federal University of Santa Maria (UFSM); Coordination for the Improvement of Higher Education Personnel (Capes) [001]</t>
  </si>
  <si>
    <t>Federal University of Santa Maria (UFSM); Coordination for the Improvement of Higher Education Personnel (Capes)(Coordenacao de Aperfeicoamento de Pessoal de Nivel Superior (CAPES))</t>
  </si>
  <si>
    <t>This study was supported by the Federal University of Santa Maria (UFSM) and the Coordination for the Improvement of Higher Education Personnel (Capes) - finance code 001, in the form of a doctoral scholarship to the first author.</t>
  </si>
  <si>
    <t>0016-7061</t>
  </si>
  <si>
    <t>1872-6259</t>
  </si>
  <si>
    <t>Geoderma</t>
  </si>
  <si>
    <t>10.1016/j.geoderma.2022.116220</t>
  </si>
  <si>
    <t>8F2UN</t>
  </si>
  <si>
    <t>WOS:000919522500008</t>
  </si>
  <si>
    <t>Rogers, F; Aramaki, T; Boezio, M; Boggs, SE; Bonvicini, V; Bridges, G; Campana, D; Craig, WW; von Doetinchem, P; Everson, E; Fabris, L; Feldman, S; Fuke, H; Gahbauer, F; Gerrity, C; Hailey, CJ; Hayashi, T; Kawachi, A; Kozai, M; Lenni, A; Lowell, A; Manghisoni, M; Marcelli, N; Mochizuki, B; Mognet, SAI; Munakata, K; Munini, R; Nakagami, Y; Olson, J; Ong, RA; Osteria, G; Perez, KM; Quinn, S; Re, V; Riceputi, E; Roach, B; Ryan, J; Saffold, N; Scotti, V; Shimizu, Y; Sparvoli, R; Stoessl, A; Tiberio, A; Vannuccini, E; Wada, T; Xiao, M; Yamatani, M; Yee, K; Yoshida, A; Yoshida, T; Zampa, G; Zeng, J; Zweerink, J</t>
  </si>
  <si>
    <t>Rogers, F.; Aramaki, T.; Boezio, M.; Boggs, S. E.; Bonvicini, V; Bridges, G.; Campana, D.; Craig, W. W.; von Doetinchem, P.; Everson, E.; Fabris, L.; Feldman, S.; Fuke, H.; Gahbauer, F.; Gerrity, C.; Hailey, C. J.; Hayashi, T.; Kawachi, A.; Kozai, M.; Lenni, A.; Lowell, A.; Manghisoni, M.; Marcelli, N.; Mochizuki, B.; Mognet, S. A., I; Munakata, K.; Munini, R.; Nakagami, Y.; Olson, J.; Ong, R. A.; Osteria, G.; Perez, K. M.; Quinn, S.; Re, V; Riceputi, E.; Roach, B.; Ryan, J.; Saffold, N.; Scotti, V; Shimizu, Y.; Sparvoli, R.; Stoessl, A.; Tiberio, A.; Vannuccini, E.; Wada, T.; Xiao, M.; Yamatani, M.; Yee, K.; Yoshida, A.; Yoshida, T.; Zampa, G.; Zeng, J.; Zweerink, J.</t>
  </si>
  <si>
    <t>Sensitivity of the GAPS experiment to low-energy cosmic-ray antiprotons</t>
  </si>
  <si>
    <t>ASTROPARTICLE PHYSICS</t>
  </si>
  <si>
    <t>Antiproton; Cosmic ray; Dark matter; Primordial black hole; GAPS; Balloon-borne instrumentation</t>
  </si>
  <si>
    <t>DARK-MATTER; PRECISION-MEASUREMENT; DYNAMIC COMPRESSION; SI(LI) DETECTORS; BLACK-HOLE; PROPAGATION; AMPLIFIER; SIGNAL; FLIGHT</t>
  </si>
  <si>
    <t>The General Antiparticle Spectrometer (GAPS) is an upcoming balloon mission to measure low-energy cosmicray antinuclei during at least three similar to 35-day Antarctic flights. With its large geometric acceptance and novel exotic atom-based particle identification, GAPS will detect similar to 500 cosmic antiprotons per flight and produce a precision cosmic antiproton spectrum in the kinetic energy range of similar to 0.07 - 0.21 GeV/n at the top of the atmosphere. With these high statistics extending to lower energies than any previous experiment, and with complementary sources of experimental uncertainty compared to traditional magnetic spectrometers, the GAPS antiproton measurement will be sensitive to dark matter, primordial black holes, and cosmic ray propagation. The antiproton measurement will also validate the GAPS antinucleus identification technique for the antideuteron and antihelium rare-event searches. This analysis demonstrates the GAPS sensitivity to cosmic-ray antiprotons using a full instrument simulation and event reconstruction, and including solar and atmospheric effects.</t>
  </si>
  <si>
    <t>[Rogers, F.; Perez, K. M.; Roach, B.; Xiao, M.; Yee, K.] MIT, 77 Massachusetts Ave, Cambridge, MA 02139 USA; [Rogers, F.; Craig, W. W.; Lowell, A.; Mochizuki, B.] Univ Calif Berkeley, Space Sci Lab, 7 Gauss Way, Berkeley, CA 94720 USA; [Aramaki, T.; Zeng, J.] Northeastern Univ, 360 Huntington Ave, Boston, MA 02115 USA; [Boezio, M.; Bonvicini, V; Lenni, A.; Munini, R.; Zampa, G.] Ist Nazl Fis Nucl, Sez Trieste, Padriciano 99, I-34149 Trieste, Italy; [Boezio, M.; Lenni, A.; Munini, R.] IFPU, Via Beirut 2, I-34014 Trieste, Italy; [Boggs, S. E.] Univ Calif San Diego, 9500 Gilman Dr, La Jolla, CA 90037 USA; [Bridges, G.; Gahbauer, F.; Hailey, C. J.; Perez, K. M.; Saffold, N.] Columbia Univ, 550 West 120th St, New York, NY 10027 USA; [Campana, D.; Osteria, G.; Scotti, V] Ist Nazl Fis Nucl, Sez Napoli, Str Comunale Cinthia, I-80126 Naples, Italy; [von Doetinchem, P.; Gerrity, C.; Stoessl, A.] Univ Hawaii Manoa, 2505 Correa Rd, Honolulu, HI 96822 USA; [Everson, E.; Feldman, S.; Hayashi, T.; Ong, R. A.; Quinn, S.; Ryan, J.; Zweerink, J.] Univ Calif Los Angeles, 475 Portola Plaza, Los Angeles, CA 90095 USA; [Fabris, L.] Oak Ridge Natl Lab, 1 Bethel Valley Rd, Oak Ridge, TN 37831 USA; [Fuke, H.; Yamatani, M.; Yoshida, T.] Japan Aerosp Explorat Agcy ISAS JAXA, Inst Space &amp; Astronaut Sci, Sagamihara, Kanagawa 2525210, Japan; [Kawachi, A.] Tokai Univ, Hiratsuka, Kanagawa 2591292, Japan; [Kozai, M.] Polar Environm Data Sci Ctr, Joint Support Ctr Data Sci Res, ROIS DS, Res Org Informat &amp; Syst PEDSC, Tachikawa, Tokyo 1900014, Japan; [Lenni, A.] Univ Trieste, Piazzale Europa 1, I-34127 Trieste, Italy; [Manghisoni, M.; Re, V; Riceputi, E.] Ist Nazl Fis Nucl, Sez Pavia, Via Agostino Bassi 6, I-27100 Pavia, Italy; [Manghisoni, M.; Re, V; Riceputi, E.] Univ Bergamo, Viale Marconi 5, I-24044 Dalmine, BG, Italy; [Marcelli, N.; Sparvoli, R.] Ist Nazl Fis Nucl, Sez Roma Tor Vergata, Piazzale Aldo Moro 2, I-100133 Rome, Italy; [Marcelli, N.; Sparvoli, R.] Univ Roma Tor Vergata, Via Ric Sci, I-100133 Rome, Italy; [Mognet, S. A., I] Penn State Univ, 201 Old Main, University Pk, PA 16802 USA; [Munakata, K.] Shinshu Univ, Matsumoto, Nagano 3908621, Japan; [Nakagami, Y.; Wada, T.; Yoshida, A.] Aoyama Gakuin Univ, Sagamihara, Kanagawa 2525258, Japan; [Olson, J.] Heliospace Corp, 2448 6th St, Berkeley, CA 94710 USA; [Scotti, V] Univ Napoli Federico II, Corso Umberto I 40, I-80138 Naples, Italy; [Shimizu, Y.] Kanagawa Univ, Yokohama, Kanagawa 2218686, Japan; [Tiberio, A.; Vannuccini, E.] Ist Nazl Fis Nucl, Sez Firenze, Via Sansone 1, I-50019 Florence, Italy; [Saffold, N.] Fermilab Natl Accelerator Lab, Wilson St &amp; Kirk Rd, Batavia, IL 60510 USA</t>
  </si>
  <si>
    <t>Massachusetts Institute of Technology (MIT); University of California System; University of California Berkeley; Northeastern University; Istituto Nazionale di Fisica Nucleare (INFN); University of California System; University of California San Diego; Columbia University; Istituto Nazionale di Fisica Nucleare (INFN); University of Hawaii System; University of Hawaii Manoa; University of California System; University of California Los Angeles; United States Department of Energy (DOE); Oak Ridge National Laboratory; Japan Aerospace Exploration Agency (JAXA); Institute of Space &amp; Astronautical Science (ISAS); Tokai University; University of Trieste; Istituto Nazionale di Fisica Nucleare (INFN); University of Bergamo; Istituto Nazionale di Fisica Nucleare (INFN); University of Rome Tor Vergata; Pennsylvania Commonwealth System of Higher Education (PCSHE); Pennsylvania State University; Pennsylvania State University - University Park; Shinshu University; Aoyama Gakuin University; University of Naples Federico II; Kanagawa University; Istituto Nazionale di Fisica Nucleare (INFN); United States Department of Energy (DOE); University of Chicago; Fermi National Accelerator Laboratory</t>
  </si>
  <si>
    <t>Rogers, F (corresponding author), MIT, 77 Massachusetts Ave, Cambridge, MA 02139 USA.;Rogers, F (corresponding author), Univ Calif Berkeley, Space Sci Lab, 7 Gauss Way, Berkeley, CA 94720 USA.</t>
  </si>
  <si>
    <t>frrogers@mit.edu</t>
  </si>
  <si>
    <t>Scotti, Valentina/U-3238-2018; RICEPUTI, Elisa/JED-9502-2023; Sparvoli, Roberta/H-8024-2018; Tiberio, Alessio/HNS-4570-2023; CHEN, WENJIE/JQW-1608-2023; Wang, Jiacheng/ABE-5948-2020; Zhang, Xiaofeng/JMC-6060-2023; Boggs, Steven E/E-4170-2015; Boezio, Mirko/ABC-4188-2020; Tiberio, Alessio/O-6569-2018; Gahbauer, Florian/J-9542-2014</t>
  </si>
  <si>
    <t>Scotti, Valentina/0000-0001-8868-3990; RICEPUTI, Elisa/0000-0002-0542-553X; Sparvoli, Roberta/0000-0002-6314-6117; Wang, Jiacheng/0000-0003-4327-1508; Zhang, Xiaofeng/0000-0003-2738-3286; Boezio, Mirko/0000-0002-8015-2981; Yoshida, Tetsuya/0000-0003-0553-0150; von Doetinchem, Philip/0000-0002-7801-3376; Tiberio, Alessio/0000-0002-8016-8844; Gahbauer, Florian/0000-0002-7126-2513; Rogers, Field/0000-0003-3791-0107; Kawachi, Akiko/0000-0002-1120-854X; Everson, Erik/0000-0001-6079-8307</t>
  </si>
  <si>
    <t>NASA APRA program [NNX17AB44G, NNX17AB46G, NNX17AB47G]; JAXA/ISAS Small Science Program FY2017; Istituto Nazionale di Fisica Nucleare (INFN), Italy; Italian Space Agency (ASI) through the ASI INFN [2018-22-HH.0]; National Science Foundation, USA Graduate Research Fellowship Program [1122374]; JSPS, Japan [JP17H01136, JP19H05198, JP22H00147, JP20K04002, JP22K14065]; Mitsubishi Foundation Research [2019-10038]; NASA, USA of the Future Investigators in NASA Earth and Space Science and Technology (FINESST) program [80NSSC19K1425]; UCLA Division of Physical Sciences; HeisingSimons award [2018-0766]; Sumitomo Foundation, Japan [180322]; National Science Foundation, USA MRI [1920304]; National Science Foundation, USA [2030508]; Office of Advanced Cyberinfrastructure (OAC); Direct For Computer &amp; Info Scie &amp; Enginr [2030508] Funding Source: National Science Foundation</t>
  </si>
  <si>
    <t>NASA APRA program; JAXA/ISAS Small Science Program FY2017; Istituto Nazionale di Fisica Nucleare (INFN), Italy(Istituto Nazionale di Fisica Nucleare (INFN)); Italian Space Agency (ASI) through the ASI INFN; National Science Foundation, USA Graduate Research Fellowship Program(National Science Foundation (NSF)); JSPS, Japan(Ministry of Education, Culture, Sports, Science and Technology, Japan (MEXT)Japan Society for the Promotion of Science); Mitsubishi Foundation Research; NASA, USA of the Future Investigators in NASA Earth and Space Science and Technology (FINESST) program; UCLA Division of Physical Sciences; HeisingSimons award; Sumitomo Foundation, Japan; National Science Foundation, USA MRI(National Science Foundation (NSF)); National Science Foundation, USA(National Science Foundation (NSF)); Office of Advanced Cyberinfrastructure (OAC); Direct For Computer &amp; Info Scie &amp; Enginr(National Science Foundation (NSF)NSF - Directorate for Computer &amp; Information Science &amp; Engineering (CISE))</t>
  </si>
  <si>
    <t>This work is supported in the U.S. by the NASA APRA program (Grant Nos. NNX17AB44G, NNX17AB46G, and NNX17AB47G), in Japan by the JAXA/ISAS Small Science Program FY2017, and in Italy by Istituto Nazionale di Fisica Nucleare (INFN), Italy and the Italian Space Agency (ASI) through the ASI INFN agreement No. 2018-22-HH.0: ``Partecipazione italiana al GAPS - General AntiParticle Spectrometer''. F. Rogers is supported through the National Science Foundation, USA Graduate Research Fellowship Program under Grant No. 1122374. H. Fuke is supported by JSPS, Japan KAKENHI grants (JP17H01136, JP19H05198, and JP22H00147) and Mitsubishi Foundation Research Grant 2019-10038. The contributions of C. Gerrity are supported by NASA, USA under award No. 80NSSC19K1425 of the Future Investigators in NASA Earth and Space Science and Technology (FINESST) program. R.A. Ong receives support from the UCLA Division of Physical Sciences. K. Perez and M. Xiao are supported by HeisingSimons award 2018-0766. Y. Shimizu receives support from JSPS, Japan KAKENHI grant JP20K04002 and Sumitomo Foundation, Japan Grant No. 180322. M. Yamatani receives support from JSPS, Japan KAKENHI grant JP22K14065. The technical support and advanced computing resources from University of Hawaii Information Technology Services - Cyberinfrastructure, funded in part by the National Science Foundation, USA MRI Grant No. 1920304, are gratefully acknowledged. This research was performed using resources provided by the Open Science Grid [70,71], which is supported by the National Science Foundation, USA Grant No. 2030508.</t>
  </si>
  <si>
    <t>0927-6505</t>
  </si>
  <si>
    <t>1873-2852</t>
  </si>
  <si>
    <t>ASTROPART PHYS</t>
  </si>
  <si>
    <t>Astropart Phys.</t>
  </si>
  <si>
    <t>10.1016/j.astropartphys.2022.102791</t>
  </si>
  <si>
    <t>Astronomy &amp; Astrophysics; Physics, Particles &amp; Fields</t>
  </si>
  <si>
    <t>6R9EX</t>
  </si>
  <si>
    <t>Green Submitted, Green Accepted</t>
  </si>
  <si>
    <t>WOS:000892600400002</t>
  </si>
  <si>
    <t>Ravichandran, M; Gupta, AK; Mohan, K; Tiwari, SK; Lakshumanan, C; Panigrahi, MK</t>
  </si>
  <si>
    <t>Ravichandran, M.; Gupta, Anil K.; Mohan, K.; Tiwari, Sameer K.; Lakshumanan, C.; Panigrahi, M. K.</t>
  </si>
  <si>
    <t>Indian monsoon variability during the past ∼8.5 cal kyr as recorded in the sediments of the northeastern Arabian Sea</t>
  </si>
  <si>
    <t>QUATERNARY INTERNATIONAL</t>
  </si>
  <si>
    <t>Foraminifera; Holocene; Total organic carbon; Carbon and oxygen isotopes; Northeastern arabian sea</t>
  </si>
  <si>
    <t>BENTHIC FORAMINIFERAL FAUNAS; OXYGEN-MINIMUM ZONE; GLOBIGERINA BULLOIDES IMPLICATIONS; SURFACE OCEAN PRODUCTIVITY; EASTERN NORTH-ATLANTIC; GULF-OF-MEXICO; LATE QUATERNARY; HIGH-RESOLUTION; PLANKTONIC-FORAMINIFERA; ASIAN MONSOON</t>
  </si>
  <si>
    <t>We analyzed benthic and planktic foraminifera, total organic carbon and stable isotopes ratios of carbon and oxygen from 100 samples of marine sediment Core ABP, 25/03, off Gujarat in the northeastern Arabian Sea. Factor and cluster analyses of thirty highest-ranked benthic foraminifer species enabled to identify seven biofacies in the study sequence characterizing major changes in deep-sea environments during the past similar to 8.5 cal kyr. The benthic foraminiferal data has been combined with population abundances of upwelling indicator planktic foraminifer Globigerina bulloides and mixed layer species from Core ABP, 25/03 and compared with that from ODP Hole 723A and Core ABP, 25/02, western and eastern Arabian Sea, respectively. A major change in benthic foraminifera occurs during similar to 8.5 to 6 cal kyr BP, when the summer monsoon was stronger whereas during 6 to 2 cal kyr BP, the data suggest a weak summer monsoon. Planktic foraminifer Globigerina bulloides does not show any significant trend in the study core, but deep thermocline species Neogloboquadrina dutertrei and mixed layer species show significant trend with an inverse correlation with the TOC. This core records high TOC from similar to 6.5 to 4 cal kyr BP and during the last 2 cal kyr and low TOC during similar to 8.5 to 6.5 cal kyr BP and 4 to 2 cal kyr BP. It is interesting to note intervals of high mixed layer species coincide with high Neogloboquadrina dutertrei percentages and low TOC values at Core ABP, 25/03 during 8.5 to 6.5 cal kyr BP.The faunal data is supported by carbon and oxygen isotope ratios (delta C-13 and delta O-18) of shells of benthic foraminifer Cibicides spp. to strengthen our understanding of changes in the eastern Arabian Sea since similar to 8.5 cal kyr BP.</t>
  </si>
  <si>
    <t>[Ravichandran, M.; Lakshumanan, C.] Bharathidasan Univ, Ctr Disaster Management &amp; Coastal Res, Tiruchirappalli 620023, Tamil Nadu, India; [Ravichandran, M.; Gupta, Anil K.; Panigrahi, M. K.] Indian Inst Technol Kharagpur, Dept Geol &amp; Geophys, Kharagpur 721302, West Bengal, India; [Mohan, K.] Vellore Inst Technol, Sch Civil Engn, Chennai 600127, Tamil Nadu, India; [Tiwari, Sameer K.] Wadia Inst Himalayan Geol, Dehra Dun 248001, India</t>
  </si>
  <si>
    <t>Bharathidasan University; Indian Institute of Technology System (IIT System); Indian Institute of Technology (IIT) - Kharagpur; Vellore Institute of Technology (VIT); VIT Chennai; Department of Science &amp; Technology (India); Wadia Institute of Himalayan Geology (WIHG)</t>
  </si>
  <si>
    <t>Gupta, AK (corresponding author), Indian Inst Technol Kharagpur, Dept Geol &amp; Geophys, Kharagpur 721302, West Bengal, India.</t>
  </si>
  <si>
    <t>anilg@gg.iitkgp.ac.in</t>
  </si>
  <si>
    <t>Kuppusamy, Mohan/0000-0002-2558-057X; Chokkalingam, Lakshumanan/0000-0001-9238-5654</t>
  </si>
  <si>
    <t>National Centre for Antarctic and Ocean Research (NCAOR); Ministry of Earth Sciences, New Delhi [MoES/16/49/09-RDEAS]; DST, New Delhi [SR/S2/JCB-80/2011]; IIT Kharagpur</t>
  </si>
  <si>
    <t>National Centre for Antarctic and Ocean Research (NCAOR); Ministry of Earth Sciences, New Delhi; DST, New Delhi(Department of Science &amp; Technology (India)); IIT Kharagpur</t>
  </si>
  <si>
    <t>Ocean Drilling Program (ODP) and National Centre for Antarctic and Ocean Research (NCAOR) , Goa are thanked for providing the samples for the present study. Eastern Arabian Sea core ABP,25/03 samples were collected during cruises of the Russian research vessel R/V-Akademik Boris Petrov. RC, AKG and MKP thankfully acknowledge the financial support from the Ministry of Earth Sciences, New Delhi (MoES/16/49/09-RDEAS) . AKG thanks DST, New Delhi for Sir J.C. Bose fellowship (Grant no. SR/S2/JCB-80/2011) . P. Saravanan helped in running spec-tral analysis. Authors also thank IIT Kharagpur and Wadia Institute of Himalayan Geology for infrastructure support.</t>
  </si>
  <si>
    <t>1040-6182</t>
  </si>
  <si>
    <t>1873-4553</t>
  </si>
  <si>
    <t>QUATERN INT</t>
  </si>
  <si>
    <t>Quat. Int.</t>
  </si>
  <si>
    <t>10.1016/j.quaint.2022.03.016</t>
  </si>
  <si>
    <t>6Y4HE</t>
  </si>
  <si>
    <t>WOS:000897057000003</t>
  </si>
  <si>
    <t>Seguin, R; Mouillot, D; Cinner, JE; Smith, RDS; Maire, E; Graham, NAJ; McLean, M; Vigliola, L; Loiseau, N</t>
  </si>
  <si>
    <t>Seguin, Raphael; Mouillot, David; Cinner, Joshua E.; Smith, Rick D. Stuart; Maire, Eva; Graham, Nicholas A. J.; McLean, Matthew; Vigliola, Laurent; Loiseau, Nicolas</t>
  </si>
  <si>
    <t>Towards process-oriented management of tropical reefs in the anthropocene</t>
  </si>
  <si>
    <t>NATURE SUSTAINABILITY</t>
  </si>
  <si>
    <t>MARINE PROTECTED AREAS; FISHERIES; CONSERVATION; BIODIVERSITY; FISH; RESERVES; DRIVERS; INDICATORS; DIVERSITY; OUTCOMES</t>
  </si>
  <si>
    <t>Tropical reefs and the fish relying on them are under increasing pressure. Shallow-reef fish provide important ecological information in addition to sustaining fisheries, tourism and more. Although empirical metrics of fish biomass are widely used in fisheries management, metrics of biomass production-how much new biomass is produced over time-are rarely estimated even though such production informs potential fisheries yields. Here we estimate fish standing biomass (B), biomass production (P, the rate of biomass accumulation) and biomass turnover (P/B ratio, the rate of biomass replacement) for 1,979 tropical reef sites spanning 39 tropical countries. On the basis of fish standing biomass and biomass turnover, we propose a conceptual framework that splits reefs into three classes to visualize ecological and socio-economic risk and help guide spatial management interventions (for example, marine protected areas) to optimize returns on conservation efforts. At large scales, high turnover was associated with high human pressure and low primary productivity, whereas high biomass was associated with low human pressure and high primary productivity. Going beyond standing fish biomass to consider dynamic ecological processes can better guide regional coral reef conservation and sustainable fisheries management. Sustaining tropical reefs in the Anthropocene is a vital challenge. This study proposes guiding regional conservation on the basis of ecological processes and finds that the biomass and productivity of reef fish provide complementary information for management.</t>
  </si>
  <si>
    <t>[Seguin, Raphael; Mouillot, David; Loiseau, Nicolas] Univ Montpellier, IFREMER, CNRS, MARBEC,IRD, Montpellier, France; [Seguin, Raphael; Vigliola, Laurent] IFREMER, CNRS, UNC, UR,IRD,ENTROPIE, Noumea, France; [Cinner, Joshua E.] James Cook Univ, ARC Ctr Excellence Coral Reef Studies, Townsville, Qld, Australia; [Smith, Rick D. Stuart] Univ Tasmania, Inst Marine &amp; Antarctic Studies, Hobart, Tas, Australia; [Maire, Eva; Graham, Nicholas A. J.] Univ Lancaster, Lancaster Environm Ctr, Lancaster, England; [McLean, Matthew] Dalhousie Univ, Dept Biol, Halifax, NS, Canada</t>
  </si>
  <si>
    <t>Centre National de la Recherche Scientifique (CNRS); Universite de Montpellier; Ifremer; Institut de Recherche pour le Developpement (IRD); Institut de Recherche pour le Developpement (IRD); Ifremer; Centre National de la Recherche Scientifique (CNRS); James Cook University; University of Tasmania; Lancaster University; Dalhousie University</t>
  </si>
  <si>
    <t>Seguin, R (corresponding author), Univ Montpellier, IFREMER, CNRS, MARBEC,IRD, Montpellier, France.;Seguin, R (corresponding author), IFREMER, CNRS, UNC, UR,IRD,ENTROPIE, Noumea, France.</t>
  </si>
  <si>
    <t>raphaelseguin@protonmail.com</t>
  </si>
  <si>
    <t>Cinner, Joshua Eli/E-8966-2011; Stuart-Smith, Rick/I-5214-2019; Maire, Eva/T-1934-2019; Vigliola, Laurent/J-7107-2016; McLean, Matthew/HNI-0504-2023; Graham, Nicholas/C-8360-2014</t>
  </si>
  <si>
    <t>Cinner, Joshua Eli/0000-0003-2675-9317; Stuart-Smith, Rick/0000-0002-8874-0083; Maire, Eva/0000-0002-1032-3394; Vigliola, Laurent/0000-0003-4715-7470; Graham, Nicholas/0000-0002-0304-7467; Seguin, Raphael/0000-0001-6946-2981</t>
  </si>
  <si>
    <t>Australia's Integrated Marine Observing System; 2017-2018 Belmont Forum; BiodivERsA REEF-FUTURES project under the BiodivScen ERA-Net COFUND programme; ANR; DFG; NSF; Royal Society; ERC; NSERC; Leverhulme Trust</t>
  </si>
  <si>
    <t>Australia's Integrated Marine Observing System; 2017-2018 Belmont Forum; BiodivERsA REEF-FUTURES project under the BiodivScen ERA-Net COFUND programme; ANR(Agence Nationale de la Recherche (ANR)); DFG(German Research Foundation (DFG)); NSF(National Science Foundation (NSF)); Royal Society(Royal Society); ERC(European Research Council (ERC)); NSERC(Natural Sciences and Engineering Research Council of Canada (NSERC)); Leverhulme Trust(Leverhulme Trust)</t>
  </si>
  <si>
    <t>We thank the RLS divers and data management team for data provision. RLS data management is supported by Australia's Integrated Marine Observing System, which is enabled by the National Collaborative Research Infrastructure Strategy. This research was partly funded through the 2017-2018 Belmont Forum and BiodivERsA REEF-FUTURES project under the BiodivScen ERA-Net COFUND programme and with funding from ANR, DFG, NSF, Royal Society, ERC and NSERC. E.M. was supported by an Early Career Fellowship from the Leverhulme Trust.</t>
  </si>
  <si>
    <t>2398-9629</t>
  </si>
  <si>
    <t>NAT SUSTAIN</t>
  </si>
  <si>
    <t>Nat. Sustain.</t>
  </si>
  <si>
    <t>10.1038/s41893-022-00981-x</t>
  </si>
  <si>
    <t>9G1CY</t>
  </si>
  <si>
    <t>Green Submitted, Green Published, hybrid, Green Accepted</t>
  </si>
  <si>
    <t>WOS:000883302400005</t>
  </si>
  <si>
    <t>Nash, M; Leane, E; Norris, K</t>
  </si>
  <si>
    <t>Nash, Meredith; Leane, Elizabeth; Norris, Kimberley</t>
  </si>
  <si>
    <t>It's just that uncertainty that eats away at people: Antarctic expeditioners' lived experiences of COVID-19</t>
  </si>
  <si>
    <t>PLOS ONE</t>
  </si>
  <si>
    <t>POLAR; PSYCHOLOGY; CULTURE; PERFORMANCE; STRESS</t>
  </si>
  <si>
    <t>With Antarctic expeditioners popularly portrayed in the media during the pandemic as both heroic stalwarts better equipped than any other people to deal with the rigours of isolation and, paradoxically, the only people untouched by the virus, it was all too easy to ignore the actual experiences of those working in the continent. Drawing on the experiences of expeditioners in the Australian Antarctic Program from 2019-21, this article provides a counter to popular media perspective by exploring how COVID-19 protocols-including quarantine and social distancing-affected expeditioners' individual well-being and their experiences of the social environment. We argue that Antarctic life during COVID-19 has not been as detached from the rest of the world nor as heroic as the popular media has suggested, but nonetheless provides important insights for survival in isolated, confined, and extreme environments (ICE) and non-ICE environments at a time of pandemic.</t>
  </si>
  <si>
    <t>[Nash, Meredith] Australian Natl Univ, Coll Engn &amp; Comp Sci, Canberra, ACT, Australia; [Leane, Elizabeth] Univ Tasmania, Sch Humanities, Hobart, Tas, Australia; [Leane, Elizabeth] Univ Tasmania, Inst Marine &amp; Antarct Studies, Hobart, Tas, Australia; [Norris, Kimberley] Univ Tasmania, Sch Psychol Sci, Hobart, Tas, Australia</t>
  </si>
  <si>
    <t>Australian National University; University of Tasmania; University of Tasmania; University of Tasmania</t>
  </si>
  <si>
    <t>Nash, M (corresponding author), Australian Natl Univ, Coll Engn &amp; Comp Sci, Canberra, ACT, Australia.</t>
  </si>
  <si>
    <t>meredith.nash@anu.edu.au</t>
  </si>
  <si>
    <t>Nash, Meredith/D-8217-2014</t>
  </si>
  <si>
    <t>Nash, Meredith/0000-0002-7429-4924</t>
  </si>
  <si>
    <t>MN received funding from the Australian Antarctic Division (www.antarctica.gov.au) to conduct this study. The funder had no role in study design, data collection and analysis, decision to publish, or preparation of the manuscript.</t>
  </si>
  <si>
    <t>1932-6203</t>
  </si>
  <si>
    <t>PLoS One</t>
  </si>
  <si>
    <t>e0277676</t>
  </si>
  <si>
    <t>10.1371/journal.pone.0277676</t>
  </si>
  <si>
    <t>CA5M1</t>
  </si>
  <si>
    <t>WOS:001122541300019</t>
  </si>
  <si>
    <t>Moreno, PI; Fercovic, EI; Soteres, RL; Ugalde, PI; Sagredo, EA; Villa-Martínez, RP</t>
  </si>
  <si>
    <t>Moreno, P., I; Fercovic, E., I; Soteres, R. L.; Ugalde, P., I; Sagredo, E. A.; Villa-Martinez, R. P.</t>
  </si>
  <si>
    <t>Glacier and terrestrial ecosystem evolution in the Chilotan archipelago sector of northwestern Patagonia since the Last Glacial Termination</t>
  </si>
  <si>
    <t>Glacier; Vegetation and fire history; Northwestern Patagonia; Southern Westerly; Winds; Last Glacial Maximum; Last Glacial Termination; Holocene</t>
  </si>
  <si>
    <t>ANTARCTIC COLD REVERSAL; EPICA DOME C; GRANDE-DE-CHILOE; SOUTHERN CHILE; ISLA-GRANDE; NEW-ZEALAND; LATE-PLEISTOCENE; RADIOCARBON CHRONOLOGY; MAGELLANIC MOORLAND; ATMOSPHERIC CO2</t>
  </si>
  <si>
    <t>We examine the glacier, terrestrial ecosystem, and climate evolution since the Last Glacial Termination (T1) based on glacial sediments/landform assemblages and palynological data from the Chilotan archipelago (41 degrees 30 ' S-43 degrees 30 ' S), northwestern Patagonia. Deglacial warming drove recession of the Golfo Corcovado glacier lobe from the Last Glacial Maximum moraines in the interior of Isla Grande de Chiloe ' (IGC) before-17.8 ka, along with a rapid and irreversible trend toward arboreal dominance. Subsequent glacier stabilization led to deposition of the innermost moraines in eastern IGC and adjacent islands sometime between-17.5-16.9 ka, followed by an acceleration in glacial retreat that vacated the Chilotan Interior Sea in-200 years or less. Early successional cold-tolerant shade-intolerant trees prevailed during the initial stages of T1, followed by temperate rainforests dominated by thermophilous shade-tolerant species between-15-14.5 ka. A mixed forest with cold -tolerant hygrophilous conifers established between-14.5-12.6 ka, implying cooler climate and stronger Southern Westerly Wind (SWW) influence during the Antarctic Cold Reversal. Stand-replacing fires favored early successional shade-intolerant trees, shrubs, and herbs between-12.6-10.8 ka in response to milder temperatures and weaker SWW during Younger Dryas time. The early Holocene (-10.8-7.5 ka) features a maximum in shade -intolerant thermophilous trees, absence of conifers, and peak fire activity, signaling a warm/dry interval with minimum SWW influence. Cooler/wetter conditions have prevailed over the last-7500 years driven by strong SWW influence. We conclude that Patagonian glaciers and terrestrial ecosystems responded simultaneously to climate changes at regional, hemispheric, and global scales multiple times since T1. We adhere to the concept that millennial-scale variations in the SWW linked the response of the hydro-bio and cryosphere across the southern mid-and high southern latitudes, and were teleconnected with northern hemisphere events through the atmospheric concentration of greenhouse gases, latitudinal shifts in the Intertropical convergence zone, and deep ocean circulation.</t>
  </si>
  <si>
    <t>[Moreno, P., I; Fercovic, E., I] Univ Chile, Dept Ciencias Ecol, Santiago, Chile; [Moreno, P., I; Fercovic, E., I] Univ Chile, Ctr Climate Res &amp; Resilience, Santiago, Chile; [Soteres, R. L.; Ugalde, P., I; Sagredo, E. A.] Pontificia Univ Catolica Chile, Inst Geog, Santiago, Chile; [Villa-Martinez, R. P.] Univ Magallanes, Ctr Invest GAIA Antartica, Punta Arenas, Chile</t>
  </si>
  <si>
    <t>Universidad de Chile; Universidad de Chile; Pontificia Universidad Catolica de Chile; Universidad de Magallanes</t>
  </si>
  <si>
    <t>Moreno, PI (corresponding author), Univ Chile, Dept Ciencias Ecol, Santiago, Chile.;Moreno, PI (corresponding author), Univ Chile, Ctr Climate Res &amp; Resilience, Santiago, Chile.</t>
  </si>
  <si>
    <t>pimoreno@uchile.cl</t>
  </si>
  <si>
    <t>Soteres, Rodrigo/HKN-4746-2023; Villa, Rodrigo/F-5737-2014; SAGREDO, ESTEBAN/B-7280-2016; Moreno, Patricio/D-2317-2012</t>
  </si>
  <si>
    <t>Villa, Rodrigo/0000-0001-6041-4393; SAGREDO, ESTEBAN/0000-0002-4494-5423; Soteres Garcia, Rodrigo Leon/0000-0003-3647-5342; Moreno, Patricio/0000-0002-1333-6238</t>
  </si>
  <si>
    <t>Fondecyt [1191435, 1160488]; CONICYT [22172359, 21161417]; ANID Millennium Science Initiative/Millennium Nucleus Paleoclimate [NCN17_079]</t>
  </si>
  <si>
    <t>Fondecyt(Comision Nacional de Investigacion Cientifica y Tecnologica (CONICYT)CONICYT FONDECYT); CONICYT(Comision Nacional de Investigacion Cientifica y Tecnologica (CONICYT)); ANID Millennium Science Initiative/Millennium Nucleus Paleoclimate</t>
  </si>
  <si>
    <t>We thank J.P. Guerrero, W.I. Henriquez, B.V. Alloway, G. Gonzalez, J. Rivera, and I. Aguirre for help during field work, L. Hernandez and J. Videla for laboratory assistance, and T. Guilderson, S. Collado, and R. De Pol for analyzing the radiocarbon samples. We acknowledge funding from Fondecyt 1191435 and 1160488, M.Sc. Fellowship 22172359, Ph. D. Fellowship CONICYT #21161417, and the ANID Millennium Science Initiative/Millennium Nucleus Paleoclimate NCN17_079</t>
  </si>
  <si>
    <t>10.1016/j.earscirev.2022.104240</t>
  </si>
  <si>
    <t>6N0XU</t>
  </si>
  <si>
    <t>WOS:000889285900003</t>
  </si>
  <si>
    <t>Hernández-Molina, FJ; Hüneke, H; Rodríguez-Tovar, FJ; Ng, ZL; Llave, E; Mena, A; Gibb, A; Chiarella, D; Sammartino, S; de la Vara, A</t>
  </si>
  <si>
    <t>Hernandez-Molina, F. J.; Hueneke, H.; Rodriguez-Tovar, F. J.; Ng, Z. L.; Llave, E.; Mena, A.; Gibb, A.; Chiarella, D.; Sammartino, S.; de la Vara, A.</t>
  </si>
  <si>
    <t>Eocene to middle Miocene contourite deposits in Cyprus: A record of Indian Gateway evolution</t>
  </si>
  <si>
    <t>Deep-marine sedimentation; Bottom currents; Contourites; Cenozoic; Cyprus; Indian Gateway</t>
  </si>
  <si>
    <t>ICE-SHEET VARIABILITY; CURRENT-CONTROLLED SEDIMENTATION; ANTARCTIC CIRCUMPOLAR CURRENT; DEEP-WATER CIRCULATION; CURRENT REWORKED SANDS; GRAVITY-FLOW DEPOSITS; OFFSHORE WILKES LAND; SEA-LEVEL; MEDITERRANEAN OUTFLOW; BOTTOM CURRENTS</t>
  </si>
  <si>
    <t>Bottom current deposits (contourites) form in association with modern-day or ancient oceanic gateways. A paucity of examples in the ancient record and the lack of consensus on diagnostic criteria for differentiating them from other deepwater deposits limit our understanding of how they may record past global oceanic circulation, tectonic events and gateway evolution. This work describes an exceptional example of Eocene to middle Miocene deep-marine deposits located both onshore and offshore deepwater environments around the island of Cyprus. Multidisciplinary approaches were used to discriminate contourite facies associations, propose a sedimentary model, and interpret the relations with regional tectonics and the evolution of the nearby Indian Gateway. Contourite deposits appear in late Eocene to middle Miocene intervals interstratified with pelagic/hemipelagic sediments, turbidites and mass-transport deposits (MTDs). These deepwater deposits developed along a slope basin located on the upper plate of an active margin, evolving from a wide basin formed during a period of tectonic quiescent into a series of shallowing-upward, segmented sub-basins affected by compressional stress. The present study proposes a sedimentary model in which two contourite depositional systems developed: first in the Eocene (dominated by finer-grained contourites), and then during the latest Oligocene to middle Miocene (dominated by coarser-grained contourites). Both systems were buried by extensive marl deposits and record the respective influence of deep (circulating NW) and intermediate (circulating SE) water masses. The long-term evolution of the contourites reflects tectonic events that enhanced subduction processes south of Cyprus as well as exchange between the Neotethys Ocean and the Indian and Atlantic Oceans -until the final closure of the Indian Gateway by the end of the middle Miocene, when a new circulation pattern was established with the formation of the Mediterranean Sea. The contourites described here represent bi-gradational sequences that normally form in association with contouritic drifts, sometimes having the asymmetric top-cut sequence characteristics of plastered drifts and contourite terraces. The coarser (sandy) contourites, formed from the latest Oligocene to middle Miocene, consist of three packages associated with compressive and flexural phases. They pertain to I) Chattian (late Oligocene); II) Aquitanian/Burdigalian (early Miocene) and III) Langhian (middle Miocene). Evidence of enhanced bottom current episodes occurs toward the top of these packages before they are buried by later dominant marl deposits. The sandy contourites thus formed during the compressive phases, whereas the predominately finer-grained units formed during later flexural phases. The intermittent turbidites and MTDs (developed during compres-sional phases in combination with pelagic/hemipelagic sediments) represent the sediment supply for the con-tourite deposits after their winnowing and / or reworking. Our research found that the diagnostic criteria for discriminating ancient bottom current deposits from other deepwater deposits are related primarily to variations in sedimentary processes, current behaviour and its velocity, sedimentation rates and paleoenvironmental conditions. This highlights the importance of primary sedimentary structures, microfacies and ichnological</t>
  </si>
  <si>
    <t>[Hernandez-Molina, F. J.; Ng, Z. L.; Chiarella, D.] Royal Holloway Univ London, Dept Earth Sci, Egham TW20 0EX, Surrey, England; [Hueneke, H.; Gibb, A.] Univ Greifswald, Inst Geog &amp; Geol, D-17487 Greifswald, Germany; [Rodriguez-Tovar, F. J.] Univ Granada, Dept Estratig &amp; Paleontol, Granada 18002, Spain; [Llave, E.] Inst Geol &amp; Minero Espana, Madrid 28003, Spain; [Mena, A.] Univ Vigo, Dept Xeociencias Marinas &amp; OT, Vigo 36310, Spain; [Sammartino, S.] Univ Malaga, Ocean Engn Inst, Phys Oceanog Grp, Campus Teatinos S-N, Malaga 29071, Spain; [de la Vara, A.] Senior Europa SL Kveloce I D I, Plaza Reina 19,Escalera A,1, Valencia 46003, Spain</t>
  </si>
  <si>
    <t>University of London; Royal Holloway University London; Universitat Greifswald; University of Granada; Universidade de Vigo; Universidad de Malaga</t>
  </si>
  <si>
    <t>Hernández-Molina, FJ (corresponding author), Royal Holloway Univ London, Dept Earth Sci, Egham TW20 0EX, Surrey, England.</t>
  </si>
  <si>
    <t>javier.hernandez-molina@rhul.ac.uk</t>
  </si>
  <si>
    <t>Ng, Zhi Lin/GLN-4325-2022; Sammartino, Stéphane/L-1429-2013</t>
  </si>
  <si>
    <t>Ng, Zhi Lin/0000-0003-2943-2133; Gibb, M. Arwed/0000-0002-9863-6474; Mena, Anxo/0000-0002-1909-1104; Huneke, Heiko/0000-0001-7509-8768</t>
  </si>
  <si>
    <t>Joint Industry Project (JIP) - BP (United Kingdom); ENI (Italy); TOTAL (France); Exxon-Mobil (United States); Wintershall Dea (Germany); TGS (United Kingdom) [CTM 2012-39599-C03, CGL2016-80445-R, CTM2016-75129-C3-1-R]; Deutsche Forschungsgemeinschaft (DFG) [HU 804/11-1]</t>
  </si>
  <si>
    <t>Joint Industry Project (JIP) - BP (United Kingdom); ENI (Italy); TOTAL (France)(Total SA); Exxon-Mobil (United States)(Exxon Mobil Corporation); Wintershall Dea (Germany); TGS (United Kingdom); Deutsche Forschungsgemeinschaft (DFG)(German Research Foundation (DFG))</t>
  </si>
  <si>
    <t>This work was funded through the Joint Industry Project (JIP) supported by BP (United Kingdom), ENI (Italy), TOTAL (France), Exxon-Mobil (United States), Wintershall Dea (Germany) and TGS (United Kingdom) within the framework of The Drifters Research Group at Royal Holloway University of London (RHUL), and it is related to the projects CTM 2012-39599-C03, CGL2016-80445-R and CTM2016-75129-C3-1-R. Financial support of the Deutsche Forschungsgemeinschaft (DFG) is gratefully acknowledged (HU 804/11-1). We thank the Cyprus Geological Survey for scientific collaboration and support, in particular Costas Constantinou and Efthymios Tsiolakis. We thank A. Creaser, L. Hyslop (RHUL), D.A.W. Stow (Heriot-Watt University) and A. Viana (PETROBRAS) for valuable help and discussions during field campaigns. We are also grateful to S. Suklap and B. Docherty for their analysis on microfacies during their MSc. in 2016. Thanks to Dr. G. Blackbourn (Blackbourn Geoconsulting) for his petrographic analysis; F. Sierro (Univ. Salamanca, Spain), RPS Energy Ltd and PalaeoVision Ltd for their biostratigraphic analysis of the samples and A. Maestro (IGME, Spain) for the basemap in Fig. 1. A. de la Vara's contribution is based on work done during her PhD at Utrecht University, supervised by Paul Meijer. We thank the editor, Gabriel Tagliaro and one anonymous reviewer for their positive comments which helped us to improve considerably our manuscript.</t>
  </si>
  <si>
    <t>10.1016/j.gloplacha.2022.103983</t>
  </si>
  <si>
    <t>6J9NS</t>
  </si>
  <si>
    <t>WOS:000887143400001</t>
  </si>
  <si>
    <t>Feucher, C; Portela, E; Kolodziejczyk, N; Thierry, V</t>
  </si>
  <si>
    <t>Feucher, Charlene; Portela, Esther; Kolodziejczyk, Nicolas; Thierry, Virginie</t>
  </si>
  <si>
    <t>Subpolar gyre decadal variability explains the recent oxygenation in the Irminger Sea</t>
  </si>
  <si>
    <t>NORTH-ATLANTIC OCEAN; SCALE DEEP CONVECTION; LABRADOR SEA; WATER FORMATION; HEAT-CONTENT; CIRCULATION; REANALYSIS; IMPACT; RATES</t>
  </si>
  <si>
    <t>Enhanced subpolar gyre intensity and enhanced winter convection linked to a positive North Atlantic Oscillation Index explains recent oxygenation of Labrador Sea Water in the Irminger Sea, according to an analysis of autonomous profiling float and shipborne observational data between 1991 and 2018. Accurate monitoring of the long-term trend of oxygen content at global scale requires a better knowledge of the regional oxygen variability at interannual to decadal time scale. Here, we combined the Argo dataset and repeated ship-based sections to investigate the drivers of the oxygen variability in the North Atlantic Ocean, a key region for the oxygen supply into the deep ocean. We focus on the Labrador Sea Water in the Irminger Sea over the period 1991-2018 and we show that the oxygen solubility explains less than a third of the oxygen variability. In turn, the main drivers of the oxygen variability are due to changes in vertical mixing, advection, and other processes as revealed by Apparent Oxygen Utilization computation. Our findings revealed the key role of physical processes on the changes in oxygen variability and highlight the need of keeping a sustained monitoring of those processes to disentangle human-induced changes in oxygen from decadal natural variability.</t>
  </si>
  <si>
    <t>[Feucher, Charlene; Portela, Esther; Kolodziejczyk, Nicolas; Thierry, Virginie] Univ Brest, LOPS, IFREMER, CNRS,IRD, F-29280 Plouzane, France; [Portela, Esther] Univ Tasmania, Inst Marine &amp; Antarctic Studies, Hobart, Tas 7001, Australia</t>
  </si>
  <si>
    <t>Ifremer; Centre National de la Recherche Scientifique (CNRS); Institut de Recherche pour le Developpement (IRD); Universite de Bretagne Occidentale; University of Tasmania</t>
  </si>
  <si>
    <t>Feucher, C (corresponding author), Univ Brest, LOPS, IFREMER, CNRS,IRD, F-29280 Plouzane, France.</t>
  </si>
  <si>
    <t>charlene.feucher@gmail.com</t>
  </si>
  <si>
    <t>Feucher, Charlène/I-4366-2016; Thierry, Virginie/M-3086-2015</t>
  </si>
  <si>
    <t>Thierry, Virginie/0000-0003-1602-6478</t>
  </si>
  <si>
    <t>SAD postdoctoral program of French Brittany Region; Ifremer; French government [ANR-10-EQPX-40, ANR-21-ESRE-0019]; CNRS; national program LEFE (Les Enveloppes Fluides et l'Environnement); Spanish Ministry of Sciences and Innovation - BOCATS2 project [PID2019-104279GB-C21]; ARIOS project [CTM2016-76146-C3-1-R]; Agence Nationale de la Recherche (ANR) [ANR-21-ESRE-0019] Funding Source: Agence Nationale de la Recherche (ANR)</t>
  </si>
  <si>
    <t>SAD postdoctoral program of French Brittany Region; Ifremer; French government; CNRS(Centre National de la Recherche Scientifique (CNRS)); national program LEFE (Les Enveloppes Fluides et l'Environnement); Spanish Ministry of Sciences and Innovation - BOCATS2 project; ARIOS project; Agence Nationale de la Recherche (ANR)(Agence Nationale de la Recherche (ANR))</t>
  </si>
  <si>
    <t>C.F. was supported by SAD postdoctoral program of French Brittany Region and co-funded by Ifremer. This research has been supported by the French government within the framework of the Investissements d'avenir program managed by the Agence Nationale de la Recherche under the NAOS project (grant no. ANR-10-EQPX-40) and ARGO-2030 project (grant no. ANR-21-ESRE-0019). This work is a contribution to the OVIDE project supported by CNRS, Ifremer, the national program LEFE (Les Enveloppes Fluides et l'Environnement) and the Spanish Ministry of Sciences and Innovation co-funded by the BOCATS2 project (grant no. PID2019-104279GB-C21) and ARIOS project (grant no. CTM2016-76146-C3-1-R). We are also grateful to three anonymous reviewers for their constructive and insightful comments, which help us to improve our manuscript.</t>
  </si>
  <si>
    <t>NOV 12</t>
  </si>
  <si>
    <t>10.1038/s43247-022-00570-y</t>
  </si>
  <si>
    <t>6D0FE</t>
  </si>
  <si>
    <t>WOS:000882377200001</t>
  </si>
  <si>
    <t>Friedlingstein, P; O'Sullivan, M; Jones, MW; Andrew, RM; Gregor, L; Hauck, J; Le Quéré, C; Luijkx, IT; Olsen, A; Peters, GP; Peters, W; Pongratz, J; Schwingshackl, C; Sitch, S; Canadell, JG; Ciais, P; Jackson, RB; Alin, SR; Alkama, R; Arneth, A; Arora, VK; Bates, NR; Becker, M; Bellouin, N; Bittig, HC; Bopp, L; Chevallier, F; Chini, LP; Cronin, M; Evans, W; Falk, S; Feely, RA; Gasser, T; Gehlen, M; Gkritzalis, T; Gloege, L; Grassi, G; Gruber, N; Gürses, Ö; Harris, I; Hefner, M; Houghton, RA; Hurtt, GC; Iida, Y; Ilyina, T; Jain, AK; Jersild, A; Kadono, K; Kato, E; Kennedy, D; Goldewijk, KK; Knauer, J; Korsbakken, JI; Landschützer, P; Lefèvre, N; Lindsay, K; Liu, JJ; Liu, Z; Marland, G; Mayot, N; McGrath, MJ; Metzl, N; Monacci, NM; Munro, DR; Nakaoka, SI; Niwa, Y; O'Brien, K; Ono, T; Palmer, PI; Pan, NQ; Pierrot, D; Pocock, K; Poulter, B; Resplandy, L; Robertson, E; Rödenbeck, C; Rodriguez, C; Rosan, TM; Schwinger, J; Séférian, R; Shutler, JD; Skjelvan, I; Steinhoff, T; Sun, Q; Sutton, AJ; Sweeney, C; Takao, S; Tanhua, T; Tans, PP; Tian, XJ; Tian, HQ; Tilbrook, B; Tsujino, H; Tubiello, F; van der Werf, GR; Walker, AP; Wanninkhof, R; Whitehead, C; Wranne, AW; Wright, R; Yuan, WP; Yue, C; Yue, X; Zaehle, S; Zeng, JY; Zheng, B</t>
  </si>
  <si>
    <t>Friedlingstein, Pierre; O'Sullivan, Michael; Jones, Matthew W.; Andrew, Robbie M.; Gregor, Luke; Hauck, Judith; Le Quere, Corinne; Luijkx, Ingrid T.; Olsen, Are; Peters, Glen P.; Peters, Wouter; Pongratz, Julia; Schwingshackl, Clemens; Sitch, Stephen; Canadell, Josep G.; Ciais, Philippe; Jackson, Robert B.; Alin, Simone R.; Alkama, Ramdane; Arneth, Almut; Arora, Vivek K.; Bates, Nicholas R.; Becker, Meike; Bellouin, Nicolas; Bittig, Henry C.; Bopp, Laurent; Chevallier, Frederic; Chini, Louise P.; Cronin, Margot; Evans, Wiley; Falk, Stefanie; Feely, Richard A.; Gasser, Thomas; Gehlen, Marion; Gkritzalis, Thanos; Gloege, Lucas; Grassi, Giacomo; Gruber, Nicolas; Gurses, Ozgur; Harris, Ian; Hefner, Matthew; Houghton, Richard A.; Hurtt, George C.; Iida, Yosuke; Ilyina, Tatiana; Jain, Atul K.; Jersild, Annika; Kadono, Koji; Kato, Etsushi; Kennedy, Daniel; Goldewijk, Kees Klein; Knauer, Jurgen; Korsbakken, Jan Ivar; Landschutzer, Peter; Lefevre, Nathalie; Lindsay, Keith; Liu, Junjie; Liu, Zhu; Marland, Gregg; Mayot, Nicolas; McGrath, Matthew J.; Metzl, Nicolas; Monacci, Natalie M.; Munro, David R.; Nakaoka, Shin-Ichiro; Niwa, Yosuke; O'Brien, Kevin; Ono, Tsuneo; Palmer, Paul, I; Pan, Naiqing; Pierrot, Denis; Pocock, Katie; Poulter, Benjamin; Resplandy, Laure; Robertson, Eddy; Rodenbeck, Christian; Rodriguez, Carmen; Rosan, Thais M.; Schwinger, Jorg; Seferian, Roland; Shutler, Jamie D.; Skjelvan, Ingunn; Steinhoff, Tobias; Sun, Qing; Sutton, Adrienne J.; Sweeney, Colm; Takao, Shintaro; Tanhua, Toste; Tans, Pieter P.; Tian, Xiangjun; Tian, Hanqin; Tilbrook, Bronte; Tsujino, Hiroyuki; Tubiello, Francesco; van der Werf, Guido R.; Walker, Anthony P.; Wanninkhof, Rik; Whitehead, Chris; Wranne, Anna Willstrand; Wright, Rebecca; Yuan, Wenping; Yue, Chao; Yue, Xu; Zaehle, Sonke; Zeng, Jiye; Zheng, Bo</t>
  </si>
  <si>
    <t>Global Carbon Budget 2022</t>
  </si>
  <si>
    <t>LAND-COVER CHANGE; AIR CO2 FLUX; SURFACE OCEAN PCO(2); LEAF-AREA INDEX; GREENHOUSE-GAS EMISSIONS; FOSSIL-FUEL COMBUSTION; ATMOSPHERIC CO2; ANTHROPOGENIC CO2; DIOXIDE EMISSIONS; DATA ASSIMILATION</t>
  </si>
  <si>
    <t>Accurate assessment of anthropogenic carbon dioxide (CO2) emissions and their redistribution among the atmosphere, ocean, and terrestrial biosphere in a changing climate is critical to better understand the global carbon cycle, support the development of climate policies, and project future climate change. Here we describe and synthesize data sets and methodologies to quantify the five major components of the global carbon budget and their uncertainties. Fossil CO2 emissions (E-FOS) are based on energy statistics and cement production data, while emissions from land-use change (E-LUC), mainly deforestation, are based on land use and land-use change data and bookkeeping models. Atmospheric CO2 concentration is measured directly, and its growth rate (G(ATM)) is computed from the annual changes in concentration. The ocean CO2 sink (S-OCEAN) is estimated with global ocean biogeochemistry models and observation-based data products. The terrestrial CO2 sink (S-LAND) is estimated with dynamic global vegetation models. The resulting carbon budget imbalance (B-IM), the difference between the estimated total emissions and the estimated changes in the atmosphere, ocean, and terrestrial biosphere, is a measure of imperfect data and understanding of the contemporary carbon cycle. All uncertainties are reported as +/- 1 sigma. For the year 2021, EFOS increased by 5.1% relative to 2020, with fossil emissions at 10.1 +/- 0.5 GtC yr(-1) (9.9 +/- 0.5 GtC yr(-1) when the cement carbonation sink is included), and ELUC was 1.1 +/- 0.7 GtC yr(-1),for a total anthropogenic CO2 emission (including the cement carbonation sink) of 10.9 +/- 0.8 GtC yr 1 (40.0 +/- 2.9 GtCO(2)). Also, for 2021, G(ATM) was 5.2 +/- 0.2 GtC yr(-1) (2.5 +/- 0.1 ppm yr(-1)), S-OCEAN was 2.9 +/- 0.4 GtC yr(-1), and SLAND was 3.5 +/- 0.9 GtC yr(-1), with a B-IM of 0.6 GtC yr(-1) (i.e. the total estimated sources were too low or sinks were too high). The global atmospheric CO2 concentration averaged over 2021 reached 414.71 +/- 0.1 ppm. Preliminary data for 2022 suggest an increase in E-FOS relative to 2021 of +1.0% (0.1% to 1.9 %) globally and atmospheric CO2 concentration reaching 417.2 ppm, more than 50% above pre-industrial levels (around 278 ppm). Overall, the mean and trend in the components of the global carbon budget are consistently estimated over the period 1959-2021, but discrepancies of up to 1 GtC yr(-1) persist for the representation of annual to semi-decadal variability in CO2 fluxes. Comparison of estimates from multiple approaches and observations shows (1) a persistent large uncertainty in the estimate of land-use change emissions, (2) a low agreement between the different methods on the magnitude of the land CO2 flux in the northern extratropics, and (3) a discrepancy between the different methods on the strength of the ocean sink over the last decade. This living data update documents changes in the methods and data sets used in this new global carbon budget and the progress in understanding of the global carbon cycle compared with previous publications of this data set. The data presented in this work are available at https://doi.org/10.18160/GCP-2022 (Friedlingstein et al., 2022b).</t>
  </si>
  <si>
    <t>[Friedlingstein, Pierre; O'Sullivan, Michael; Sitch, Stephen; Rosan, Thais M.; Shutler, Jamie D.] Univ Exeter, Fac Environm Sci &amp; Econ, Exeter EX4 4QF, Devon, England; [Friedlingstein, Pierre; Bopp, Laurent] Univ PSL, Ecole Normale Super, Sorbonne Univ, Ecole Polytech,Lab Meteorol Dynam,Inst Pierre Sim, F-75231 Paris, France; [Jones, Matthew W.; Le Quere, Corinne; Mayot, Nicolas; Wright, Rebecca] Univ East Anglia, Sch Environm Sci, Tyndall Ctr Climate Change Res, Norwich Res Pk, Norwich NR4 7TJ, Norfolk, England; [Andrew, Robbie M.; Peters, Glen P.; Korsbakken, Jan Ivar] CICERO Ctr Int Climate Res, N-0349 Oslo, Norway; [Gregor, Luke; Gruber, Nicolas] Swiss Fed Inst Technol, Inst Biogeochem &amp; Pollutant Dynam, Environm Phys Grp, Zurich, Switzerland; [Gregor, Luke; Gruber, Nicolas] Swiss Fed Inst Technol, Ctr Climate Syst Modeling C2SM, Zurich, Switzerland; [Hauck, Judith; Gurses, Ozgur] Helmholtz Zentrum Polar &amp; Meeresforsch, Alfred Wegener Inst, Postfach 120161, D-27515 Bremerhaven, Germany; [Luijkx, Ingrid T.; Peters, Wouter] Wageningen Univ, Environm Sci Grp, POB 47, NL-6700 AA Wageningen, Netherlands; [Olsen, Are; Becker, Meike] Univ Bergen, Geophys Inst, Bergen, Norway; [Olsen, Are; Becker, Meike; Schwinger, Jorg; Skjelvan, Ingunn] Bjerknes Ctr Climate Res, Bergen, Norway; [Peters, Wouter] Univ Groningen, Ctr Isotope Res, Groningen, Netherlands; [Pongratz, Julia; Schwingshackl, Clemens; Falk, Stefanie] Ludwig Maximilians Univ Munchen, Dept Geog, Luisenstr 37, D-80333 Munich, Germany; [Pongratz, Julia; Ilyina, Tatiana; Jersild, Annika; Landschutzer, Peter] Max Planck Inst Meteorol, D-20146 Hamburg, Germany; [Canadell, Josep G.] CSIRO Oceans &amp; Atmosphere, Canberra, ACT 2101, Australia; [Ciais, Philippe; Chevallier, Frederic; Gehlen, Marion; McGrath, Matthew J.] Univ Paris Saclay, CEA CNRS UVSQ, LSCE IPSL, Lab Sci Climat &amp; Environm, F-91191 Gif Sur Yvette, France; [Jackson, Robert B.] Stanford Univ, Woods Inst Environm, Dept Earth Syst Sci, Stanford, CA 94305 USA; [Jackson, Robert B.] Stanford Univ, Precourt Inst Energy, Stanford, CA 94305 USA; [Alin, Simone R.; Feely, Richard A.; O'Brien, Kevin; Sutton, Adrienne J.] NOAA, Pacific Marine Environm Lab NOAA PMEL, 7600 Sand Point Way NE, Seattle, WA 98115 USA; [Alkama, Ramdane; Grassi, Giacomo] European Commiss, Joint Res Ctr, I-21027 Ispra, VA, Italy; [Arneth, Almut] Karlsruhe Inst Technol, Inst Meteorol &amp; Climate Res, Atmospher Environm Res, D-82467 Garmisch Partenkirchen, Germany; [Arora, Vivek K.] Environm &amp; Climate Change Canada, Climate Res Div, Canadian Ctr Climate Modelling &amp; Anal, Victoria, BC, Canada; [Bates, Nicholas R.] Bermuda Inst Ocean Sci BIOS, 17 Biol Lane, St Georges, Bermuda; [Bates, Nicholas R.] Univ Southampton, Dept Ocean &amp; Earth Sci, European Way, Southampton SO14 3ZH, Hants, England; [Bellouin, Nicolas] Univ Reading, Dept Meteorol, Reading RG6 6BB, Berks, England; [Bittig, Henry C.] Leibniz Inst Baltic Sea Res Warnemuende IOW, Seestr 15, D-18119 Rostock, Germany; [Chini, Louise P.; Hurtt, George C.] Univ Maryland, Dept Geog Sci, College Pk, MD 20742 USA; [Cronin, Margot] Marine Inst, Galway, Ireland; [Evans, Wiley; Pocock, Katie] Hakai Inst, Heriot Bay, BC, Canada; [Gasser, Thomas] Int Inst Appl Syst Anal IIASA, Schlosspl 1, A-2361 Laxenburg, Austria; [Gkritzalis, Thanos; Landschutzer, Peter] Flanders Marine Inst VLIZ, InnovOceanSite, Jacobsenstr 1, B-8400 Oostende, Belgium; [Gloege, Lucas] Columbia Univ, Lamont Doherty Earth Observ, New York, NY 10027 USA; [Gloege, Lucas] Columbia Univ, Dept Earth &amp; Environm Sci, New York, NY 10027 USA; [Gloege, Lucas] Open Earth Fdn, Marina Del Rey, CA 90292 USA; [Harris, Ian] Univ East Anglia, Sch Environm Sci, NCAS Climate, Climat Res Unit, Norwich Res Pk, Norwich NR4 7TJ, Norfolk, England; [Hefner, Matthew; Marland, Gregg] Appalachian State Univ, Res Inst Environm Energy &amp; Econ, Boone, NC 28608 USA; [Hefner, Matthew; Marland, Gregg] Appalachian State Univ, Dept Geol &amp; Environm Sci, Boone, NC 28608 USA; [Houghton, Richard A.] Woodwell Climate Res Ctr, Falmouth, MA 02540 USA; [Iida, Yosuke; Kadono, Koji] Japan Meteorol Agcy, Atmosphere &amp; Ocean Dept, Minato Ku, Tokyo 1058431, Japan; [Jain, Atul K.] Univ Illinois, Dept Atmospher Sci, Urbana, IL 61821 USA; [Kato, Etsushi] Inst Appl Energy IAE, Minato Ku, Tokyo 1050003, Japan; [Kennedy, Daniel] Natl Ctr Atmospher Res Climate &amp; Global Dynam, Terr Sci Sect, Boulder, CO 80305 USA; [Goldewijk, Kees Klein] Univ Utrecht, Copernicus Inst Sustainable Dev, Fac Geosci, Dept IMEW, Heidelberglaan 2,POB 80115, NL-3508 TC Utrecht, Netherlands; [Knauer, Jurgen; Niwa, Yosuke] Western Sydney Univ, Hawkesbury Inst Environm, Penrith, NSW 2751, Australia; [Knauer, Jurgen] CSIRO Oceans &amp; Atmosphere, Climate Sci Ctr, Canberra, ACT 2601, Australia; [Lefevre, Nathalie; Metzl, Nicolas] Sorbonne Univ, LOCEAN IPSL Lab, CNRS IRD MNHN, F-75252 Paris, France; [Lindsay, Keith] Natl Ctr Atmospher Res, Oceanog Sect, Climate &amp; Global Dynam, Boulder, CO 80305 USA; [Liu, Junjie] CALTECH, Jet Prop Lab, Pasadena, CA 91125 USA; [Liu, Zhu] Tsinghua Univ, Dept Earth Syst Sci, Beijing, Peoples R China; [Monacci, Natalie M.] Univ Alaska Fairbanks, Coll Fisheries &amp; Ocean Sci, POB 757220, Fairbanks, AK 99775 USA; [Munro, David R.] Univ Colorado, Cooperat Inst Res Environm Sci, Boulder, CO 80305 USA; [Munro, David R.; Sweeney, Colm; Tans, Pieter P.] NOAA, Global Monitoring Lab NOAA GML, Boulder, CO 80305 USA; [Nakaoka, Shin-Ichiro; Niwa, Yosuke; Takao, Shintaro; Zeng, Jiye] Natl Inst Environm Studies NIES, Earth Syst Div, 16-2 Onogawa, Tsukuba, Ibaraki 3058506, Japan; [Tsujino, Hiroyuki] Meteorol Res Inst, 1-1 Nagamine, Tsukuba, Ibaraki 3050052, Japan; [O'Brien, Kevin] Univ Washington, Cooperat Inst Climate Ocean &amp; Ecosyst Studies CIC, Seattle, WA 98195 USA; [Ono, Tsuneo] Japan Fisheries Res &amp; Educ Agcy, Kanazawa Ku, 2-12-4 Fukuura, Yokohama, Kanagawa 2368648, Japan; [Palmer, Paul, I] Univ Edinburgh, Natl Ctr Earth Observat, Edinburgh EH9 3FE, Midlothian, Scotland; [Palmer, Paul, I] Univ Edinburgh, Sch Geosci, Edinburgh EH9 3FE, Midlothian, Scotland; [Pan, Naiqing] Auburn Univ, Coll Forestry Wildlife &amp; Environm, Auburn, AL 36849 USA; [Pan, Naiqing; Tian, Hanqin] Boston Coll, Dept Earth &amp; Environm Sci, Schiller Inst Integrated Sci &amp; Soc, Chestnut Hill, MA 02467 USA; [Pierrot, Denis; Wanninkhof, Rik] NOAA, Atlantic Oceanog &amp; Meteorol Lab NOAA AOML, Miami, FL 33149 USA; [Poulter, Benjamin] NASA Goddard Space Flight Ctr, Biospher Sci Lab, Greenbelt, MD 20771 USA; [Resplandy, Laure] Princeton Univ, Dept Geosci, Princeton, NJ 08544 USA; [Resplandy, Laure] Princeton Univ, Princeton Environm Inst, Princeton, NJ 08544 USA; [Robertson, Eddy] Met Off Hadley Ctr, FitzRoy Rd, Exeter EX1 3PB, Devon, England; [Rodenbeck, Christian; Zaehle, Sonke] Max Planck Inst Biogeochem, POB 600164,Hans Knoll Str 10, D-07745 Jena, Germany; [Rodriguez, Carmen] Univ Miami, RSMAS, 4600 Rickenbacker Causeway, Miami, FL 33149 USA; [Schwinger, Jorg; Skjelvan, Ingunn] NORCE Norwegian Res Ctr, Jahnebakken 5, N-5007 Bergen, Norway; [Seferian, Roland] Univ Toulouse, CNRS, Meteo France, CNRM, F-31057 Toulouse, France; [Steinhoff, Tobias; Tanhua, Toste] GEOMAR Helmholtz Ctr Ocean Res Kiel, Dusternbrooker Weg 20, D-24105 Kiel, Germany; [Sun, Qing] Univ Bern, Climate &amp; Environm Phys, Phys Inst, Bern, Switzerland; [Sun, Qing] Univ Bern, Oeschger Ctr Climate Change Res, Bern, Switzerland; [Tans, Pieter P.] Univ Colorado, Inst Arctic &amp; Alpine Res, Boulder, CO 80309 USA; [Tian, Xiangjun] Chinese Acad Sci, Inst Tibetan Plateau Res, State Key Lab Tibetan Plateau Earth Syst Environm, Beijing 100101, Peoples R China; [Tilbrook, Bronte] CSIRO Oceans &amp; Atmosphere, POB 1538, Hobart, Tas 7001, Australia; [Tilbrook, Bronte] Univ Tasmania, Australian Antarctic Partnership Program, Hobart, Tas 7001, Australia; [Tubiello, Francesco] Food &amp; Agr Org United Nations, Stat Div, Via Terme di Caracalla, I-00153 Rome, Italy; [van der Werf, Guido R.] Vrije Univ, Fac Sci, Dept Earth Sci, NL-1081 Amsterdam, Netherlands; [Walker, Anthony P.] Oak Ridge Natl Lab, Environm Sci Div, Oak Ridge, TN 37831 USA; [Walker, Anthony P.] Oak Ridge Natl Lab, Climate Change Sci Inst, Oak Ridge, TN 37831 USA; [Whitehead, Chris] Sitka Tribe Alaska, 456 Katlian St, Sitka, AK 99835 USA; [Wranne, Anna Willstrand] Swedish Meteorol &amp; Hydrol Inst, Sven Kallfeltsgata 15, S-42668 Vastra Frolunda, Sweden; [Yuan, Wenping] Sun Yat Sen Univ, Sch Atmospher Sci, Zhuhai 510245, Guangdong, Peoples R China; [Yue, Chao] Northwest A&amp;F Univ, Inst Soil &amp; Water Conservat, Yangling 712100, Shaanxi, Peoples R China; [Yue, Xu] Nanjing Univ Informat Sci &amp; Technol NUIST, Sch Environm Sci &amp; Engn, Nanjing 211544, Peoples R China; [Zheng, Bo] Tsinghua Univ, Tsinghua Shenzhen Int Grad Sch, Inst Environm &amp; Ecol, Shenzhen 518055, Peoples R China</t>
  </si>
  <si>
    <t>University of Exeter; Sorbonne Universite; Universite PSL; Ecole Normale Superieure (ENS); University of East Anglia; Swiss Federal Institutes of Technology Domain; ETH Zurich; Swiss Federal Institutes of Technology Domain; ETH Zurich; Helmholtz Association; Alfred Wegener Institute, Helmholtz Centre for Polar &amp; Marine Research; Wageningen University &amp; Research; University of Bergen; Bjerknes Centre for Climate Research; University of Groningen; University of Munich; Max Planck Society; Commonwealth Scientific &amp; Industrial Research Organisation (CSIRO); Universite Paris Cite; CEA; Centre National de la Recherche Scientifique (CNRS); Universite Paris Saclay; Stanford University; Stanford University; National Oceanic Atmospheric Admin (NOAA) - USA; European Commission Joint Research Centre; EC JRC ISPRA Site; Helmholtz Association; Karlsruhe Institute of Technology; Environment &amp; Climate Change Canada; Canadian Centre for Climate Modelling &amp; Analysis (CCCma); Bermuda Institute of Ocean Sciences; University of Southampton; NERC National Oceanography Centre; University of Reading; Leibniz Institut fur Ostseeforschung Warnemunde; University System of Maryland; University of Maryland College Park; Marine Institute Ireland; Hakai Institute; International Institute for Applied Systems Analysis (IIASA); Columbia University; Columbia University; University of East Anglia; University of North Carolina; Appalachian State University; University of North Carolina; Appalachian State University; Japan Meteorological Agency; University of Illinois System; University of Illinois Urbana-Champaign; National Center Atmospheric Research (NCAR) - USA; Utrecht University; Western Sydney University; Commonwealth Scientific &amp; Industrial Research Organisation (CSIRO); Sorbonne Universite; Museum National d'Histoire Naturelle (MNHN); Institut de Recherche pour le Developpement (IRD); National Center Atmospheric Research (NCAR) - USA; National Aeronautics &amp; Space Administration (NASA); NASA Jet Propulsion Laboratory (JPL); California Institute of Technology; Tsinghua University; University of Alaska System; University of Alaska Fairbanks; University of Colorado System; University of Colorado Boulder; National Oceanic Atmospheric Admin (NOAA) - USA; National Institute for Environmental Studies - Japan; Meteorological Research Institute - Japan; University of Washington; University of Washington Seattle; Japan Fisheries Research &amp; Education Agency (FRA); University of Edinburgh; University of Edinburgh; Auburn University System; Auburn University; Boston College; National Oceanic Atmospheric Admin (NOAA) - USA; National Aeronautics &amp; Space Administration (NASA); NASA Goddard Space Flight Center; Princeton University; Princeton University; Met Office - UK; Hadley Centre; Max Planck Society; University of Miami; Norwegian Research Centre (NORCE); Centre National de la Recherche Scientifique (CNRS); Meteo France; Universite de Toulouse; Helmholtz Association; GEOMAR Helmholtz Center for Ocean Research Kiel; University of Bern; University of Bern; University of Colorado System; University of Colorado Boulder; Chinese Academy of Sciences; Institute of Tibetan Plateau Research, CAS; Commonwealth Scientific &amp; Industrial Research Organisation (CSIRO); University of Tasmania; Food &amp; Agriculture Organization of the United Nations (FAO); Vrije Universiteit Amsterdam; United States Department of Energy (DOE); Oak Ridge National Laboratory; United States Department of Energy (DOE); Oak Ridge National Laboratory; Swedish Meteorological &amp; Hydrological Institute; Sun Yat Sen University; Chinese Academy of Sciences; Institute of Soil &amp; Water Conservation (ISWC), CAS; Northwest A&amp;F University - China; Nanjing University of Information Science &amp; Technology; Tsinghua University; Tsinghua Shenzhen International Graduate School</t>
  </si>
  <si>
    <t>Friedlingstein, P (corresponding author), Univ Exeter, Fac Environm Sci &amp; Econ, Exeter EX4 4QF, Devon, England.;Friedlingstein, P (corresponding author), Univ PSL, Ecole Normale Super, Sorbonne Univ, Ecole Polytech,Lab Meteorol Dynam,Inst Pierre Sim, F-75231 Paris, France.</t>
  </si>
  <si>
    <t>p.friedlingstein@exeter.ac.uk</t>
  </si>
  <si>
    <t>van der Werf, Guido/JXY-9197-2024; Andrew, Robbie/B-4204-2008; Peters, Wouter/B-8305-2008; Knauer, Juergen/AFD-0010-2022; Shin-ichiro, Nakaoka/I-7222-2018; Friedlingstein, Pierre/H-2700-2014; Hauck, Judith/AAC-3967-2019; Gasser, Thomas/E-9815-2018; Poulter, Ben/ABB-5886-2021; Yuan, Wenping/HTM-1454-2023; Chevallier, Frederic/E-9608-2016; Sitch, Stephen A/F-8034-2015; Niwa, Yosuke/H-7004-2018; Kato, Etsushi/Q-2623-2018; Palmer, Paul I/F-7008-2010; Yue, Xu/ISV-0164-2023; Canadell, Pep/E-9419-2010; Takao, Shintaro/M-8269-2019; Gruber, Nicolas/B-7013-2009; Landschützer, Peter/IQU-3835-2023; Jain, Atul/D-2851-2016; Walker, Anthony P/G-2931-2016; Ilyina, Tatiana/ABE-9164-2020; Alin, Simone/J-6836-2017; Luijkx, Ingrid/G-9169-2011; Gregor, Luke/AAY-5082-2021; Zaehle, Sönke/C-9528-2017; OSullivan, Mike/HJY-6367-2023; Pocock, Katie/JKH-6590-2023; Tanhua, Toste/HLX-5402-2023; LIU, zhu/IYS-9390-2023; Zheng, Bo/X-1616-2018; Hurtt, George/A-8450-2012; Le Quéré, Corinne/C-2631-2017; Klein Goldewijk, Kees/L-5567-2013; Tilbrook, Bronte/A-1522-2012; Liu, Junjie/F-5739-2017; Schwinger, Jörg/AAN-6573-2021; Grassi, Giacomo/AFL-0392-2022; Tian, Hanqin/A-6484-2012; Sutton, Adrienne/C-7725-2015; Evans, Wiley/U-8250-2018; van der Werf, Guido/M-8260-2016; Mayot, Nicolas/S-1319-2017; Olsen, Are/A-1511-2011</t>
  </si>
  <si>
    <t>Andrew, Robbie/0000-0001-8590-6431; Peters, Wouter/0000-0001-8166-2070; Knauer, Juergen/0000-0002-4947-7067; Shin-ichiro, Nakaoka/0000-0002-3870-1721; Friedlingstein, Pierre/0000-0003-3309-4739; Hauck, Judith/0000-0003-4723-9652; Gasser, Thomas/0000-0003-4882-2647; Poulter, Ben/0000-0002-9493-8600; Chevallier, Frederic/0000-0002-4327-3813; Kato, Etsushi/0000-0001-8814-804X; Palmer, Paul I/0000-0002-1487-0969; Canadell, Pep/0000-0002-8788-3218; Gruber, Nicolas/0000-0002-2085-2310; Landschützer, Peter/0000-0002-7398-3293; Jain, Atul/0000-0002-4051-3228; Walker, Anthony P/0000-0003-0557-5594; Ilyina, Tatiana/0000-0002-3475-4842; Alin, Simone/0000-0002-8283-1910; Gregor, Luke/0000-0001-6071-1857; Zaehle, Sönke/0000-0001-5602-7956; Pocock, Katie/0009-0008-7331-2095; Zheng, Bo/0000-0001-8344-3445; Hurtt, George/0000-0001-7278-202X; Le Quéré, Corinne/0000-0003-2319-0452; Schwinger, Jörg/0000-0002-7525-6882; Harris, Ian/0000-0003-2037-9284; Luijkx, Ingrid/0000-0002-3990-6737; Tian, Hanqin/0000-0002-1806-4091; Jones, Matthew/0000-0003-3480-7980; Hefner, Matthew Wynn/0000-0002-8382-2338; Skjelvan, Ingunn/0000-0001-6761-5016; Sun, Qing/0000-0003-0767-4721; Sutton, Adrienne/0000-0002-7414-7035; O'Sullivan, Michael/0000-0002-6278-3392; Jackson, Robert/0000-0001-8846-7147; Evans, Wiley/0000-0002-5450-0903; van der Werf, Guido/0000-0001-9042-8630; Gurses, Ozgur/0000-0002-0646-5760; Peters, Glen/0000-0001-7889-8568; Korsbakken, Jan Ivar/0000-0002-2939-9778; Wright, Rebecca Mary/0000-0003-2333-6247; Mayot, Nicolas/0000-0003-4255-5939; Resplandy, Laure/0000-0002-1212-3943; Lindsay, Keith/0000-0002-3672-1665; Tubiello, Francesco Nicola/0000-0003-4617-4690; metzl, nicolas/0000-0002-1165-1074; Olsen, Are/0000-0003-1696-9142; Monacci, Natalie/0000-0002-0704-5776</t>
  </si>
  <si>
    <t>International Ocean Carbon Coordination Project (IOCCP); Surface Ocean Lower Atmosphere Study (SOLAS); Integrated Marine Biosphere Research (IMBeR) program; DOE [DE-AC05-1008 00OR22725]; Tula Foundation; FAO; NERC [NE/V01417X/1, NE/P021417/1] Funding Source: UKRI</t>
  </si>
  <si>
    <t>International Ocean Carbon Coordination Project (IOCCP); Surface Ocean Lower Atmosphere Study (SOLAS); Integrated Marine Biosphere Research (IMBeR) program; DOE(United States Department of Energy (DOE)); Tula Foundation; FAO; NERC(UK Research &amp; Innovation (UKRI)Natural Environment Research Council (NERC))</t>
  </si>
  <si>
    <t>We thank all people and institutions who provided the data used in this Global Carbon Budget 2022 and the Global Carbon Project members for their input throughout the development of this publication. We thank Nigel Hawtin for producing Figs. 2 and 14. We thank Thomas Hawes for technical support with the data management pipeline. We thank Ed Dlugokencky for providing atmospheric CO2 measurements. We thank Ian G. C. Ashton, Fatemeh Cheginig, Trang T. Chau, Sam Ditkovsky, Christian Ethe, Amanda R. Fay, Lonneke Goddijn-Murphy, Thomas Holding, Fabrice Lacroix, Enhui Liao, Galen A. McKinley, Shijie Shu, Richard Sims, Jade Skye, Andrew J. Watson, David Willis, and David K. Woolf for their involvement in the development, use, and analysis of the models and data products used here. Daniel Kennedy thanks all the scientists, software engineers, and administrators who contributed to the development of CESM2. We thank Joe Salisbury, Doug Vandemark, Christopher W. Hunt, and Peter Landschutzer, who contributed to the provision of surface ocean CO2 observations for the year 2021 (see Table A5). We also thank Benjamin Pfeil, Rocio Castano-Primo, and Stephen D. Jones of the Ocean Thematic Centre of the EU Integrated Carbon Observation System (ICOS) Research Infrastructure; Eugene Burger of NOAA's Pacific Marine Environmental Laboratory; and Alex Kozyr of NOAA's National Centers for Environmental Information for their contribution to surface ocean CO2 data and metadata management. This is PMEL contribution 5434. We thank the scientists, institutions, and funding agencies responsible for the collection and quality control of the data in SOCAT and the International Ocean Carbon Coordination Project (IOCCP), the Surface Ocean Lower Atmosphere Study (SOLAS), and the Integrated Marine Biosphere Research (IMBeR) program for their support. We thank data providers ObsPack GLOBALVIEWplus v7.0 and NRT v7.2 for atmospheric CO2 observations. We thank the individuals and institutions that provided the databases used for the model evaluations used here. We thank Fortunat Joos, Samar Khatiwala, and Timothy DeVries for providing historical data. Matthew J. McGrath thanks the whole ORCHIDEE group. Ian Harris thanks the Japan Meteorological Agency (JMA) for producing the Japanese 55-year Reanalysis (JRA-55). Anthony P. Walker thanks ORNL, which is managed by UT-Battelle, LLC, for the DOE under contract DE-AC05-1008 00OR22725. Yosuke Niwa thanks CSIRO, EC, EMPA, FMI, IPEN, JMA, LSCE, NCAR, NIES, NILU, NIWA, NOAA, SIO, and TU/NIPR for providing data for NISMON-CO2. Xiangjun Tian thanks Zhe Jin, Yilong Wang, Tao Wang, and Shilong Piao for their contributions to the GONGGA inversion system. Bo Zheng thanks the comments and suggestions from Philippe Ciais and Frederic Chevallier. Frederic Chevallier thanks Marine Remaud, who maintained the atmospheric transport model for the CAMS inversion. Paul I. Palmer thanks Liang Feng and acknowledges ongoing support from the National Centre for Earth Observation. Junjie Liu thanks the Jet Propulsion Laboratory, California Institute of Technology. Wiley Evans thanks the Tula Foundation for funding support. Australian ocean CO2 data were sourced from Australia's Integrated Marine Observing System (IMOS); IMOS is enabled by the National Collaborative Research Infrastructure Strategy (NCRIS). Margot Cronin thanks Anthony English, Clynt Gregory, and Gordon Furey (P&amp;O Maritime Services) for their support.; Nathalie Lefevre thanks the crew of the Cap San Lorenzo and the US IMAGO of IRD Brest for technical support. Henry C. Bittig is grateful for the skilful technical support of Michael Glockzin and Bernd Sadkowiak. Meike Becker and Are Olsen thank Sparebanken Vest/Agenda Vestlandet for their support for the observations on the Statsraad Lehmkuhl. Thanos Gkritzalis thanks the personnel and crew of Simon Stevin. MatthewW. Jones thanks Anthony J. De-Gol for his technical and conceptual assistance with the development of GCP-GridFED. FAOSTAT is funded by FAO member states through their contributions to the FAO Regular Programme; data contributions by national experts are gratefully acknowledged. The views expressed in this paper are the authors' only and do not necessarily reflect those of FAO. Finally, we thank all funders who have supported the individual and joint contributions to this work (see Table A9), the reviewers of this manuscript and previous versions, and the many researchers who have provided feedback.</t>
  </si>
  <si>
    <t>NOV 11</t>
  </si>
  <si>
    <t>10.5194/essd-14-4811-2022</t>
  </si>
  <si>
    <t>8R9DM</t>
  </si>
  <si>
    <t>WOS:000928187000001</t>
  </si>
  <si>
    <t>Usman, AS; Merican, F; Zaki, S; Broady, P; Convey, P; Muangmai, N</t>
  </si>
  <si>
    <t>Usman, Aminu Surajo; Merican, Faradina; Zaki, Syazana; Broady, Paul; Convey, Peter; Muangmai, Narongrit</t>
  </si>
  <si>
    <t>Microcystin production by oscillatorialean cyanobacteria isolated from cryopreserved Antarctic mats</t>
  </si>
  <si>
    <t>HARMFUL ALGAE</t>
  </si>
  <si>
    <t>Microbial mat; Polyphasic characterization; Cyanotoxins; mcyE gene; Polar regions</t>
  </si>
  <si>
    <t>MCMURDO DRY VALLEYS; FRESH-WATER CYANOBACTERIA; BLUE-GREEN-ALGAE; ANATOXIN-A; BENTHIC CYANOBACTERIA; TOXIN PRODUCTION; MORPHOLOGICAL CHARACTERIZATION; GENE-CLUSTER; CIERVA POINT; 1ST REPORT</t>
  </si>
  <si>
    <t>Twenty cyanobacterial strains of eight morphospecies isolated from deep-frozen (-15 degrees C) mat samples originally collected on Ross Island, in Victoria Land, and on the McMurdo Ice Shelf were screened for the presence of genes encoding for production of anatoxins, cylindrospermopsin, microcystin/nodularin and saxitoxin. One strain of each of Microcoleus autumnalis and Phormidesmis priestleyi and two strains of Wilmottia murrayi were found to produce microcystin. No toxin production was detected in the other 16 strains representing five species. The four toxin-producing strains were characterised using both morphological and molecular approaches. Phylogenetic analyses using partial 16S rRNA sequences were consistent with the morphological identification of all four strains. They were all found to contain a fragment of the mcyE gene, which is involved in microcystin biosyn-thesis. ELISA analysis of extracts from cultures of these strains confirmed the presence of low concentrations of microcystin: 0.35 mu g/L in M. autumnalis, &lt;0.15 mu g/L in P. priestleyi, 1.60 mu g/L in W. murrayi strain 1 and 0.9 mu g/L in W. murrayi strain 2. This study includes the first report of microcystin synthesis by W. murrayi.</t>
  </si>
  <si>
    <t>[Usman, Aminu Surajo; Merican, Faradina; Zaki, Syazana] Univ Sains Malaysia, Sch Biol Sci, Minden, Penang, Malaysia; [Broady, Paul] Univ Canterbury, Sch Biol Sci, Christchurch, New Zealand; [Convey, Peter] British Antarctic Survey, Cambridge, England; [Convey, Peter] Univ Johannesburg, Dept Zool, Auckland Pk, South Africa; [Muangmai, Narongrit] Kasetsart Univ, Fac Fisheries, Dept Fishery Biol, Bangkok, Thailand</t>
  </si>
  <si>
    <t>Universiti Sains Malaysia; University of Canterbury; UK Research &amp; Innovation (UKRI); Natural Environment Research Council (NERC); NERC British Antarctic Survey; University of Johannesburg; Kasetsart University</t>
  </si>
  <si>
    <t>Merican, F (corresponding author), Univ Sains Malaysia, Sch Biol Sci, Minden, Penang, Malaysia.</t>
  </si>
  <si>
    <t>Muangmai, Narongrit/W-4073-2019; Convey, Peter/AAV-5728-2020; Sidik Merican, Faradina Merican/F-6785-2019</t>
  </si>
  <si>
    <t>Muangmai, Narongrit/0000-0001-7954-7348; Convey, Peter/0000-0001-8497-9903; Broady, Paul/0000-0002-1204-7231; Surajo Usman, Aminu/0000-0002-9444-4205; Sidik Merican, Faradina Merican/0000-0003-1441-0134</t>
  </si>
  <si>
    <t>Fundamental Research Grant Scheme [203/PBIOLOGI/6711577]; Sultan Mizan Antarctic Research Foundation [304/PBIOLOGI/650854/Y112]; NERC</t>
  </si>
  <si>
    <t>Fundamental Research Grant Scheme; Sultan Mizan Antarctic Research Foundation; NERC(UK Research &amp; Innovation (UKRI)Natural Environment Research Council (NERC))</t>
  </si>
  <si>
    <t>This study was supported by Fundamental Research Grant Scheme (203/PBIOLOGI/6711577) and Sultan Mizan Antarctic Research Foundation (304/PBIOLOGI/650854/Y112). We thank Dr P. Novis (Landcare Research Limited, Lincoln, New Zealand) for curation of the samples for Dr. Paul Broady. We also thank Miss Dinie Eyldira Ismail for transporting the samples to Malaysia. Prof. Peter Convey is supported by NERC core funding to the British Antarctic Survey's `Biodiversity, Evolution and Adaptation' team. We thank Dr. Glenn B. McGregor for providing the culture of Inigngainema pulvinus. We also thank Prof. Wan Maznah Wan Omar, Dr. Japareng Lalung and Dr. Sebastien Lavoue for sharing the culturing and PCR facilities at the School of Biological Sciences and School of Industrial Technology, USM. Finally, we are grateful to two anonymous reviewers for their helpful suggestions.</t>
  </si>
  <si>
    <t>1568-9883</t>
  </si>
  <si>
    <t>1878-1470</t>
  </si>
  <si>
    <t>Harmful Algae</t>
  </si>
  <si>
    <t>10.1016/j.hal.2022.102336</t>
  </si>
  <si>
    <t>7H9IJ</t>
  </si>
  <si>
    <t>WOS:000903509300004</t>
  </si>
  <si>
    <t>Froh, V; Bose, M; Suttle, MD; Nava, J; Folco, L; Williams, LB; Castillo-Rogez, J</t>
  </si>
  <si>
    <t>Froh, Victoria; Bose, Maitrayee; Suttle, Martin D.; Nava, Jacopo; Folco, Luigi; Williams, Lynda B.; Castillo-Rogez, Julie</t>
  </si>
  <si>
    <t>Water-rich C-type asteroids as early solar system carbonate factories</t>
  </si>
  <si>
    <t>ICARUS</t>
  </si>
  <si>
    <t>Micrometeorites; Meteorites; Carbonates; NanoSIMS; Isotopes; Asteroids</t>
  </si>
  <si>
    <t>FINE-GRAINED MICROMETEORITES; AQUEOUS ALTERATION; THERMAL-DECOMPOSITION; ORGANIC-MATTER; ANTARCTIC MICROMETEORITES; ISOTOPIC COMPOSITIONS; ATMOSPHERIC ENTRY; COSMIC SPHERULES; PARENT BODIES; DUST</t>
  </si>
  <si>
    <t>Micrometeorites represent a major potential source of volatiles for the early Earth, although often overlooked due to their small sizes and the effects of atmospheric entry. In this study we explore an unusual-2000 mu m, fine-grained unmelted micrometeorite TAM19B-7 derived from a water-rich C-type asteroid. Previous analysis revealed a unique O-isotope composition and intensely aqueously altered geological history. We investigated its carbon isotopic composition using the NanoSIMS and characterized the carbon-bearing carriers using Raman and Near-Infrared spectroscopy. We found that TAM19B-7 has a 13C enriched bulk composition (delta 13C = +3 +/- 8 %o), including a domain with 13C depletion (delta 13C =-27.1 %o). Furthermore, a few micro-scale domains show 13C enrichments (delta 13C from +12.9 %o to +32.7 %o) suggesting much of the particle's carbon content was reprocessed into fine-grained carbonates, likely calcite. The heavy bulk C-isotope composition of TAM19B-7 indicates either open system gas loss during aqueous alteration or carbonate formation from isotopically heavy soluble organics. Carbonates have been detected on small body surfaces, including across dwarf planet Ceres, and on the C-type asteroids Bennu and Ryugu. The preservation of both carbonates with 13C enrichments and organic carbon with 13C depletion in TAM19B-7, despite having been flash heated to high temperatures (&lt;1000 C), demonstrates the importance of cosmic dust as a volatile reservoir.</t>
  </si>
  <si>
    <t>[Froh, Victoria; Bose, Maitrayee; Williams, Lynda B.] Arizona State Univ, Sch Earth &amp; Space Explorat, Tempe, AZ 85287 USA; [Suttle, Martin D.; Folco, Luigi] Open Univ, Sch Phys Sci, Walton Hall, Milton Keynes MK7 6AA, England; [Suttle, Martin D.] Univ Pisa, Dipartimento Sci Terra, I-56126 Pisa, Italy; [Nava, Jacopo] Univ Padua, Dept Geosci, Via G Gradenigo 6, I-35131 Padua, Italy; [Folco, Luigi] Univ Pisa, CISUP, Ctr Integraz Strumentaz, Lungarno Pacinotti 43, I-56126 Pisa, Italy; [Castillo-Rogez, Julie] CALTECH, Jet Prop Lab, 4800 Oak Grove Dr, Pasadena, CA 91109 USA</t>
  </si>
  <si>
    <t>Arizona State University; Arizona State University-Tempe; Open University - UK; University of Pisa; University of Padua; University of Pisa; National Aeronautics &amp; Space Administration (NASA); NASA Jet Propulsion Laboratory (JPL); California Institute of Technology</t>
  </si>
  <si>
    <t>Bose, M (corresponding author), Arizona State Univ, Sch Earth &amp; Space Explorat, Tempe, AZ 85287 USA.</t>
  </si>
  <si>
    <t>Maitrayee.Bose@asu.edu</t>
  </si>
  <si>
    <t>Arizona Space Grant Consortium; Italian Programma Nazionale delle Ricerche in Antartide [PNRA16 00029]</t>
  </si>
  <si>
    <t>Arizona Space Grant Consortium; Italian Programma Nazionale delle Ricerche in Antartide</t>
  </si>
  <si>
    <t>Special thanks to the funding provided by the Arizona Space Grant Consortium for Froh, startup funding for Bose from ASU, and the NanoSIMS assistance from Dr. Ziliang Jin. The collection and curation of the Antarctic micrometeorite investigated in this study was funded by the Italian Programma Nazionale delle Ricerche in Antartide (grant number PNRA16 00029). We thank Cristian Carli and Stefania Stefani for the access and support to the spectroscopy laboratory at the INAF Rome. We thank Dr. Matthew Genge and another anonymous reviewer for their comments that greatly improved the manuscript.</t>
  </si>
  <si>
    <t>0019-1035</t>
  </si>
  <si>
    <t>1090-2643</t>
  </si>
  <si>
    <t>Icarus</t>
  </si>
  <si>
    <t>10.1016/j.icarus.2022.115300</t>
  </si>
  <si>
    <t>6X6IC</t>
  </si>
  <si>
    <t>WOS:000896514300008</t>
  </si>
  <si>
    <t>Goel, V; Morris, A; Moholdt, G; Matsuoka, K</t>
  </si>
  <si>
    <t>Goel, Vikram; Morris, Ashley; Moholdt, Geir; Matsuoka, Kenichi</t>
  </si>
  <si>
    <t>Synthesis of field and satellite data to elucidate recent mass balance of five ice rises in Dronning Maud Land, Antarctica</t>
  </si>
  <si>
    <t>ice rises; mass balance; altimetry; radar; glaciology; Antarctica</t>
  </si>
  <si>
    <t>GLACIER; CLIMATE; SHELVES</t>
  </si>
  <si>
    <t>We investigated mass balance changes over five ice rises in the last few decades near Fimbul and Nivl ice shelves in central Dronning Maud Land. We use the Input-Output Method constrained using field-based geophysical measurements conducted during the austral summers of 2012-14 over three ice rises near the Fimbul Ice Shelf. Further, we use satellite altimetry data (ICESat, ICESat-2, and CryoSat-2) to estimate geodetic mass balance over all five ice rises in recent decades. Both field- and satellite-based estimates show that until 2010, three out of five ice rises were thickening (0.4-0.2 m(ieq) a(-1)) while two were close to balance. However, over the last decade, the ice rises thickening previously started to thin (-0.2--0.6 m(ieq) a(-1)) while the other two remained close to balance. Much of this variability is likely associated with regional surface mass balance trends, with each ice rise exhibiting its characteristics depending on its local glaciological settings.</t>
  </si>
  <si>
    <t>[Goel, Vikram] Minist Earth Sci, Natl Ctr Polar &amp; Ocean Res, Vasco Da Gama, Goa, India; [Morris, Ashley; Moholdt, Geir; Matsuoka, Kenichi] Norwegian Polar Res Inst, Tromso, Norway; [Morris, Ashley] Univ Washington, Dept Earth &amp; Space Sci, Seattle, WA USA</t>
  </si>
  <si>
    <t>Ministry of Earth Sciences (MoES) - India; National Centre for Polar and Ocean Research (NCPOR); Norwegian Polar Institute; University of Washington; University of Washington Seattle</t>
  </si>
  <si>
    <t>Goel, V (corresponding author), Minist Earth Sci, Natl Ctr Polar &amp; Ocean Res, Vasco Da Gama, Goa, India.</t>
  </si>
  <si>
    <t>vikram.goel@outlook.com</t>
  </si>
  <si>
    <t>Goel, Vikram/ABV-7985-2022; Matsuoka, Kenichi/B-7298-2017</t>
  </si>
  <si>
    <t>Goel, Vikram/0000-0002-8393-0195;</t>
  </si>
  <si>
    <t>Ministry of Earth Sciences, India [MoES/Indo-Nor/PS-3/2015]; Research Council of Norway [248780]; Norwegian Antarctic Research Expeditions (NARE); Center for Ice Climate and Ecosystems (ICE) of the Norwegian Polar Institute</t>
  </si>
  <si>
    <t>Ministry of Earth Sciences, India; Research Council of Norway(Research Council of Norway); Norwegian Antarctic Research Expeditions (NARE); Center for Ice Climate and Ecosystems (ICE) of the Norwegian Polar Institute</t>
  </si>
  <si>
    <t>This is a contribution to the India-Norway MADICE project supported by the Ministry of Earth Sciences, India (Grant No. MoES/Indo-Nor/PS-3/2015) and the Research Council of Norway (Grant No. 248780). Field data from the three ice rises in the Fimbul Ice Shelf were obtained with the IceRises project funded by the Norwegian Antarctic Research Expeditions (NARE) and the Center for Ice Climate and Ecosystems (ICE) of the Norwegian Polar Institute.</t>
  </si>
  <si>
    <t>10.3389/feart.2022.975606</t>
  </si>
  <si>
    <t>6P2KB</t>
  </si>
  <si>
    <t>WOS:000890761800001</t>
  </si>
  <si>
    <t>Iwasaki, S; Lembke-Jene, L; Nagashima, K; Arz, HW; Harada, N; Kimoto, K; Lamy, F</t>
  </si>
  <si>
    <t>Iwasaki, Shinya; Lembke-Jene, Lester; Nagashima, Kana; Arz, Helge W.; Harada, Naomi; Kimoto, Katsunori; Lamy, Frank</t>
  </si>
  <si>
    <t>Evidence for late-glacial oceanic carbon redistribution and discharge from the Pacific Southern Ocean</t>
  </si>
  <si>
    <t>ANTARCTIC SEA-ICE; ATMOSPHERIC CO2; OVERTURNING CIRCULATION; EQUATORIAL PACIFIC; PLANKTONIC-FORAMINIFERA; SURFACE WATERS; B/CA RATIOS; CLIMATE; CALCIFICATION; CHEMISTRY</t>
  </si>
  <si>
    <t>Southern Ocean deep-water circulation plays a vital role in the global carbon cycle. On geological time scales, upwelling along the Chilean margin likely contributed to the deglacial atmospheric carbon dioxide rise, but little quantitative evidence exists of carbon storage. Here, we develop an X-ray Micro-Computer-Tomography method to assess foraminiferal test dissolution as proxy for paleo-carbonate ion concentrations ([CO32-]). Our subantarctic Southeast Pacific sediment core depth transect shows significant deep-water [CO32-] variations during the Last Glacial Maximum and Deglaciation (10-22 ka BP). We provide evidence for an increase in [CO32-] during the early-deglacial period (15-19 ka BP) in Lower Circumpolar Deepwater. The export of such low-carbon deep-water from the Pacific to the Atlantic contributed to significantly lowered carbon storage within the Southern Ocean, highlighting the importance of a dynamic Pacific-Southern Ocean deep-water reconfiguration for shaping late-glacial oceanic carbon storage, and subsequent deglacial oceanic-atmospheric CO2 transfer. Evaluation of foraminiferal test dissolution by Computed Tomography scanner provided deep seawater carbonate ion concentration at the Southern Ocean. Quantitative data highlighted the reconfiguration of glacial to deglacial carbon storage followed by oceanic-atmospheric CO2 transfer.</t>
  </si>
  <si>
    <t>[Iwasaki, Shinya; Nagashima, Kana; Harada, Naomi; Kimoto, Katsunori] Japan Agcy Marine Earth Sci &amp; Technol, Res Inst Global Change, Natsushima Cho 2-15, Yokosuka, Kanagawa 2370061, Japan; [Iwasaki, Shinya] Univ Bremen, MARUM Ctr Marine Environm Sci, Leobener Str 8, D-28359 Bremen, Germany; [Lembke-Jene, Lester; Lamy, Frank] Alfred Wegener Inst Helmholtz, Zentrum Polar &amp; Meeresforsch, Alten Hafen 26, D-27568 Bremerhaven, Germany; [Arz, Helge W.] Leibniz Inst Balt Sea Res, D-18119 Rostock, Germany; [Harada, Naomi] Univ Tokyo, Atmospher &amp; Ocean Res Inst, 5-1-5 Kashiwanoha, Kashiwa, Chiba 2778564, Japan</t>
  </si>
  <si>
    <t>Japan Agency for Marine-Earth Science &amp; Technology (JAMSTEC); University of Bremen; Helmholtz Association; Alfred Wegener Institute, Helmholtz Centre for Polar &amp; Marine Research; Leibniz Institut fur Ostseeforschung Warnemunde; University of Tokyo</t>
  </si>
  <si>
    <t>Iwasaki, S (corresponding author), Japan Agcy Marine Earth Sci &amp; Technol, Res Inst Global Change, Natsushima Cho 2-15, Yokosuka, Kanagawa 2370061, Japan.;Iwasaki, S (corresponding author), Univ Bremen, MARUM Ctr Marine Environm Sci, Leobener Str 8, D-28359 Bremen, Germany.</t>
  </si>
  <si>
    <t>siwasaki@marum.de</t>
  </si>
  <si>
    <t>Lembke-Jene, Lester/ABC-6275-2020; Arz, Helge W/A-6659-2013; Lembke-Jene, Lester/F-5084-2013; Nagashima, Kana/F-9369-2016</t>
  </si>
  <si>
    <t>Lembke-Jene, Lester/0000-0002-6873-8533; Arz, Helge Wolfgang/0000-0002-1997-1718; Iwasaki, Shinya/0000-0001-8011-6107; Nagashima, Kana/0000-0003-1180-1121</t>
  </si>
  <si>
    <t>Japan Agency for Marine-Earth Science and Technology; Japan Society for the Promotion of Science (KAKENHI) [25-5427, 17J09017, 15H05712, 16H04961, 24540505, 18H03370]; Alfred Wegener Institute; Cluster of Excellence, The Ocean Floor-Earth's Uncharted Interface - German Research Foundation (DFG)</t>
  </si>
  <si>
    <t>Japan Agency for Marine-Earth Science and Technology; Japan Society for the Promotion of Science (KAKENHI)(Ministry of Education, Culture, Sports, Science and Technology, Japan (MEXT)Japan Society for the Promotion of ScienceGrants-in-Aid for Scientific Research (KAKENHI)); Alfred Wegener Institute; Cluster of Excellence, The Ocean Floor-Earth's Uncharted Interface - German Research Foundation (DFG)(German Research Foundation (DFG))</t>
  </si>
  <si>
    <t>This study used samples and data that were collected during cruise MR16-09_leg.2 under the Joint Research Program between JAMSTEC and COPS Sur-Austral, the University of Concepcion. We also used samples that were collected during the cruise PS75. We thank Prof. Carina B. Lange and the crews of the R/V Mirai and Polarstern. This study was supported by the Japan Agency for Marine-Earth Science and Technology, Japan Society for the Promotion of Science Fellowship Grant 25-5427 and 17J09017 to S.I., Grants-In-Aid for Scientific Research (KAKENHI) Grant Numbers 15H05712 to N.H., 16H04961 and 24540505 to K.K., and 18H03370 to K.N., Alfred Wegener Institute, and the Cluster of Excellence, The Ocean Floor-Earth's Uncharted Interface, funded by the German Research Foundation (DFG).</t>
  </si>
  <si>
    <t>10.1038/s41467-022-33753-4</t>
  </si>
  <si>
    <t>6C9DZ</t>
  </si>
  <si>
    <t>WOS:000882306500002</t>
  </si>
  <si>
    <t>Nash, M</t>
  </si>
  <si>
    <t>Nash, Meredith</t>
  </si>
  <si>
    <t>Who should work in Antarctica? An exploration of the individual, social and cultural aspects of expeditioner recruitment</t>
  </si>
  <si>
    <t>Antarctic; gender; organizational culture; polar; space</t>
  </si>
  <si>
    <t>WINTER-OVER; PERSONALITY; PERFORMANCE; PSYCHOLOGY; PERSONNEL; POLAR; BEHAVIOR; ENVIRONMENTS; ADAPTATION; PREDICTORS</t>
  </si>
  <si>
    <t>Drawing on qualitative interview data, this article explores past and current Australian Antarctic Program expeditioners' perceptions of the personal qualities of expeditioners alongside their views of Antarctic station culture and expeditioner recruitment procedures. The findings reveal study participants shared similar views about expeditioner personal qualities. However, the findings also suggest that the current demographic similarity of expeditioners (e.g. the overrepresentation of white men) is perhaps much more important for assessing organizational fit than the Program might be selecting for. Participants described the ways in which interpersonal interactions and the social environment can deeply affect an expeditioner's experience of the station culture. Women in this study pointed to the connection between the overrepresentation of men in the expeditioner population and a potential male bias in station culture. These results extend the existing literature on person-culture fit in Antarctica. To conclude, I provide recommendations for diversifying the expeditioner applicant pool in Antarctica that can also be applied to the selection of other workforces in isolated, confined and extreme work environments, including space missions.</t>
  </si>
  <si>
    <t>[Nash, Meredith] Australian Natl Univ, Coll Engn &amp; Comp Sci, Acton, ACT 2601, Australia</t>
  </si>
  <si>
    <t>Australian National University</t>
  </si>
  <si>
    <t>Nash, M (corresponding author), Australian Natl Univ, Coll Engn &amp; Comp Sci, Acton, ACT 2601, Australia.</t>
  </si>
  <si>
    <t>Meredith.Nash@anu.edu.au</t>
  </si>
  <si>
    <t>Nash, Meredith/O-6178-2019</t>
  </si>
  <si>
    <t>Thanks are given to the Australian Antarctic Division for funding this study.</t>
  </si>
  <si>
    <t>PII S0954102022000372</t>
  </si>
  <si>
    <t>10.1017/S0954102022000372</t>
  </si>
  <si>
    <t>WOS:000881856500001</t>
  </si>
  <si>
    <t>Kataoka, R; Sato, T; Kato, C; Kadokura, A; Kozai, M; Miyake, S; Murase, K; Yoshida, L; Tomikawa, Y; Munakata, K</t>
  </si>
  <si>
    <t>Kataoka, Ryuho; Sato, Tatsuhiko; Kato, Chihiro; Kadokura, Akira; Kozai, Masayoshi; Miyake, Shoko; Murase, Kiyoka; Yoshida, Lihito; Tomikawa, Yoshihiro; Munakata, Kazuoki</t>
  </si>
  <si>
    <t>Local environmental effects on cosmic ray observations at Syowa Station in the Antarctic: PARMA-based snow cover correction for neutrons and machine learning approach for neutrons and muons</t>
  </si>
  <si>
    <t>Galactic cosmic rays; Solar modulation; Ground observation; Neutron monitor; Muon detector; Seasonal variation; Snow cover; Machine learning; Echo State Network</t>
  </si>
  <si>
    <t>WASAVIES WARNING SYSTEM; AVIATION EXPOSURE; MODULATION</t>
  </si>
  <si>
    <t>Solar modulation of galactic cosmic rays around the solar minimum in 2019-2020 looks different in the secondary neutrons and muons observed at the ground. To compare the solar modulation of primary cosmic rays in detail, we must remove the possible seasonal variations caused by the atmosphere and surrounding environment. As such surrounding environment effects, we evaluate the snow cover effect on neutron count rate and the atmospheric temperature effect on muon count rate, both simultaneously observed at Syowa Station in the Antarctic (69.01 degrees S, 39.59 degrees E). A machine learning technique, Echo State Network (ESN), is applied to estimate both effects hidden in the observed time series of the count rate. We show that the ESN with the input of GDAS data (temperature time series at 925, 850, 700, 600, 500, 400, 300, 250, 200, 150, 100, 70, 50, 30, and 20 hPa) at the local position can be useful for both the temperature correction for muons and snow cover correction for neutrons. The corrected muon count rate starts decreasing in late 2019, preceding the corrected neutron count rate which starts decreasing in early 2020, possibly indicating the rigidity-dependent solar modulation in the heliosphere.</t>
  </si>
  <si>
    <t>[Kataoka, Ryuho; Kadokura, Akira; Tomikawa, Yoshihiro] Natl Inst Polar Res, Tachikawa, Tokyo 1908518, Japan; [Kataoka, Ryuho; Kadokura, Akira; Murase, Kiyoka; Yoshida, Lihito; Tomikawa, Yoshihiro] Grad Univ Adv Studies, Tachikawa, Tokyo 1908518, Japan; [Kataoka, Ryuho] Okinawa Inst Sci Technol Grad Univ, Onna Son, Okinawa 9040495, Japan; [Sato, Tatsuhiko] Japan Atom Energy Agcy, Tokai, Ibaraki 3191184, Japan; [Kato, Chihiro; Munakata, Kazuoki] Shinshu Univ, Matsumoto, Nagano 3908621, Japan; [Kadokura, Akira; Kozai, Masayoshi] Res Org Informat &amp; Syst, Joint Support Ctr Data Sci Res, Polar Environm Data Sci Ctr, Tachikawa, Tokyo 1900014, Japan; [Miyake, Shoko] Natl Inst Technol KOSEN, Hitachinaka, Ibaraki 3128508, Japan</t>
  </si>
  <si>
    <t>Research Organization of Information &amp; Systems (ROIS); National Institute of Polar Research (NIPR) - Japan; Graduate University for Advanced Studies - Japan; Okinawa Institute of Science &amp; Technology Graduate University; Japan Atomic Energy Agency; Shinshu University; Research Organization of Information &amp; Systems (ROIS)</t>
  </si>
  <si>
    <t>Kataoka, R (corresponding author), Natl Inst Polar Res, Tachikawa, Tokyo 1908518, Japan.;Kataoka, R (corresponding author), Grad Univ Adv Studies, Tachikawa, Tokyo 1908518, Japan.;Kataoka, R (corresponding author), Okinawa Inst Sci Technol Grad Univ, Onna Son, Okinawa 9040495, Japan.</t>
  </si>
  <si>
    <t>kataoka.ryuho@nipr.ac.jp</t>
  </si>
  <si>
    <t>Sato, Tatsuhiko/G-5964-2012; KATAOKA, RYUHO/AAJ-4570-2020; Tomikawa, Yoshihiro/D-5304-2012</t>
  </si>
  <si>
    <t>Tomikawa, Yoshihiro/0000-0002-5652-3017</t>
  </si>
  <si>
    <t>Grants-in-Aid for Scientific Research [22KK0049] Funding Source: KAKEN</t>
  </si>
  <si>
    <t>Grants-in-Aid for Scientific Research(Ministry of Education, Culture, Sports, Science and Technology, Japan (MEXT)Japan Society for the Promotion of ScienceGrants-in-Aid for Scientific Research (KAKENHI))</t>
  </si>
  <si>
    <t>10.1051/swsc/2022033</t>
  </si>
  <si>
    <t>6C2DG</t>
  </si>
  <si>
    <t>WOS:000881831200001</t>
  </si>
  <si>
    <t>Luis, AJ; Alam, M; Jawak, SD</t>
  </si>
  <si>
    <t>Luis, Alvarinho J.; Alam, Mahfooz; Jawak, Shridhar D.</t>
  </si>
  <si>
    <t>Spatiotemporal change analysis for snowmelt over the Antarctic ice shelves using scatterometers</t>
  </si>
  <si>
    <t>FRONTIERS IN REMOTE SENSING</t>
  </si>
  <si>
    <t>antarctic ice shelves; surface melt; active remote sensing; scatterometer; air temperature</t>
  </si>
  <si>
    <t>SURFACE MELT; GEORGE-VI; SUMMER MELT; BREAK-UP; GREENLAND; PENINSULA; GLACIERS; DISINTEGRATION; QUIKSCAT; COLLAPSE</t>
  </si>
  <si>
    <t>Using Scatterometer-based backscatter data, the spatial and temporal melt dynamics of Antarctic ice shelves were tracked from 2000 to 2018. We constructed melt onset and duration maps for the whole Antarctic ice shelves using a pixel-based, adaptive threshold approach based on backscatter during the transition period between winter and summer. We explore the climatic influences on the spatial extent and timing of snowmelt using meteorological data from automatic weather stations and investigate the climatic controls on the spatial extent and timing of snowmelt. Melt extent usually starts in the latter week of November, peaks in the end of December/January, and vanishes in the first/second week of February on most ice shelves. On the Antarctic Peninsula (AP), the average melt was 70 days, with the melt onset on 20 November for almost 50% of the region. In comparison to the AP, the Eastern Antarctic experienced less melt, with melt lasting 40-50 days. For the Larsen-C, Shackleton, Amery, and Fimbul ice shelf, there was a substantial link between melt area and air temperature. A significant correlation is found between increased temperature advection and high melt area for the Amery, Shackleton, and Larsen-C ice shelves. The time series of total melt area showed a decreasing trend of -196 km2/yr which was statistical significant at 97% interval. The teleconnections discovered between melt area and the combined anomalies of Southern Annular Mode and Southern Oscillation Index point to the high southern latitudes being coupled to the global climate system. The most persistent and intensive melt occurred on the AP, West Ice Shelf, Shackleton Ice Shelf, and Amery Ice Shelf, which should be actively monitored for future stability.</t>
  </si>
  <si>
    <t>[Luis, Alvarinho J.] Minist Earth Sci, Polar Remote Sensing Sect, Natl Ctr Polar &amp; Ocean Res, Vasco Da Gama, Goa, India; [Alam, Mahfooz] RMSI Pvt Ltd, Noida, Uttar Pradesh, India; [Jawak, Shridhar D.] SIOS Knowledge Ctr, Svalbard Integrated Arctic Earth Observing Syst SI, Svalbard, Norway</t>
  </si>
  <si>
    <t>Luis, AJ (corresponding author), Minist Earth Sci, Polar Remote Sensing Sect, Natl Ctr Polar &amp; Ocean Res, Vasco Da Gama, Goa, India.</t>
  </si>
  <si>
    <t>alvluis1@gmail.com</t>
  </si>
  <si>
    <t>Jawak, Shridhar/G-9678-2012</t>
  </si>
  <si>
    <t>Jawak, Shridhar/0000-0002-0648-3109</t>
  </si>
  <si>
    <t>2673-6187</t>
  </si>
  <si>
    <t>FRONT REMOTE SENS</t>
  </si>
  <si>
    <t>Front. Remote Sens.</t>
  </si>
  <si>
    <t>NOV 10</t>
  </si>
  <si>
    <t>10.3389/frsen.2022.953733</t>
  </si>
  <si>
    <t>R4SX2</t>
  </si>
  <si>
    <t>WOS:001064270200001</t>
  </si>
  <si>
    <t>Horiuchi, K; Kato, S; Ohtani, K; Kurita, N; Tsutaki, S; Nakazawa, F; Motoyama, H; Kawamura, K; Tazoe, H; Akata, N; Yamagata, T; Matsuzaki, H</t>
  </si>
  <si>
    <t>Horiuchi, Kazuho; Kato, Shinji; Ohtani, Kou; Kurita, Naoyuki; Tsutaki, Shun; Nakazawa, Fumio; Motoyama, Hideaki; Kawamura, Kenji; Tazoe, Hirofumi; Akata, Naofumi; Yamagata, Takeyasu; Matsuzaki, Hiroyuki</t>
  </si>
  <si>
    <t>Spatial variations of 10Be in surface snow along the inland traverse route of Japanese Antarctic Research Expeditions</t>
  </si>
  <si>
    <t>NUCLEAR INSTRUMENTS &amp; METHODS IN PHYSICS RESEARCH SECTION B-BEAM INTERACTIONS WITH MATERIALS AND ATOMS</t>
  </si>
  <si>
    <t>Beryllium 10; Antarctica; Wet deposition; Dry deposition; Dronning Maud Land; Dome F</t>
  </si>
  <si>
    <t>ICE CORE BE-10; SOLAR-ACTIVITY; DOME-FUJI; CLIMATE INFLUENCES; LAW DOME; GREENLAND; RECORDS; VARIABILITY; PROXY; MALT</t>
  </si>
  <si>
    <t>To contribute further to understanding of the nature of Be-10 deposition in Antarctica, we determined Be-10 concentrations in surface snow samples obtained along the inland traverse route of the 59th and 60th Japanese Antarctic Research Expeditions (JAREs) in eastern Dronning Maud Land. The Be-10 concentrations ranged between 3.7 x 10(3) and 8.6 x 10(4) atoms/g. When plotted against latitude, they showed a clear trend of increasing concentration southward with an upward inflection point at around 75 degrees S (elevation 3.5 km) for the 59th JARE. Comparison with both snow accumulation rate and delta O-18 data suggests that the inflection point divides the dominant deposition regime into two different groups: wet deposition (north of 75 degrees S) and dry deposition with slight enhancement of Be-10 fallout further inland (south of 75 degrees S). Additional factors associated with Be-10 transport from the stratosphere are also proposed.</t>
  </si>
  <si>
    <t>[Horiuchi, Kazuho; Ohtani, Kou] Hirosaki Univ, Grad Sch Sci &amp; Technol, Hirosaki, Japan; [Kato, Shinji] Hirosaki Univ, Fac Sci &amp; Technol, Hirosaki, Japan; [Kurita, Naoyuki] Nagoya Univ, Inst Space Earth Environm Res, Nagoya, Japan; [Tsutaki, Shun; Nakazawa, Fumio; Motoyama, Hideaki; Kawamura, Kenji] Natl Inst Polar Res, Tachikawa, Japan; [Tazoe, Hirofumi; Akata, Naofumi] Hirosaki Univ, Inst Radiat Emergency Med, Hirosaki, Japan; [Yamagata, Takeyasu; Matsuzaki, Hiroyuki] Univ Tokyo, Micro Anal Lab, Tandem Accelerator MALT, Tokyo, Japan; [Kato, Shinji] Natl Tax Agcy, Hachinohe Off, Tokyo, Japan</t>
  </si>
  <si>
    <t>Hirosaki University; Hirosaki University; Nagoya University; Research Organization of Information &amp; Systems (ROIS); National Institute of Polar Research (NIPR) - Japan; Hirosaki University; University of Tokyo</t>
  </si>
  <si>
    <t>Horiuchi, K (corresponding author), Hirosaki Univ, Grad Sch Sci &amp; Technol, Hirosaki, Japan.</t>
  </si>
  <si>
    <t>kh@hirosaki-u.ac.jp</t>
  </si>
  <si>
    <t>Tsutaki, Shun/AAQ-4678-2021; Tazoe, Hirofumi/AAK-3316-2021; Kawamura, Kenji/C-7660-2011</t>
  </si>
  <si>
    <t>Tsutaki, Shun/0000-0002-5716-225X; Tazoe, Hirofumi/0000-0003-3711-1225; Kawamura, Kenji/0000-0003-1163-700X</t>
  </si>
  <si>
    <t>JSPS KAKENHI [19H00706, 18K19851, 20H04964, 20H05643]; Grants-in-Aid for Scientific Research [20H00639, 22K12364, 22H00735, 20H05643, 20H04978]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</si>
  <si>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</si>
  <si>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all members of the 59th and 60th Japanese Antarctic Research Expedition teams. We also thank the staff of the Micro Analysis Laboratory, Tandem accelerator, The University of Tokyo for their help with the accelerator mass spectrometry analysis, and we are grateful to Ms. Reina. Sakashita for help with sample preparation in the earliest stage of the experiments. This paper has been significantly improved by the helpful and constructive comments of two anonymous reviewers and the Editor, Dr. David Fink. This work was supported by JSPS KAKENHI Grant Numbers 19H00706, 18K19851, 20H04964, and 20H05643. We thank James Buxton, MSc, from Edanz (https://jp.edanz.com /ac) for editing a draft of this manuscript.</t>
  </si>
  <si>
    <t>0168-583X</t>
  </si>
  <si>
    <t>1872-9584</t>
  </si>
  <si>
    <t>NUCL INSTRUM METH B</t>
  </si>
  <si>
    <t>Nucl. Instrum. Methods Phys. Res. Sect. B-Beam Interact. Mater. Atoms</t>
  </si>
  <si>
    <t>10.1016/j.nimb.2022.10.018</t>
  </si>
  <si>
    <t>Instruments &amp; Instrumentation; Nuclear Science &amp; Technology; Physics, Atomic, Molecular &amp; Chemical; Physics, Nuclear</t>
  </si>
  <si>
    <t>Instruments &amp; Instrumentation; Nuclear Science &amp; Technology; Physics</t>
  </si>
  <si>
    <t>6Z1HM</t>
  </si>
  <si>
    <t>WOS:000897532400001</t>
  </si>
  <si>
    <t>Hui, ZC; Liu, J; Chevalier, M; Wei, X; Chen, P; Zhang, J; Peng, TJ; Zhou, XW</t>
  </si>
  <si>
    <t>Hui, Zhengchuang; Liu, Jia; Chevalier, Manuel; Wei, Xiao; Chen, Peng; Zhang, Jun; Peng, Tingjiang; Zhou, Xuewen</t>
  </si>
  <si>
    <t>Multiple forcing on Late Miocene East Asian Summer Monsoon Precipitation Variability in NE Tibetan Plateau</t>
  </si>
  <si>
    <t>CATENA</t>
  </si>
  <si>
    <t>Pollen; Probability density function; Global cooling Tectonic uplift; Eccentricity forcing</t>
  </si>
  <si>
    <t>ANTARCTIC ICE-SHEET; SOUTH CHINA SEA; GLOBAL MONSOON; LOESS PLATEAU; CENOZOIC UPLIFT; TIANSHUI BASIN; CLIMATE; EVOLUTION; MA; MIDDLE</t>
  </si>
  <si>
    <t>Understanding how the East Asian Summer Monsoon (EASM) evolves at different time scales affords a valuable opportunity to reveal the interactions between the hydrosphere, land, oceans and atmosphere. However, the pre -Quaternary evolutionary history and the driving forces that controlled its variability in response to different boundary conditions remain enigmatic. Here, we focus on the late Miocene (-10.8 to 6.3 Ma) - a period of profound climatic and topographic changes in Asia - and present a quantitative reconstruction of EASM pre-cipitation using the probabilistic CREST (Climate Reconstruction Software) method with a high temporal reso-lution pollen record from the Tianshui Basin in NE Tibetan Plateau (TP). Our new EASM precipitation record shows a slowly decreasing long-term trend during the period of -10.8-7.6 Ma, which was followed by a strengthening period from -7.6 to 6.3 Ma with a large amplitude of precipitation variability. We argue the decrease and increase periods of EASM precipitation were primarily response to late Miocene global cooling and TP uplift after -8 Ma, respectively. These results are supported by existing climate model simulations, wherein both global climate and paleotopography play key roles in regulating the long-term evolution of late Miocene EASM. On orbital time scales, the precipitation time series exhibit a dominant -410 kyr eccentricity periodicity, with lower (higher) values intervals corresponding to eccentricity minima (maximum). The synchronous phase of the precipitation and eccentricity records indicate that the eccentricity exerts a dominant influence on the EASM precipitation cycles via its modulation of the precessional amplitude, and the period expansion and contraction of Antarctic ice sheet (AIS) also probably play an important role during that time. Our quantitative late Miocene EASM precipitation records provide new insight into late Miocene EASM precipitation evolution and its relation with global climate, paleotopography, and cryosphere.</t>
  </si>
  <si>
    <t>[Hui, Zhengchuang; Wei, Xiao; Chen, Peng; Zhou, Xuewen] Henan Univ, Coll Geog &amp; Environm Sci, Natl Demonstrat Ctr Environm &amp; Planning, Henan Key Lab Earth Syst Observat &amp; Modeling, Kaifeng 475004, Peoples R China; [Liu, Jia] Chinese Acad Sci, CAS Key Lab Trop Forest Ecol, Xishuangbanna Trop Bot Garden, Mengla 666303, Peoples R China; [Chevalier, Manuel] Rhein Friedrich Wilhelms Univ Bonn, Inst Geosci, Sect Meteorol, Hugel 20, D-53121 Bonn, Germany; [Zhang, Jun; Peng, Tingjiang] Lanzhou Univ, Coll Earth &amp; Environm Sci, Key Lab Western Chinas Environm Syst, Minist Educ, Lanzhou 730000, Peoples R China</t>
  </si>
  <si>
    <t>Henan University; Chinese Academy of Sciences; Xishuangbanna Tropical Botanical Garden, CAS; University of Bonn; Lanzhou University</t>
  </si>
  <si>
    <t>Hui, ZC (corresponding author), Henan Univ, Coll Geog &amp; Environm Sci, Natl Demonstrat Ctr Environm &amp; Planning, Henan Key Lab Earth Syst Observat &amp; Modeling, Kaifeng 475004, Peoples R China.;Liu, J (corresponding author), Chinese Acad Sci, CAS Key Lab Trop Forest Ecol, Xishuangbanna Trop Bot Garden, Mengla 666303, Peoples R China.</t>
  </si>
  <si>
    <t>huizhch@henu.edu.cn; liujia@xtbg.ac.cn</t>
  </si>
  <si>
    <t>li, jixiang/JXN-7599-2024; Chevalier, Manuel/W-6949-2019; lin, wang/JCA-7967-2023</t>
  </si>
  <si>
    <t>Chevalier, Manuel/0000-0002-8183-9881;</t>
  </si>
  <si>
    <t>National Natural Sciences Foundation of China [41877445, 41771209]; Second Tibetan Plateau Scientific Expedition [2019QZKK0704]; State Program of the National Natural Sciences Foundation of China [41330745]; German Federal Ministry of Education and Research (BMBF) [FKZ: 01LP1926D]</t>
  </si>
  <si>
    <t>National Natural Sciences Foundation of China(National Natural Science Foundation of China (NSFC)); Second Tibetan Plateau Scientific Expedition; State Program of the National Natural Sciences Foundation of China(National Natural Science Foundation of China (NSFC)); German Federal Ministry of Education and Research (BMBF)(Federal Ministry of Education &amp; Research (BMBF))</t>
  </si>
  <si>
    <t>This work was co-supported by the National Natural Sciences Foundation of China (Grant Nos. 41877445 and 41771209) , the Second Tibetan Plateau Scientific Expedition (Grant Nos. 2019QZKK0704) and the State Program of the National Natural Sciences Foundation of China (Grant No. 41330745) . Manuel Chevalier was supported by the German Federal Ministry of Education and Research (BMBF) as a Research for Sustainability initiative (FONA; https:// www.fona.de/en, last access: 25 June 2022) through the PalMod Phase II project (grant no. FKZ: 01LP1926D) . Special thanks to Editor Markus Egli and two anonymous reviewers for their constructive suggestions and valuable comments on this paper.</t>
  </si>
  <si>
    <t>0341-8162</t>
  </si>
  <si>
    <t>1872-6887</t>
  </si>
  <si>
    <t>Catena</t>
  </si>
  <si>
    <t>10.1016/j.catena.2022.106752</t>
  </si>
  <si>
    <t>Geosciences, Multidisciplinary; Soil Science; Water Resources</t>
  </si>
  <si>
    <t>Geology; Agriculture; Water Resources</t>
  </si>
  <si>
    <t>6R4PH</t>
  </si>
  <si>
    <t>WOS:000892286600002</t>
  </si>
  <si>
    <t>Newsham, KK; Misiak, M; Goodall-Copestake, WP; Dahl, MS; Boddy, L; Hopkins, DW; Davey, ML</t>
  </si>
  <si>
    <t>Newsham, Kevin K.; Misiak, Marta; Goodall-Copestake, William P. P.; Dahl, Malin Stapnes; Boddy, Lynne; Hopkins, David W. W.; Davey, Marie L. L.</t>
  </si>
  <si>
    <t>Experimental warming increases fungal alpha diversity in an oligotrophic maritime Antarctic soil</t>
  </si>
  <si>
    <t>Antarctica; climate warming; open top chambers (OTCs); organic carbon; organic nitrogen; soil fungal community diversity; yeasts</t>
  </si>
  <si>
    <t>ALTERS COMMUNITY COMPOSITION; SPECIES-DIVERSITY; DRY; ECTOMYCORRHIZAL; PENINSULA; TUNDRA; ITS2; IDENTIFICATION; CONSISTENT; BACTERIAL</t>
  </si>
  <si>
    <t>The climate of maritime Antarctica has altered since the 1950s. However, the effects of increased temperature, precipitation and organic carbon and nitrogen availability on the fungal communities inhabiting the barren and oligotrophic fellfield soils that are widespread across the region are poorly understood. Here, we test how warming with open top chambers (OTCs), irrigation and the organic substrates glucose, glycine and tryptone soy broth (TSB) influence a fungal community inhabiting an oligotrophic maritime Antarctic fellfield soil. In contrast with studies in vegetated soils at lower latitudes, OTCs increased fungal community alpha diversity (Simpson's index and evenness) by 102-142% in unamended soil after 5 years. Conversely, OTCs had few effects on diversity in substrate-amended soils, with their only main effects, in glycine-amended soils, being attributable to an abundance of Pseudogymnoascus. The substrates reduced alpha and beta diversity metrics by 18-63%, altered community composition and elevated soil fungal DNA concentrations by 1-2 orders of magnitude after 5 years. In glycine-amended soil, OTCs decreased DNA concentrations by 57% and increased the relative abundance of the yeast Vishniacozyma by 45-fold. The relative abundance of the yeast Gelidatrema declined by 78% in chambered soil and increased by 1.9-fold in irrigated soil. Fungal DNA concentrations were also halved by irrigation in TSB-amended soils. In support of regional- and continental-scale studies across climatic gradients, the observations indicate that soil fungal alpha diversity in maritime Antarctica will increase as the region warms, but suggest that the accumulation of organic carbon and nitrogen compounds in fellfield soils arising from expanding plant populations are likely, in time, to attenuate the positive effects of warming on diversity.</t>
  </si>
  <si>
    <t>[Newsham, Kevin K.; Misiak, Marta; Goodall-Copestake, William P. P.] British Antarctic Survey, NERC, Cambridge, England; [Misiak, Marta; Boddy, Lynne] Cardiff Univ, Sch Biosci, Cardiff, England; [Goodall-Copestake, William P. P.] Scottish Assoc Marine Sci, Oban, Scotland; [Dahl, Malin Stapnes; Davey, Marie L. L.] Univ Oslo, Dept Biol, Scotland, Oslo, Norway; [Hopkins, David W. W.] Scotlands Rural Coll, Edinburgh, Scotland; [Davey, Marie L. L.] Norwegian Inst Nat Res, Trondheim, Norway</t>
  </si>
  <si>
    <t>UK Research &amp; Innovation (UKRI); Natural Environment Research Council (NERC); NERC British Antarctic Survey; Cardiff University; UHI Millennium Institute; University of Oslo; Scotland's Rural College; Norwegian Institute Nature Research</t>
  </si>
  <si>
    <t>Newsham, KK (corresponding author), British Antarctic Survey, NERC, Cambridge, England.</t>
  </si>
  <si>
    <t>Davey, Marie Louise/AAC-8282-2020; Goodall-Copestake, William P/C-1061-2011</t>
  </si>
  <si>
    <t>Davey, Marie Louise/0000-0003-3911-8770; Hopkins, David/0000-0003-0953-8643; Goodall-Copestake, Will/0000-0003-3586-9091</t>
  </si>
  <si>
    <t>UK Natural Environment Research Council (Antarctic Funding Initiative); NERC GW4+ Doctoral Training Partnership studentship [NE/D00893X/1]; [NE/L002434/1]</t>
  </si>
  <si>
    <t>UK Natural Environment Research Council (Antarctic Funding Initiative); NERC GW4+ Doctoral Training Partnership studentship;</t>
  </si>
  <si>
    <t>This study was supported by the UK Natural Environment Research Council (Antarctic Funding Initiative award NE/D00893X/1, NERC GW4+ Doctoral Training Partnership studentship NE/L002434/1 and core funding to the British Antarctic Survey Long Term Monitoring and Survey Programme).</t>
  </si>
  <si>
    <t>10.3389/fmicb.2022.1050372</t>
  </si>
  <si>
    <t>6O0EZ</t>
  </si>
  <si>
    <t>WOS:000889921100001</t>
  </si>
  <si>
    <t>Jezek, KC; Johnson, JT; Tsang, L; Brogioni, M; Macelloni, G; Aksoy, M; Kaleschke, L; Wang, S; Leduc-Leballeur, M; Yardim, C; Andrews, M; Xu, H; Demir, O; Tan, S; Miller, J</t>
  </si>
  <si>
    <t>Jezek, K. C.; Johnson, J. T.; Tsang, L.; Brogioni, M.; Macelloni, G.; Aksoy, M.; Kaleschke, L.; Wang, S.; Leduc-Leballeur, M.; Yardim, C.; Andrews, M.; Xu, H.; Demir, O.; Tan, S.; Miller, J.</t>
  </si>
  <si>
    <t>A review of recent developments in low-frequency ultra-wideband microwave radiometry for studies of the cryosphere</t>
  </si>
  <si>
    <t>ice sheets; sea ice; remote sensing; radiometry; microwave</t>
  </si>
  <si>
    <t>COMPLEX-DIELECTRIC-CONSTANT; ICE; EMISSION</t>
  </si>
  <si>
    <t>Over the past decade, a series of airborne experiments in the Arctic and Antarctica explored microwave emission from sea ice and ice sheets at frequencies from 0.5 to 2 GHz. The experiments were motivated by the fact that lower frequencies penetrate deeper into a frozen surface, thus offering the possibility to measure physical temperatures at great depths in ice sheets and, subsequently, other unique geophysical observables including sea ice salinity. These experiments were made feasible by recent engineering advances in electronics, antenna design, and noise removal algorithms when operating outside of protected bands in the electromagnetic spectrum. These technical advances permit a new type of radiometer that not only operates at low frequency, but also obtains continuous spectral information over the band from 0.5 to 2 GHz. Spectral measurements facilitate an understanding of the physical processes controlling emission and also support the interpretation of results from single frequency instruments. This paper reviews the development of low-frequency, wide band radiometry and its application to cryosphere science over the past 10 years. The paper summarizes the engineering design of an airborne instrument and the associated algorithms to mitigate radio frequency interference. Theoretical models of emission built around the morphologic and electrical properties of cryospheric components are also described that identify the dominant physical processes contributing to emission spectra. New inversion techniques for geophysical parameter retrieval are summarized for both Arctic and Antarctic scenarios. Examples that illustrate how the measurements are used to inform on glaciological problems are presented. The paper concludes with a description of new instrument concepts that are foreseen to extend the technology into operation from space.</t>
  </si>
  <si>
    <t>[Jezek, K. C.; Johnson, J. T.; Yardim, C.; Andrews, M.] Ohio State Univ, Columbus, OH 43210 USA; [Tsang, L.; Xu, H.] Univ MI, Ann Arbor, MI USA; [Brogioni, M.; Macelloni, G.; Leduc-Leballeur, M.] Nello Carrara Inst Appl Phys, Florence, Italy; [Aksoy, M.] State Univ NY, Albany, NY USA; [Kaleschke, L.] Helmholtz Zentrum Polar &amp; Meeresforsch, Alfred Wegner Inst, Bremerhaven, Germany; [Wang, S.] Penn State Univ, University Pk, PA USA; [Demir, O.] Skyworks Solut Inc, Thousand Oaks, CA USA; [Tan, S.] Univ IL, Urbana, IL USA; [Tan, S.] Zhejang Univ, Hangzhou, Peoples R China; [Miller, J.] Univ CO, CIRES, Boulder, CO USA</t>
  </si>
  <si>
    <t>University System of Ohio; Ohio State University; Consiglio Nazionale delle Ricerche (CNR); Istituto di Fisica Applicata Nello Carrara (IFAC-CNR); Helmholtz Association; Alfred Wegener Institute, Helmholtz Centre for Polar &amp; Marine Research; Pennsylvania Commonwealth System of Higher Education (PCSHE); Pennsylvania State University; Pennsylvania State University - University Park; Skyworks Solutions, Inc.; University of Colorado System; University of Colorado Boulder</t>
  </si>
  <si>
    <t>Jezek, KC (corresponding author), Ohio State Univ, Columbus, OH 43210 USA.</t>
  </si>
  <si>
    <t>jezek.1@osu.edu</t>
  </si>
  <si>
    <t>Leduc-Leballeur, Marion/AAK-9880-2021</t>
  </si>
  <si>
    <t>Leduc-Leballeur, Marion/0000-0001-7579-7024; Miller, J. Z./0000-0003-1452-1627</t>
  </si>
  <si>
    <t>NASA; NASA</t>
  </si>
  <si>
    <t>NASA(National Aeronautics &amp; Space Administration (NASA)); NASA(National Aeronautics &amp; Space Administration (NASA))</t>
  </si>
  <si>
    <t>Funding from NASA.</t>
  </si>
  <si>
    <t>10.3389/feart.2022.1029216</t>
  </si>
  <si>
    <t>6O4GJ</t>
  </si>
  <si>
    <t>WOS:000890200600001</t>
  </si>
  <si>
    <t>Barkin, JS</t>
  </si>
  <si>
    <t>Barkin, J. Samuel</t>
  </si>
  <si>
    <t>Blue Governance in the Arctic and Antarctic: Private Fisheries Certification and the Law of the Sea</t>
  </si>
  <si>
    <t>GLOBAL ENVIRONMENTAL POLITICS</t>
  </si>
  <si>
    <t>[Barkin, J. Samuel] Univ Massachusetts Boston, Global Governance, Boston, MA 02125 USA</t>
  </si>
  <si>
    <t>University of Massachusetts System; University of Massachusetts Boston</t>
  </si>
  <si>
    <t>Barkin, JS (corresponding author), Univ Massachusetts Boston, Global Governance, Boston, MA 02125 USA.</t>
  </si>
  <si>
    <t>MIT PRESS</t>
  </si>
  <si>
    <t>ONE ROGERS ST, CAMBRIDGE, MA 02142-1209 USA</t>
  </si>
  <si>
    <t>1526-3800</t>
  </si>
  <si>
    <t>1536-0091</t>
  </si>
  <si>
    <t>GLOBAL ENVIRON POLIT</t>
  </si>
  <si>
    <t>Glob. Environ. Polit.</t>
  </si>
  <si>
    <t>Environmental Studies; International Relations; Political Science</t>
  </si>
  <si>
    <t>Environmental Sciences &amp; Ecology; International Relations; Government &amp; Law</t>
  </si>
  <si>
    <t>6F8FI</t>
  </si>
  <si>
    <t>WOS:000884293400014</t>
  </si>
  <si>
    <t>Säring, F; Veit-Köhler, G; Seifert, D; Liskow, I; Link, H</t>
  </si>
  <si>
    <t>Saering, Friederike; Veit-Koehler, Gritta; Seifert, Derya; Liskow, Iris; Link, Heike</t>
  </si>
  <si>
    <t>Sea-ice-related environmental drivers affect meiofauna and macrofauna communities differently at large scales (Southern Ocean, Antarctic)</t>
  </si>
  <si>
    <t>Benthos; Meiofauna; Macrofauna; Food availability; Sea-ice cover; Weddell Sea; Antarctic Peninsula; Community composition</t>
  </si>
  <si>
    <t>WEDDELL SEA; DEEP-SEA; CLIMATE-CHANGE; BENTHIC COMMUNITIES; SHELF SEDIMENTS; BIOGENIC SILICA; ORGANIC-CARBON; FOOD BANKS; PENINSULA; PHYTOPLANKTON</t>
  </si>
  <si>
    <t>The structure and drivers of Southern Ocean meiofauna and macrofauna were investigated together in one extensive study. From the tip of the Antarctic Peninsula to the southeastern Weddell Sea, we classified the investigated stations into 5 categories according to their summer sea-ice cover: (I) none (Drake Passage), (II) irregular (Bransfield Strait), (III) seasonal (northwestern Weddell Sea), (IV) high (South Filchner Trough), and (V) constant (North Filchner Trough). The categories differed significantly in primary-production-related characteristics in the water column and food availability at the seafloor. Almost all ice-cover categories differed significantly in meiofauna communities (32-500 mu m, 20 taxa, 585 825 individuals). Fewer regions differed significantly in macrofauna (&gt;500 mu m, 19 taxa, 3974 individuals) or the combined meiofauna and macrofauna communities. Environmental drivers explained &gt;66% of the variation among different communities and differed for the faunal size classes: for meiofauna (84.2%), sea-ice cover (1 yr) and availability of fresh food (chlorophyll a [chl a]) were most important, whereas 1 yr ice cover, chl a, and total organic carbon were decisive drivers for macrofauna (66.6%). Grain size, water depth, water-column chl a, long-term ice cover, seafloor temperature, and the carbon/nitrogen ratio influenced communities to a lesser extent. We demonstrated a stronger relationship with sea-ice cover in meiofauna communities than in macrofauna communities, and we recommend including meiofauna in future assessments of the influence of environmental changes on Southern Ocean ecosystems.</t>
  </si>
  <si>
    <t>[Saering, Friederike; Link, Heike] Univ Rostock, Fac Interdisciplinary Res, Dept Maritime Syst, D-18059 Rostock, Germany; [Saering, Friederike; Link, Heike] Univ Rostock, Fac Math &amp; Nat Sci, Inst Biol Sci, D-18059 Rostock, Germany; [Veit-Koehler, Gritta] Senckenberg Meer, German Ctr Marine Biodivers Res DZMB, D-26382 Wilhelmshaven, Germany; [Seifert, Derya] Christian Albrechts Univ Kiel, Fac Math &amp; Nat Sci, Inst Ecosyst Res, D-24098 Kiel, Germany; [Liskow, Iris] Leibniz Inst Baltic Sea Res Warnemunde, Dept Marine Nitrogen Cycling, D-18119 Rostock, Germany</t>
  </si>
  <si>
    <t>University of Rostock; University of Rostock; Senckenberg Gesellschaft fur Naturforschung (SGN); University of Kiel; Leibniz Institut fur Ostseeforschung Warnemunde</t>
  </si>
  <si>
    <t>Säring, F (corresponding author), Univ Rostock, Fac Interdisciplinary Res, Dept Maritime Syst, D-18059 Rostock, Germany.;Säring, F (corresponding author), Univ Rostock, Fac Math &amp; Nat Sci, Inst Biol Sci, D-18059 Rostock, Germany.</t>
  </si>
  <si>
    <t>friederike.saering@uni-rostock.de</t>
  </si>
  <si>
    <t>Weith, Friederike/HNP-8763-2023</t>
  </si>
  <si>
    <t>Weith, Friederike/0000-0002-7306-8263; Link, Heike/0000-0002-8484-845X</t>
  </si>
  <si>
    <t>Meereisportal [REKLIM-2013-04]; Deutsche Forschungsgemeinschaft (DFG) SPP 1158 Antarctic Research [LI 2313/3-1, LI 2313/6-1, VE 260/10-1]; AWI [AWI_PS81_03, AWI_PS96_02]</t>
  </si>
  <si>
    <t>Meereisportal; Deutsche Forschungsgemeinschaft (DFG) SPP 1158 Antarctic Research(German Research Foundation (DFG)National Health &amp; Medical Research Council (NHMRC) of Australia); AWI</t>
  </si>
  <si>
    <t>Marco Bruhn, Annika Hellmann, Stephan Durst, Jan Schuckenbrock, and Leon Hoffman (Senckenberg am Meer Wilhelmshaven); Freija Hauquier and Laura Duran Suja (Ghent University, Belgium); and Andreas Bick (University of Rostock) are thanked for helping with classification of meiofauna and macrofauna. We thank Ben Behrend (University of Rostock) for contributing to environmental data analyses. We gratefully acknowledge Fynn Warnke (Alfred-Wegener-Institute for Polar and Marine Research, [AWI], Germany) for providing the ice-cover data (1 December 2003 to 1 April 2016) from Meereisportal www.meereisportal.de (grant: REKLIM-2013-04) and for a briefing on QGIS. Thanks are also due to the crew of RV 'Polarstern' and chief scientists Julian Gutt (PS 81) and Michael Schroder (PS 96, both AWI) for allowing sample collection on board. The members of the OFOS Team Dieter Piepenburg (Kiel University, Germany) and Alexandra Segelken-Voigt (University of Oldenburg, Germany) are thanked for information by video survey on board. Michael Schroder and his team (AWI) are thanked for water-column samplings. Yasemin Bodur (Senckenberg am Meer), Freija Hauquier, Dieter Piepenburg, and Enrique Isla (Institut de Ciencies del Mar, Barcelona, Spain) helped with logistics and sampling during the cruises. The present study was funded by the Deutsche Forschungsgemeinschaft (DFG) SPP 1158 Antarctic Research (LI 2313/3-1, LI 2313/6-1 and VE 260/10-1). Support was given by the AWI (Grants AWI_PS81_03, AWI_PS96_02). We also thank Anne Thistle for editing and language correction, which improved this manuscript.</t>
  </si>
  <si>
    <t>10.3354/meps14188</t>
  </si>
  <si>
    <t>6F8DR</t>
  </si>
  <si>
    <t>WOS:000884288800002</t>
  </si>
  <si>
    <t>Giribet, G; Shaw, M; Lord, A; Derkarabetian, S</t>
  </si>
  <si>
    <t>Giribet, Gonzalo; Shaw, Matthew; Lord, Arianna; Derkarabetian, Shahan</t>
  </si>
  <si>
    <t>Closing a biogeographic gap: a new pettalid genus from South Australia (Arachnida : Opiliones : Cyphophthalmi : Pettalidae) with a UCE-based phylogeny of Cyphophthalmi</t>
  </si>
  <si>
    <t>arachnid; biogeography; Gondwana; mite harvestmen; phylogenomics; UCEs; ultra-conserved elements; vicariance</t>
  </si>
  <si>
    <t>MITE HARVESTMEN; ULTRACONSERVED ELEMENTS; MOLECULAR PHYLOGENY; SEQUENCE ALIGNMENT; CLADISTIC-ANALYSIS; WET TROPICS; EVOLUTIONARY; AUSTROPURCELLIA; STYLOCELLIDAE; MARKERS</t>
  </si>
  <si>
    <t>Pettalidae is a family of mite harvestmen that inhabits the former circum-Antarctic Gondwanan terranes, including southern South America, South Africa, Madagascar, Sri Lanka, Australia and New Zealand. Australia is home to two pettalid genera, Austropurcellia, in northern New South Wales and Queensland, and Karripurcellia, in Western Australia, until now showing a large distributional gap between these two parts of the Australian continent. Here we report specimens of a new pettalid from South Australia, Archaeopurcellia eureka, gen. et sp. nov., closing this distributional gap of Australian pettalids. Phylogenetic analyses using traditional Sanger markers as well as ultra-conserved elements (UCEs) reveal that the new genus is related to the Chilean Chileogovea, instead of any of the other East Gondwanan genera. This relationship of an Australian species to a South American clade can be explained by the Antarctic land bridge between these two terranes, a connection that was maintained with Australia until 45 Ma. The UCE dataset also shows the promise of using museum specimens to resolve relationships within Pettalidae and Cyphophthalmi.</t>
  </si>
  <si>
    <t>[Giribet, Gonzalo; Lord, Arianna; Derkarabetian, Shahan] Harvard Univ, Dept Organ &amp; Evolutionary Biol, Museum Comparat Zool, 26 Oxford St, Cambridge, MA 02138 USA; [Shaw, Matthew] South Australian Museum, North Terrace, Adelaide, SA 5000, Australia</t>
  </si>
  <si>
    <t>Harvard University; South Australian Museum</t>
  </si>
  <si>
    <t>Giribet, G (corresponding author), Harvard Univ, Dept Organ &amp; Evolutionary Biol, Museum Comparat Zool, 26 Oxford St, Cambridge, MA 02138 USA.</t>
  </si>
  <si>
    <t>ggiribet@g.harvard.edu</t>
  </si>
  <si>
    <t>Giribet, Gonzalo/P-1086-2015</t>
  </si>
  <si>
    <t>Giribet, Gonzalo/0000-0002-5467-8429; Derkarabetian, Shahan/0000-0002-9163-9277</t>
  </si>
  <si>
    <t>Museum of Comparative Zoology; Wetmore Colles Fund</t>
  </si>
  <si>
    <t>This work was conducted with internal funds from the Museum of Comparative Zoology. Published by a grant from the Wetmore Colles Fund.</t>
  </si>
  <si>
    <t>10.1071/IS22043</t>
  </si>
  <si>
    <t>6J1TT</t>
  </si>
  <si>
    <t>WOS:000883682600001</t>
  </si>
  <si>
    <t>Jones, EM; Henley, SF; van Leeuwe, MA; Stefels, J; Meredith, MP; Fenton, M; Venables, HJ</t>
  </si>
  <si>
    <t>Jones, Elizabeth M.; Henley, Sian F.; van Leeuwe, Maria A.; Stefels, Jacqueline; Meredith, Michael P.; Fenton, Mairi; Venables, Hugh J.</t>
  </si>
  <si>
    <t>Carbon and nutrient cycling in Antarctic landfast sea ice from winter to summer</t>
  </si>
  <si>
    <t>NORTHERN MARGUERITE BAY; INORGANIC CARBON; HIGH-RESOLUTION; SEASONAL CYCLE; RYDER BAY; OCEAN ACIDIFICATION; ORGANIC-MATTER; WEDDELL SEA; WEST; MARINE</t>
  </si>
  <si>
    <t>Seasonal cycling in carbon, alkalinity, and nutrients in landfast sea ice in Hangar Cove, Adelaide Island, West Antarctic Peninsula, were investigated during winter, spring, and summer 2014-2015. Temporal dynamics were driven by changes in the ice-sea physicochemical conditions, ice-algal community composition, and organic matter production. Winter sea ice was enriched with dissolved inorganic carbon (DIC) and inorganic nutrients from organic matter remineralization. Variations in alkalinity (Alk) and DIC indicated that abiotic calcium carbonate (ikaite) precipitation had taken place. Relative to other nutrients, low phosphate (PO4) concentrations potentially resulted from co-precipitation with ikaite. Seawater flooding and meltwater induced variability in the physical and biogeochemical properties in the upper ice in spring where nutrient resupply supported haptophyte productivity and increased particulate organic carbon (POC) in the interstitial layer. Rapid nitrate (NO3) and DIC (&lt; 165 mu mol kg(-1)) uptake occurred alongside substantial build-up of algal biomass (746 mu g chlorophyll a L-1) and POC (6191 mu mol L-1) during summer. Silicic acid drawdown followed NO3 depletion by approximately 1 month with a shift to diatom-dominated communities. Accumulation of PO4 in the lower ice layers in summer likely resulted from PO4 released during ikaite dissolution in the presence of biofilms. Increased Alk : DIC ratios in the lower ice and under-ice water suggested that ikaite dissolution buffered against meltwater dilution and enhanced the potential for atmospheric CO2 uptake. This study revealed strong seasonality in carbon and nutrient cycling in landfast sea ice and showed the importance of sea ice in biogeochemical cycling in seasonally ice-covered waters around Antarctica.</t>
  </si>
  <si>
    <t>[Jones, Elizabeth M.] Univ Groningen, Ctr Energy &amp; Environm Sci, Groningen, Netherlands; [Jones, Elizabeth M.] Univ Utrecht, Dept Ocean Syst, NIOZ Royal Netherlands Inst Sea Res, Texel, Netherlands; [Henley, Sian F.] Univ Edinburgh, Sch GeoSci, Edinburgh, Midlothian, Scotland; [van Leeuwe, Maria A.; Stefels, Jacqueline] Univ Groningen, Groningen Inst Evolutionary Life Sci, Groningen, Netherlands; [Meredith, Michael P.; Fenton, Mairi; Venables, Hugh J.] British Antarctic Survey, Cambridge, England; [Fenton, Mairi] Heriot Watt Univ, Lyell Ctr Earth &amp; Marine Sci &amp; Technol, Edinburgh, Midlothian, Scotland; [Jones, Elizabeth M.] Fram Ctr, Inst Marine Res, Tromso, Norway</t>
  </si>
  <si>
    <t>University of Groningen; Utrecht University; Royal Netherlands Institute for Sea Research (NIOZ); University of Edinburgh; University of Groningen; UK Research &amp; Innovation (UKRI); Natural Environment Research Council (NERC); NERC British Antarctic Survey; Heriot Watt University; Institute of Marine Research - Norway</t>
  </si>
  <si>
    <t>Jones, EM (corresponding author), Univ Groningen, Ctr Energy &amp; Environm Sci, Groningen, Netherlands.;Jones, EM (corresponding author), Univ Utrecht, Dept Ocean Syst, NIOZ Royal Netherlands Inst Sea Res, Texel, Netherlands.;Jones, EM (corresponding author), Fram Ctr, Inst Marine Res, Tromso, Norway.</t>
  </si>
  <si>
    <t>elizabeth.jones@hi.no</t>
  </si>
  <si>
    <t>Henley, Sian Frances/0000-0003-1221-1983; van Leeuwe, Maria/0000-0002-9572-4700; Jones, Elizabeth/0000-0001-7660-0238</t>
  </si>
  <si>
    <t>Netherlands Polar Program (NPP) of the NWO [866.13.006]; Independent Research Fellowship of the UK Natural Environment Research Council [NE/K010034/1]; NWO under the NPP [866.10.101, 866.14.101]; UK Natural Environment Research Council; NERC [NE/W004933/1, NE/K010034/1] Funding Source: UKRI</t>
  </si>
  <si>
    <t>Netherlands Polar Program (NPP) of the NWO; Independent Research Fellowship of the UK Natural Environment Research Council; NWO under the NPP; UK Natural Environment Research Council(UK Research &amp; Innovation (UKRI)Natural Environment Research Council (NERC)); NERC(UK Research &amp; Innovation (UKRI)Natural Environment Research Council (NERC))</t>
  </si>
  <si>
    <t>The authors gratefully acknowledge BAS, Royal Netherlands Institute for Sea Research (NIOZ), and Netherlands Organization for Scientific Research (NWO) for the opportunity to conduct fieldwork at the Dirck Gerritsz and Bonner laboratories at Rothera Research Station. Particular thanks to S Heiser and S Pountney for assistance with sample collection and O. Legge and B. Delille for discussions on ice sampling. The authors acknowledge S. Ossebaar at the Royal NIOZ and M. Woodward at Plymouth Marine Laboratory for macronutrient analyses. This work was part of postdoctoral research (E.M. Jones) at the University of Groningen (partly) funded by the Netherlands Polar Program (NPP) of the NWO (866.13.006). S.F. Henley was funded by an Independent Research Fellowship of the UK Natural Environment Research Council (NE/K010034/1). M.A. van Leeuwe and J. Stefels were funded by NWO under the NPP (866.10.101 and 866.14.101). RaTS is a component of the BAS Polar Oceans research program, funded by the UK Natural Environment Research Council. The authors are grateful for the constructive and valuable comments from the Editor in Chief, Associate Editor and anonymous reviewers that have substantially improved the quality of the manuscript. This work contributes to the aims of the BEPSII network (Biogeochemical Exchange Processes at Ice-Sea Interfaces).</t>
  </si>
  <si>
    <t>10.1002/lno.12260</t>
  </si>
  <si>
    <t>D4CH3</t>
  </si>
  <si>
    <t>Green Published, hybrid, Green Accepted</t>
  </si>
  <si>
    <t>WOS:000882268400001</t>
  </si>
  <si>
    <t>Render, J; Bryson, JFJ; Ebert, S; Brennecka, GA</t>
  </si>
  <si>
    <t>Render, Jan; Bryson, James F. J.; Ebert, Samuel; Brennecka, Gregory A.</t>
  </si>
  <si>
    <t>Disk transport rates from Ti isotopic signatures of refractory inclusions</t>
  </si>
  <si>
    <t>ALUMINUM-RICH INCLUSIONS; EARLY SOLAR-SYSTEM; AQUEOUS ALTERATION; CARBONACEOUS CHONDRITES; METEORITE; TITANIUM; CONSTRAINTS; CALCIUM; NEBULA; OXYGEN</t>
  </si>
  <si>
    <t>The early solar system was a dynamic period during which the formation of early solids set into motion the process of planet building. Although both astrophysical observations and theoretical modeling demonstrate the presence of widespread transport of material, we lack concrete quantitative constraints on timings, distances, and mechanisms thereof. To trace these transport processes, one needs objects of known early formation times and these objects would need to be distributed throughout parent bodies with known accretion times and distances. Generally, these criteria are met by regular (i.e., non-fractionated and unidentified nuclear and excluding hibonite-rich) Ca-Al-rich inclusions (CAIs) as these objects formed very early and close to the young Sun and contain distinctive nucleosynthetic isotope anomalies that permit provenance tracing. However, nucleosynthetic isotopic signatures of such refractory inclusions have so far primarily been analyzed in chondritic meteorites that formed within similar to 4 AU from the Sun. Here, we investigate Ti isotopic signatures of four refractory inclusions from the ungrouped carbonaceous chondrite WIS 91600 that was previously suggested to have formed beyond similar to 10 AU from the Sun. We show that these inclusions exhibit correlated excesses in Ti-50 and Ti-46 and lack large Ti isotopic anomalies that would otherwise be indicative of more enigmatic refractory materials with unknown formation ages. Instead, these isotope systematics suggest the inclusions to be genetically related to regular CAIs commonly found in other chondrites that have a broadly known formation region and age. Collectively, this implies that a common population of CAIs was distributed over the inner similar to 10 AU within similar to 3.5 Myr, yielding an average (minimum) speed for the transport of millimeter-scale material in the early solar system of similar to 1 cm s(-1).</t>
  </si>
  <si>
    <t>[Render, Jan; Brennecka, Gregory A.] Lawrence Livermore Natl Lab, 7000 East Ave, Livermore, CA USA; [Bryson, James F. J.] Univ Oxford, Dept Earth Sci, South Parks Rd, Oxford OX1 3AN, England; [Ebert, Samuel] Univ Munster, Inst Planetol, Wilhelm Klemm Str 10, D-48149 Munster, Germany</t>
  </si>
  <si>
    <t>United States Department of Energy (DOE); Lawrence Livermore National Laboratory; University of Oxford; University of Munster</t>
  </si>
  <si>
    <t>Render, J (corresponding author), Lawrence Livermore Natl Lab, 7000 East Ave, Livermore, CA USA.</t>
  </si>
  <si>
    <t>render1@llnl.gov</t>
  </si>
  <si>
    <t>Render, Jan/0000-0002-6534-9129; Ebert, Samuel/0000-0003-0169-924X; Bryson, James/0000-0002-5675-8545</t>
  </si>
  <si>
    <t>Sofja Kovalevskaja Award from the Alexander von Humboldt Foundation; Laboratory Directed Research and Development program at LLNL [20-ERD-001]; U.S. Department of Energy by Lawrence Livermore National Laboratory [DE-AC52-07NA27344, LLNL-JRNL-831252]; Deutsche Forschungsgemeinschaft, Germany (DFG, German Research Foundation) [463342295]; NSF; NASA; Projekt DEAL</t>
  </si>
  <si>
    <t>Sofja Kovalevskaja Award from the Alexander von Humboldt Foundation(Alexander von Humboldt Foundation); Laboratory Directed Research and Development program at LLNL(United States Department of Energy (DOE)); U.S. Department of Energy by Lawrence Livermore National Laboratory(United States Department of Energy (DOE)); Deutsche Forschungsgemeinschaft, Germany (DFG, German Research Foundation)(German Research Foundation (DFG)); NSF(National Science Foundation (NSF)); NASA(National Aeronautics &amp; Space Administration (NASA)); Projekt DEAL</t>
  </si>
  <si>
    <t>This work was supported by a Sofja Kovalevskaja Award from the Alexander von Humboldt Foundation to G.A.B. as well as by the Laboratory Directed Research and Development program at LLNL under proposal number 20-ERD-001. This study was performed under the auspices of the U.S. Department of Energy by Lawrence Livermore National Laboratory under contract DE-AC52-07NA27344 with release number LLNL-JRNL-831252. This work was partly funded by the Deutsche Forschungsgemeinschaft, Germany (DFG, German Research Foundation)project number 463342295. Z. Torrano is thanked for insightful discussions regarding FUN CAIs. The authors are furthermore grateful to A. Trinquier and A. Davis for constructive reviews that helped improve the manuscript, as well as Y. Marrocchi for efficient editorial handling.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Open Access funding enabled and organized by Projekt DEAL.</t>
  </si>
  <si>
    <t>10.1111/maps.13923</t>
  </si>
  <si>
    <t>WOS:000883137500001</t>
  </si>
  <si>
    <t>Shrestha, P; Karmacharya, J; Han, SR; Lee, JH; Park, H; Oh, TJ</t>
  </si>
  <si>
    <t>Shrestha, Prasansah; Karmacharya, Jayram; Han, So-Ra; Lee, Jun Hyuck; Park, Hyun; Oh, Tae-Jin</t>
  </si>
  <si>
    <t>Complete Genome Sequence and Comparative Genome Analysis of Variovorax sp. Strains PAMC28711, PAMC26660, and PAMC28562 and Trehalose Metabolic Pathways in Antarctica Isolates</t>
  </si>
  <si>
    <t>INTERNATIONAL JOURNAL OF MICROBIOLOGY</t>
  </si>
  <si>
    <t>DATABASE; GLUCOAMYLASE; MUTAGENESIS; TREHALASES; ENZYMES</t>
  </si>
  <si>
    <t>The complete genomes of Variovorax strains were analyzed and compared along with the genomes of Variovorax strains PAMC28711, PAMC28562, and PAMC26660, Antarctic isolates. The genomic information was collected from the NCBI database and the CAZyme database, and Prokka annotation was used to find the genes that encode for the trehalose metabolic pathway. Likewise, CAZyme annotation (dbCAN2 Meta server) was performed to predict the CAZyme family responsible for trehalose biosynthesis and degradation enzymes. Trehalose has been found to respond to osmotic stress and extreme temperatures. As a result, the study of the trehalose metabolic pathway was carried out in harsh environments such as the Antarctic, where bacteria Variovorax sp. strains PAMC28711, PAMC28562, and PAMC26660 can survive in extreme environments, such as cold temperatures. The trehalose metabolic pathway was analyzed via bioinformatics tools, such as the dbCAN2 Meta server, Prokka annotation, Multiple Sequence Alignment, ANI calculator, and PATRIC database, which helped to predict trehalose biosynthesis and degradation genes' involvement in the complete genome of Variovorax strains. Likewise, MEGA X was used for evolutionary and conserved genes. The complete genomes of Variovorax strains PAMC28711, PAMC26660, and PAMC28562 are circular chromosomes of length (4,320,000, 7,390,000, and 4,690,000) bp, respectively, with GC content of (66.00, 66.00, and 63.70)%, respectively. The GC content of these three Variovorax strains is lower than that of the other Variovorax strains with complete genomes. Strains PAMC28711 and PAMC28562 exhibit three complete trehalose biosynthetic pathways (OtsA/OtsB, TS, and TreY/TreZ), but strain PAMC26660 only possesses one (OtsA/OtsB). Despite the fact that all three strains contain trehalose, only strain PAMC28711 has two trehalases according to CAZyme families (GH37 and GH15). Moreover, among the three Antarctica isolates, only strain PAMC28711 exhibits auxiliary activities (AAs), a CAZyme family. To date, although the Variovorax strains are studied for different purposes, the trehalose metabolic pathways in Variovorax strains have not been reported. Further, this study provides additional information regarding trehalose biosynthesis genes and degradation genes (trehalases) as one of the factors facilitating bacterial survival under extreme environments, and this enzyme has shown potential application in biotechnology fields.</t>
  </si>
  <si>
    <t>[Shrestha, Prasansah; Karmacharya, Jayram; Han, So-Ra; Oh, Tae-Jin] Sun Moon Univ, Grad Sch, Dept Life Sci &amp; Biochem Engn, Asan 31460, South Korea; [Lee, Jun Hyuck] Korea Polar Res Inst, Unit Res Pract Applicat, Incheon 21990, South Korea; [Lee, Jun Hyuck] Univ Sci &amp; Technol, Dept Polar Sci, Incheon 21990, South Korea; [Park, Hyun] Korea Univ, Coll Life Sci &amp; Biotechnol, Div Biotechnol, Seoul 02841, South Korea; [Oh, Tae-Jin] Genome Based Bio IT Convergence Inst, Asan 31460, South Korea; [Oh, Tae-Jin] Sun Moon Univ, Dept Pharmaceut Engn &amp; Biotechnol, Asan 31460, South Korea</t>
  </si>
  <si>
    <t>Sun Moon University; Korea Polar Research Institute (KOPRI); Korea University; Sun Moon University</t>
  </si>
  <si>
    <t>Oh, TJ (corresponding author), Sun Moon Univ, Grad Sch, Dept Life Sci &amp; Biochem Engn, Asan 31460, South Korea.;Oh, TJ (corresponding author), Genome Based Bio IT Convergence Inst, Asan 31460, South Korea.;Oh, TJ (corresponding author), Sun Moon Univ, Dept Pharmaceut Engn &amp; Biotechnol, Asan 31460, South Korea.</t>
  </si>
  <si>
    <t>praisehonour@gmail.com; jayram.karmacharya@gmail.com; 553sora@naver.com; junhyucklee@kopri.re.kr; hpark@korea.ac.kr; tjoh3782@sunmoon.ac.kr</t>
  </si>
  <si>
    <t>Karmacharya, Jayram/0000-0002-7217-6545; Han, So-Ra/0000-0003-2649-1795; Shrestha, Prasansah/0000-0002-7258-1380</t>
  </si>
  <si>
    <t>Ministry of Oceans and Fisheries, Korea [20200610]; Ministry of Oceans and Fisheries, Korea [PM22030]</t>
  </si>
  <si>
    <t>Ministry of Oceans and Fisheries, Korea; Ministry of Oceans and Fisheries, Korea</t>
  </si>
  <si>
    <t>This research was a part of the project titled, Development of potential antibiotic compounds using polar organism resources (20200610, KOPRI grant PM22030), funded by the Ministry of Oceans and Fisheries, Korea.</t>
  </si>
  <si>
    <t>HINDAWI LTD</t>
  </si>
  <si>
    <t>ADAM HOUSE, 3RD FLR, 1 FITZROY SQ, LONDON, W1T 5HF, ENGLAND</t>
  </si>
  <si>
    <t>1687-918X</t>
  </si>
  <si>
    <t>1687-9198</t>
  </si>
  <si>
    <t>INT J MICROBIOL</t>
  </si>
  <si>
    <t>Int. J. Microbiol.</t>
  </si>
  <si>
    <t>NOV 9</t>
  </si>
  <si>
    <t>10.1155/2022/5067074</t>
  </si>
  <si>
    <t>I0ZC7</t>
  </si>
  <si>
    <t>WOS:001000134300001</t>
  </si>
  <si>
    <t>Pittard, ML; Whitehouse, PL; Bentley, MJ; Small, D</t>
  </si>
  <si>
    <t>Pittard, Mark L.; Whitehouse, Pippa L.; Bentley, Michael J.; Small, David</t>
  </si>
  <si>
    <t>An ensemble of Antarctic deglacial simulations constrained by geological observations</t>
  </si>
  <si>
    <t>PARALLEL ICE-SHEET; LAST GLACIAL MAXIMUM; SEA-LEVEL CHANGE; MODEL PISM-PIK; ISOSTATIC-ADJUSTMENT; HOLOCENE DEGLACIATION; CYCLE SIMULATIONS; WEDDELL SEA; ROSS SEA; SHELF</t>
  </si>
  <si>
    <t>The Antarctic ice sheet has the potential to make a significant contribution to future sea-level rise. Understanding this potential and making projections of future ice sheet mass change requires use of numerical models. Confidence in model projections can be improved by hindcasting: testing the model against past ice sheet changes. Robust deglacial model reconstructions are also used to correct satellite gravimetric measurements of current change for glacial isostatic adjustment processes. Here we present a new model ensemble of post-Last Glacial Maximum Antarctic deglaciation reconstructions. The ensemble is generated using the Parallel Ice Sheet Model (PISM) in which we vary a range of parameters including key glaciological controls, basal sediment strength, mantle viscosity, and climate forcing. We test the ensemble results against a database of geological constraints, and develop a new scoring scheme that allows us to determine metrics of model performance against past ice sheet grounding line extent, ice sheet thickness, and thinning rates, as well as present-day ice sheet configuration. We discuss the parameter combinations that lead to the highest-scoring simulations and we also compare our ensemble performance with existing published deglacial models, using the same scoring scheme. Exploring the characteristics of the highest-scoring ensemble members highlights some key features of deglacial behaviour including a relatively narrow range of past excess ice volumes at the LGM, Holocene retreat behind present-day grounding lines with commensurate volume minima, and readvance behaviours. The comparison also allows us to identify areas where more geological data would have high constraining power for ice sheet models.(c) 2022 The Authors. Published by Elsevier Ltd.</t>
  </si>
  <si>
    <t>[Pittard, Mark L.; Whitehouse, Pippa L.; Bentley, Michael J.; Small, David] Univ Durham, Dept Geog, Durham DH1 3LE, England</t>
  </si>
  <si>
    <t>Durham University</t>
  </si>
  <si>
    <t>Bentley, MJ (corresponding author), Univ Durham, Dept Geog, Durham DH1 3LE, England.</t>
  </si>
  <si>
    <t>m.j.bentley@durham.ac.uk</t>
  </si>
  <si>
    <t>Small, David/0000-0001-8381-2060</t>
  </si>
  <si>
    <t>NERC [NE/K003674/1, NE/T011963/1]; NASA [NNX17AG65G]; NSF [PLR-1603799, PLR-1644277]</t>
  </si>
  <si>
    <t>NERC(UK Research &amp; Innovation (UKRI)Natural Environment Research Council (NERC)); NASA(National Aeronautics &amp; Space Administration (NASA)); NSF(National Science Foundation (NSF))</t>
  </si>
  <si>
    <t>The work was conducted as part of NERC grant NE/K003674/1 to MB and PLW. DS is supported by NERC Fellowship NE/T011963/1. We thank the Durham University facility for Advanced Research Computing (Hamilton) and the UK Archer facility for computation time. We also thank Robert Mulvaney for providing the EDML ice core record, William Roberts for the climate simulation used in climate forcing S3, and to Glenn Milne for providing the GIA Model used to create the time -varying sea level input. Development of PISM is supported by NASA grant NNX17AG65G and NSF grants PLR-1603799 and PLR-1644277. We thank two reviewers for their helpful and thorough comments which helped us clarify and improve the paper.</t>
  </si>
  <si>
    <t>10.1016/j.quascirev.2022.107800</t>
  </si>
  <si>
    <t>6P2BD</t>
  </si>
  <si>
    <t>Green Published, Green Accepted</t>
  </si>
  <si>
    <t>WOS:000890737300003</t>
  </si>
  <si>
    <t>Suganuma, Y; Kaneda, H; Braga, MME; Ishiwa, T; Koyama, T; Newall, JC; Okuno, J; Obase, T; Saito, F; Rogozhina, I; Andersen, JL; Kawamata, M; Hirabayashi, M; Lifton, NA; Fredin, O; Harbor, JM; Stroeven, AP; Abe-Ouchi, A</t>
  </si>
  <si>
    <t>Suganuma, Yusuke; Kaneda, Heitaro; Braga, Martim Mas E.; Ishiwa, Takeshige; Koyama, Takushi; Newall, Jennifer C.; Okuno, Jun'ichi; Obase, Takashi; Saito, Fuyuki; Rogozhina, Irina; Andersen, Jane Lund; Kawamata, Moto; Hirabayashi, Motohiro; Lifton, Nathaniel A.; Fredin, Ola; Harbor, Jonathan M.; Stroeven, Arjen P.; Abe-Ouchi, Ayako</t>
  </si>
  <si>
    <t>Regional sea-level highstand triggered Holocene ice sheet thinning across coastal Dronning Maud Land, East Antarctica</t>
  </si>
  <si>
    <t>GROUNDING LINE RETREAT; EXPOSURE DATA; HALF-LIFE; SURFACE; BE-10; MODEL; RATES; ELEVATION; SHELF; CONSTRAINTS</t>
  </si>
  <si>
    <t>Regional sea-level highstand triggered rapid Holocene upstream thinning of the East Antarctic Ice Sheet in Dronning Maud Land, suggest ice sheet and crustal rebound model simulations constrained by cosmogenic nuclide chronometry. The East Antarctic Ice Sheet stores a vast amount of freshwater, which makes it the single largest potential contributor to future sea-level rise. However, the lack of well-constrained geological records of past ice sheet changes impedes model validation, hampers mass balance estimates, and inhibits examination of ice loss mechanisms. Here we identify rapid ice-sheet thinning in coastal Dronning Maud Land from Early to Middle Holocene (9000-5000 years ago) using a deglacial chronology based on in situ cosmogenic nuclide surface exposure dates from central Dronning Maud Land, in concert with numerical simulations of regional and continental ice-sheet evolution. Regional sea-level changes reproduced from our refined ice-load history show a highstand at 9000-8000 years ago. We propose that sea-level rise and a concomitant influx of warmer Circumpolar Deep Water triggered ice shelf breakup via the marine ice sheet instability mechanism, which led to rapid thinning of upstream coastal ice sheet sectors.</t>
  </si>
  <si>
    <t>[Suganuma, Yusuke; Ishiwa, Takeshige; Okuno, Jun'ichi; Kawamata, Moto; Hirabayashi, Motohiro; Abe-Ouchi, Ayako] Natl Inst Polar Res, 10-3 Midori Cho, Tachikawa, Tokyo 1908518, Japan; [Suganuma, Yusuke; Ishiwa, Takeshige; Okuno, Jun'ichi] Grad Univ Adv Studies SOKENDAI, Tachikawa, Tokyo, Japan; [Kaneda, Heitaro] Chuo Univ, Dept Civil &amp; Environm Engn, Tokyo, Japan; [Braga, Martim Mas E.; Newall, Jennifer C.; Andersen, Jane Lund; Harbor, Jonathan M.; Stroeven, Arjen P.] Stockholm Univ, Dept Phys Geog, Geomorphol &amp; Glaciol, Stockholm, Sweden; [Braga, Martim Mas E.; Newall, Jennifer C.; Harbor, Jonathan M.; Stroeven, Arjen P.] Stockholm Univ, Bolin Ctr Climate Res, Stockholm, Sweden; [Koyama, Takushi] Oita Univ, Dept Geog, Oita, Japan; [Newall, Jennifer C.; Lifton, Nathaniel A.; Harbor, Jonathan M.] Purdue Univ, Dept Earth Atmospher &amp; Planetary Sci, W Lafayette, IN 47907 USA; [Obase, Takashi; Abe-Ouchi, Ayako] Univ Tokyo, Atmosphere Ocean Res Inst, Kashiwa, Chiba, Japan; [Saito, Fuyuki] Japan Agcy Marine Earth Sci &amp; Technol, Yokohama, Kanagawa, Japan; [Rogozhina, Irina] Norwegian Univ Sci &amp; Technol, Dept Geog, Trondheim, Norway; [Andersen, Jane Lund] Aarhus Univ, Dept Geosci, Aarhus, Denmark; [Kawamata, Moto] Publ Works Res Inst, Civil Engn Res Inst Cold Reg, Sapporo, Hokkaido, Japan; [Lifton, Nathaniel A.] Purdue Univ, Dept Phys &amp; Astron, W Lafayette, IN 47907 USA; [Fredin, Ola] Norwegian Univ Sci &amp; Technol, Dept Geosci &amp; Petr, Trondheim, Norway; [Harbor, Jonathan M.] Purdue Univ Global, W Lafayette, IN USA</t>
  </si>
  <si>
    <t>Research Organization of Information &amp; Systems (ROIS); National Institute of Polar Research (NIPR) - Japan; Graduate University for Advanced Studies - Japan; Chuo University; Stockholm University; Oita University; Purdue University System; Purdue University; University of Tokyo; Japan Agency for Marine-Earth Science &amp; Technology (JAMSTEC); Norwegian University of Science &amp; Technology (NTNU); Aarhus University; PWRI: Public Works Research Institute; Purdue University System; Purdue University; Norwegian University of Science &amp; Technology (NTNU); Purdue University Global</t>
  </si>
  <si>
    <t>Suganuma, Y (corresponding author), Natl Inst Polar Res, 10-3 Midori Cho, Tachikawa, Tokyo 1908518, Japan.;Suganuma, Y (corresponding author), Grad Univ Adv Studies SOKENDAI, Tachikawa, Tokyo, Japan.</t>
  </si>
  <si>
    <t>suganuma.yusuke@nipr.ac.jp</t>
  </si>
  <si>
    <t>Andersen, Jane Lund/R-6518-2017; Stroeven, Arjen P/I-7330-2013; Abe-Ouchi, Ayako A/M-6359-2013; Rogozhina, Irina/JFK-1968-2023; Fredin, Ola/ACJ-2359-2022; Lifton, Nathaniel/M-2017-2015</t>
  </si>
  <si>
    <t>Andersen, Jane Lund/0000-0003-2829-6352; Abe-Ouchi, Ayako A/0000-0003-1745-5952; Mas e Braga, Martim/0000-0002-4843-1876; suganuma, yusuke/0000-0003-3516-1317; SAITO, Fuyuki/0000-0001-5935-9614; Lifton, Nathaniel/0000-0002-6976-3298; Rogozhina, Irina/0009-0008-5067-080X; Ishiwa, Takeshige/0000-0002-7566-4421</t>
  </si>
  <si>
    <t>Japanese Antarctic Research program; Norwegian Polar Institute/NARE; SANAE IV Station; JSPS Kakenhi [16H05739, 17H06321, 19H00728, 21H01173]; TOREY Science Foundation; NIPR through Advanced Project [KP-1]; GRAntarctic; Stockholm University; Norwegian Polar Institute -NARE; US National Science Foundation [OPP-1542930]; Swedish Research Council; German Research Foundation; Swedish Research Council [2018-05973]; Grants-in-Aid for Scientific Research [21KK0246] Funding Source: KAKEN</t>
  </si>
  <si>
    <t>Japanese Antarctic Research program; Norwegian Polar Institute/NARE; SANAE IV Station; JSPS Kakenhi(Ministry of Education, Culture, Sports, Science and Technology, Japan (MEXT)Japan Society for the Promotion of ScienceGrants-in-Aid for Scientific Research (KAKENHI)); TOREY Science Foundation; NIPR through Advanced Project; GRAntarctic; Stockholm University; Norwegian Polar Institute -NARE; US National Science Foundation(National Science Foundation (NSF)); Swedish Research Council(Swedish Research Council); German Research Foundation(German Research Foundation (DFG)); Swedish Research Council(Swedish Research Council); Grants-in-Aid for Scientific Research(Ministry of Education, Culture, Sports, Science and Technology, Japan (MEXT)Japan Society for the Promotion of ScienceGrants-in-Aid for Scientific Research (KAKENHI))</t>
  </si>
  <si>
    <t>The field campaign was supported by the Japanese Antarctic Research program, the Norwegian Polar Institute/NARE, and SANAE IV Station. The permission for rock sampling in Antarctica has been approved by the ministry of the Environment, Japan. The study was supported by the JSPS Kakenhi (16H05739; 17H06321; 19H00728; 21H01173), the TOREY Science Foundation, NIPR through Advanced Project (KP-1), GRAntarctic, and MAGIC-DML (through grants from Stockholm University, the Norwegian Polar Institute -NARE, the US National Science Foundation (OPP-1542930), the Swedish Research Council, and the German Research Foundation). The high-resolution model experiments were enabled by resources provided by the Swedish National Infrastructure for Computing (SNIC) at the National Supercomputer Centre (NSC) partially funded by the Swedish Research Council through grant agreement no. 2018-05973. The large-scale ice-sheet model experiments and coupled atmosphere-ocean general circulation model experiments were performed on the Earth Simulator at Japan Agency for Marine-Earth Science and Technology (JAMSTEC). We are grateful for Tomokazu Hokada, Yukihisa Akada, Kenny Matsuoka, and Sven Lidstrom for fieldwork support, Kuni Nishiizumi and Kenji Misawa for technical support during sample processing, Richard S. Jones for thinning rate calculations, and Yukino Ishii, Eriko Ota, and Maki Kubo for assistance with sample preparation. Ikumi Oyabu provided us with the Dome Fuji ice core data. The morphometric protection index red relief image map used in Fig. 2 is refined from the DEM visualization method of Asia Air Survey Co., Ltd. (protected by Japanese Patents 3670274 and 4272146 but open to academic use). The illustration in Fig. 8 was drafted by Miho Sasaoka. Author contributions</t>
  </si>
  <si>
    <t>10.1038/s43247-022-00599-z</t>
  </si>
  <si>
    <t>6G9PW</t>
  </si>
  <si>
    <t>WOS:000885084000001</t>
  </si>
  <si>
    <t>Green, CP; Green, DB; Ratcliffe, N; Thompson, D; Lea, MA; Baylis, AMM; Bond, AL; Bost, CA; Crofts, S; Cuthbert, RJ; González-Solís, J; Morrison, KW; Poisbleau, M; Pütz, K; Rey, AR; Ryan, PG; Sagar, PM; Steinfurth, A; Thiebot, JB; Tierney, M; Whitehead, TO; Wotherspoon, S; Hindell, MA</t>
  </si>
  <si>
    <t>Green, Cara-Paige; Green, David B.; Ratcliffe, Norman; Thompson, David; Lea, Mary-Anne; Baylis, Alastair M. M.; Bond, Alexander L.; Bost, Charles-Andre; Crofts, Sarah; Cuthbert, Richard J.; Gonzalez-Solis, Jacob; Morrison, Kyle W.; Poisbleau, Maud; Putz, Klemens; Rey, Andrea Raya; Ryan, Peter G.; Sagar, Paul M.; Steinfurth, Antje; Thiebot, Jean-Baptiste; Tierney, Megan; Whitehead, Thomas Otto; Wotherspoon, Simon; Hindell, Mark A.</t>
  </si>
  <si>
    <t>Potential for redistribution of post-moult habitat for Eudyptes penguins in the Southern Ocean under future climate conditions</t>
  </si>
  <si>
    <t>GLOBAL CHANGE BIOLOGY</t>
  </si>
  <si>
    <t>climate change; habitat preference models; migration; overwinter; species redistributions; Subantarctic penguins</t>
  </si>
  <si>
    <t>ROCKHOPPER PENGUINS; KING PENGUIN; POPULATION TRENDS; MARION ISLAND; CHRYSOCOME-CHRYSOCOME; CAMPBELL-ISLAND; FORAGING AREAS; RANGE; CHRYSOLOPHUS; PREDATORS</t>
  </si>
  <si>
    <t>Anthropogenic climate change is resulting in spatial redistributions of many species. We assessed the potential effects of climate change on an abundant and widely distributed group of diving birds, Eudyptes penguins, which are the main avian consumers in the Southern Ocean in terms of biomass consumption. Despite their abundance, several of these species have undergone population declines over the past century, potentially due to changing oceanography and prey availability over the important winter months. We used light-based geolocation tracking data for 485 individuals deployed between 2006 and 2020 across 10 of the major breeding locations for five taxa of Eudyptes penguins. We used boosted regression tree modelling to quantify post-moult habitat preference for southern rockhopper (E. chrysocome), eastern rockhopper (E. filholi), northern rockhopper (E. moseleyi) and macaroni/royal (E. chrysolophus and E. schlegeli) penguins. We then modelled their redistribution under two climate change scenarios, representative concentration pathways RCP4.5 and RCP8.5 (for the end of the century, 2071-2100). As climate forcings differ regionally, we quantified redistribution in the Atlantic, Central Indian, East Indian, West Pacific and East Pacific regions. We found sea surface temperature and sea surface height to be the most important predictors of current habitat for these penguins; physical features that are changing rapidly in the Southern Ocean. Our results indicated that the less severe RCP4.5 would lead to less habitat loss than the more severe RCP8.5. The five taxa of penguin may experience a general poleward redistribution of their preferred habitat, but with contrasting effects in the (i) change in total area of preferred habitat under climate change (ii) according to geographic region and (iii) the species (macaroni/royal vs. rockhopper populations). Our results provide further understanding on the regional impacts and vulnerability of species to climate change.</t>
  </si>
  <si>
    <t>[Green, Cara-Paige; Green, David B.; Lea, Mary-Anne; Hindell, Mark A.] Univ Tasmania, Inst Marine &amp; Antarctic Studies, Hobart, Tas, Australia; [Green, David B.; Lea, Mary-Anne; Hindell, Mark A.] Univ Tasmania, ARC Australian Ctr Excellence Antarctic Sci, Inst Marine &amp; Antarctic Studies, Hobart, Tas, Australia; [Ratcliffe, Norman] British Antarctic Survey, Cambridge, England; [Thompson, David; Morrison, Kyle W.; Sagar, Paul M.] Natl Inst Water &amp; Atmospher Res Ltd, Wellington, New Zealand; [Baylis, Alastair M. M.; Tierney, Megan] South Atlantic Environm Res Inst, Stanley, Falkland Island; [Baylis, Alastair M. M.] Macquarie Univ, Sydney, NSW, Australia; [Bond, Alexander L.] Royal Soc Protect Birds, RSPB Ctr Conservat Sci, Sandy, Beds, England; [Bond, Alexander L.] Nat Hist Museum, Bird Grp, Ting, England; [Bost, Charles-Andre] La Rochelle Univ, Ctr Etud Biol Chize, UMR7372, CNRS, Villiers En Bois, France; [Crofts, Sarah] Falklands Conservat, Stanley, Falkland Island; [Cuthbert, Richard J.; Steinfurth, Antje] Royal Soc Protect Birds, Ctr Conservat Sci, Cambridge, England; [Cuthbert, Richard J.] World Land Trust, Blyth House, Halesworth, England; [Gonzalez-Solis, Jacob] Univ Barcelona, Inst Recerca Biodiversitat IRBio, Barcelona, Spain; [Gonzalez-Solis, Jacob] Univ Barcelona, Dept Biol Evolut Ecol &amp; Ciencies Ambientals, Barcelona, Spain; [Poisbleau, Maud] Univ Antwerp, Dept Biol, Behav Ecol &amp; Ecophysiol Grp, Antwerp, Belgium; [Putz, Klemens] Antarctic Res Trust, Bremervorde, Germany; [Rey, Andrea Raya] WCS Representat Argentina, CADIC CONICET, Ushuaia, Argentina; [Ryan, Peter G.; Whitehead, Thomas Otto] Univ Cape Town, DST NRF Ctr Excellence, FitzPatrick Inst African Ornithol, Rondebosch, South Africa; [Thiebot, Jean-Baptiste] Natl Inst Water &amp; Atmospher Res Ltd, Christchurch, New Zealand; [Thiebot, Jean-Baptiste] Hokkaido Univ, Grad Sch Fisheries Sci, Hakodate, Hokkaido, Japan; [Tierney, Megan] Joint Nat Conservat Comm, Peterborough, England; [Wotherspoon, Simon] Australian Antarctic Div, Dept Agr Water &amp; Environm, Kingston, Tas, Australia</t>
  </si>
  <si>
    <t>University of Tasmania; University of Tasmania; UK Research &amp; Innovation (UKRI); Natural Environment Research Council (NERC); NERC British Antarctic Survey; National Institute of Water &amp; Atmospheric Research (NIWA) - New Zealand; Macquarie University; Royal Society for Protection of Birds; Centre National de la Recherche Scientifique (CNRS); CNRS - Institute of Ecology &amp; Environment (INEE); Royal Society for Protection of Birds; University of Barcelona; University of Barcelona; University of Antwerp; Consejo Nacional de Investigaciones Cientificas y Tecnicas (CONICET); National Research Foundation - South Africa; University of Cape Town; National Institute of Water &amp; Atmospheric Research (NIWA) - New Zealand; Hokkaido University; Australian Antarctic Division</t>
  </si>
  <si>
    <t>Green, CP (corresponding author), Univ Tasmania, Inst Marine &amp; Antarctic Studies, 20 Castray Esplanade, Battery Point, Tas 7004, Australia.</t>
  </si>
  <si>
    <t>paige150@gmail.com</t>
  </si>
  <si>
    <t>Baylis, Alastair/H-9471-2019; González-Solís, Jacob/AAB-1161-2019; Bond, Alexander L/A-3786-2010; Hindell, Mark A/K-1131-2013; Poisbleau, Maud/B-9968-2014; Green, David/E-8985-2019; Lea, Mary-Anne/E-9054-2013</t>
  </si>
  <si>
    <t>Baylis, Alastair/0000-0002-5167-0472; Green, David/0000-0002-0346-3129; Ryan, Peter/0000-0002-3356-2056; Lea, Mary-Anne/0000-0001-8318-9299; Bond, Alexander/0000-0003-2125-7238; Gonzalez-Solis, Jacob/0000-0002-8691-9397; Green, Cara-Paige/0000-0002-3582-8321</t>
  </si>
  <si>
    <t>British Ornithologists' Union John &amp; Pat Warham Studentship</t>
  </si>
  <si>
    <t>This study forms part of a PhD funded by a British Ornithologists' Union John &amp; Pat Warham Studentship from a bequest left to the BOU by the late John and Pat Warham for the study of sphenisciform and procellariiform seabirds by a student from Commonwealth countries.</t>
  </si>
  <si>
    <t>1354-1013</t>
  </si>
  <si>
    <t>1365-2486</t>
  </si>
  <si>
    <t>GLOBAL CHANGE BIOL</t>
  </si>
  <si>
    <t>Glob. Change Biol.</t>
  </si>
  <si>
    <t>10.1111/gcb.16500</t>
  </si>
  <si>
    <t>T3VV3</t>
  </si>
  <si>
    <t>WOS:000882562300001</t>
  </si>
  <si>
    <t>Hochmuth, K; Whittaker, JM; Sauermilch, I; Klocker, A; Gohl, K; LaCasce, JH</t>
  </si>
  <si>
    <t>Hochmuth, Katharina; Whittaker, Joanne M.; Sauermilch, Isabel; Klocker, Andreas; Gohl, Karsten; LaCasce, Joseph H.</t>
  </si>
  <si>
    <t>Southern Ocean biogenic blooms freezing-in Oligocene colder climates</t>
  </si>
  <si>
    <t>ANTARCTIC ICE-SHEET; CARBON-DIOXIDE; WILKES LAND; BAROCLINIC INSTABILITY; MIDDLE EOCENE; RISE; GLACIATION; ONSET; CO2; PALEOCEANOGRAPHY</t>
  </si>
  <si>
    <t>Crossing a key atmospheric CO2 threshold triggered a fundamental global climate reorganisation similar to 34 million years ago (Ma) establishing permanent Antarctic ice sheets. Curiously, a more dramatic CO2 decline (similar to 800-400 ppm by the Early Oligocene(similar to 27 Ma)), postdates initial ice sheet expansion but the mechanisms driving this later, rapid drop in atmospheric carbon during the early Oligocene remains elusive and controversial. Here we use marine seismic reflection and borehole data to reveal an unprecedented accumulation of early Oligocene strata (up to 2.2 km thick over 1500 x 500 km) with a major biogenic component in the Australian Southern Ocean. High-resolution ocean simulations demonstrate that a tectonically-driven, one-off reorganisation of ocean currents, caused a unique period where current instability coincided with high nutrient input from the Antarctic continent. This unrepeated and short-lived environment favoured extreme bioproductivity and enhanced sediment burial. The size and rapid accumulation of this sediment package potentially holds similar to 1.067 x 10(15) kg of the 'missing carbon' sequestered during the decline from an Eocene high CO2-world to a mid-Oligocene medium CO2-world, highlighting the exceptional role of the Southern Ocean in modulating long-term climate.</t>
  </si>
  <si>
    <t>[Hochmuth, Katharina] Univ Leicester, Sch Geog Geol &amp; Environm, Leicester, Leics, England; [Hochmuth, Katharina; Whittaker, Joanne M.] Univ Tasmania, Inst Marine &amp; Antarctic Studies, Hobart, Tas, Australia; [Hochmuth, Katharina; Whittaker, Joanne M.] Univ Tasmania, Australian Ctr Excellence Antarctic Sci, Hobart, Tas, Australia; [Sauermilch, Isabel] Univ Utrecht, Fac Geosci, Dept Earth Sci, Utrecht, Netherlands; [Klocker, Andreas; LaCasce, Joseph H.] Univ Oslo, Dept Geosci, Oslo, Norway; [Gohl, Karsten] Alfred Wegener Inst, Helmholtz Ctr Polar &amp; Marine Res, Bremerhaven, Germany; [Klocker, Andreas] NORCE Norwegian Res Ctr, Bjerknes Ctr Climate Res, Bergen, Norway</t>
  </si>
  <si>
    <t>University of Leicester; University of Tasmania; University of Tasmania; Utrecht University; University of Oslo; Helmholtz Association; Alfred Wegener Institute, Helmholtz Centre for Polar &amp; Marine Research; Norwegian Research Centre (NORCE); Bjerknes Centre for Climate Research</t>
  </si>
  <si>
    <t>Hochmuth, K (corresponding author), Univ Leicester, Sch Geog Geol &amp; Environm, Leicester, Leics, England.;Hochmuth, K (corresponding author), Univ Tasmania, Inst Marine &amp; Antarctic Studies, Hobart, Tas, Australia.;Hochmuth, K (corresponding author), Univ Tasmania, Australian Ctr Excellence Antarctic Sci, Hobart, Tas, Australia.</t>
  </si>
  <si>
    <t>Katharina.Hochmuth@utas.edu.au</t>
  </si>
  <si>
    <t>Klocker, Andreas/E-4632-2011; Whittaker, Joanne/B-3695-2010</t>
  </si>
  <si>
    <t>Klocker, Andreas/0000-0002-2038-7922; Whittaker, Joanne/0000-0002-3170-3935; Hochmuth, Katharina/0000-0003-2789-2179; Gohl, Karsten/0000-0002-9558-2116</t>
  </si>
  <si>
    <t>Priority Program IODP of the Deutsche Forschungsgesellschaft (DFG) [GO724/15-1, GO724/-2]; Australian Research Council [DP180102280]; Australian Research Council's Special Research Initiative for Antarctic Gateway Partnership [SR140300001]; Australian Government; Visiting Scholar Scheme of the University of Tasmania</t>
  </si>
  <si>
    <t>Priority Program IODP of the Deutsche Forschungsgesellschaft (DFG)(German Research Foundation (DFG)); Australian Research Council(Australian Research Council); Australian Research Council's Special Research Initiative for Antarctic Gateway Partnership(Australian Research Council); Australian Government(Australian Government); Visiting Scholar Scheme of the University of Tasmania</t>
  </si>
  <si>
    <t>The authors acknowledge funding support through the Priority Program IODP of the Deutsche Forschungsgesellschaft (DFG) under the Grants GO724/15-1 and GO724/-2 (K.G. and K.H.) and the Australian Research Council DP180102280 (J.M.W.), the Australian Research Council's Special Research Initiative for Antarctic Gateway Partnership (Project ID SR140300001) (I.S., J.M.W. and A.K.). This research was undertaken with the assistance of resources from the National Computational Infrastructure, which is supported by the Australian Government. K.H. and J.H.L. acknowledge the Visiting Scholar Scheme of the University of Tasmania.</t>
  </si>
  <si>
    <t>10.1038/s41467-022-34623-9</t>
  </si>
  <si>
    <t>6H0XW</t>
  </si>
  <si>
    <t>WOS:000885175100001</t>
  </si>
  <si>
    <t>Yang, YD; Li, F</t>
  </si>
  <si>
    <t>Yang, Yuande; Li, Fei</t>
  </si>
  <si>
    <t>The absolute gravity measurements from A10 along the 1240 km route in East Antarctica</t>
  </si>
  <si>
    <t>SCIENCE CHINA-EARTH SCIENCES</t>
  </si>
  <si>
    <t>ICE-SHEET</t>
  </si>
  <si>
    <t>[Yang, Yuande; Li, Fei] Wuhan Univ, Chinese Antarctic Ctr Surveying &amp; Mapping, Minist Nat Resources, Key Lab Polar Surveying &amp; Mapping, Wuhan 430079, Peoples R China</t>
  </si>
  <si>
    <t>Wuhan University; Ministry of Natural Resources of the People's Republic of China</t>
  </si>
  <si>
    <t>Li, F (corresponding author), Wuhan Univ, Chinese Antarctic Ctr Surveying &amp; Mapping, Minist Nat Resources, Key Lab Polar Surveying &amp; Mapping, Wuhan 430079, Peoples R China.</t>
  </si>
  <si>
    <t>Polar Research Institute of China; National Natural Science Foundation of China [42076234, 41876227, 41531069]; Chinese Arctic and Antarctic Administration</t>
  </si>
  <si>
    <t>Polar Research Institute of China; National Natural Science Foundation of China(National Natural Science Foundation of China (NSFC)); Chinese Arctic and Antarctic Administration</t>
  </si>
  <si>
    <t>We thank the responsible editor and the two anonymous reviewers, who have provided very constructive comments. We thank Institute of Seismology China for providing the CG-5 gravimetries. We thank the Chinese Arctic and Antarctic Administration and Polar Research Institute of China, for sponsoring the field surveying and this research. This study was supported by the National Natural Science Foundation of China (Grant Nos. 42076234, 41876227 &amp; 41531069).</t>
  </si>
  <si>
    <t>1674-7313</t>
  </si>
  <si>
    <t>1869-1897</t>
  </si>
  <si>
    <t>SCI CHINA EARTH SCI</t>
  </si>
  <si>
    <t>Sci. China-Earth Sci.</t>
  </si>
  <si>
    <t>10.1007/s11430-022-1021-6</t>
  </si>
  <si>
    <t>C4UV8</t>
  </si>
  <si>
    <t>WOS:000881653500001</t>
  </si>
  <si>
    <t>Kang, T; Yoo, KC; Kim, D</t>
  </si>
  <si>
    <t>Kang, Teawook; Yoo, Kyu-Cheul; Kim, Dongsung</t>
  </si>
  <si>
    <t>Meiofauna and Nematode Community Composition in Maxwell Bay, King George Island, Antarctica</t>
  </si>
  <si>
    <t>OCEAN SCIENCE JOURNAL</t>
  </si>
  <si>
    <t>Antarctica Ocean; Marine community; Meiobenthos; Meiofauna; Nematodes</t>
  </si>
  <si>
    <t>SOUTH SHETLAND ISLANDS; MARIAN COVE; ROSS SEA; SEDIMENTATION; BIODIVERSITY; DIVERSITY; TRIBUTARY; DYNAMICS; ECOLOGY</t>
  </si>
  <si>
    <t>The Antarctic Ocean hosts several species adapted to polar environments. However, the Antarctic marine environment is rapidly changing. We studied the meiofauna and nematode communities in Maxwell Bay, King George Island, Antarctica. The meiofaunal densities ranged from 174.3 +/- 6.2 to 377.9 +/- 7.0 individuals/10 cm(2). The nematodes and harpacticoids accounted for 89.7% of the total meiofaunal density. A total of 1448 nematode individuals across 34 genera were recorded. The dominant nematode genus was Molgolaimus. This study offers guidance for future studies on polar benthic organisms and a reference to evaluate anthropogenic effects on polar ecosystems.</t>
  </si>
  <si>
    <t>[Kang, Teawook] Natl Pk Res Inst, Marine Res Ctr, Yeosu 59723, South Korea; [Yoo, Kyu-Cheul] Korea Polar Res Inst, Div Glacial Environm Res, Incheon 21990, South Korea; [Kim, Dongsung] Korea Inst Ocean Sci &amp; Technol, Marine Ecosyst Res Ctr, Busan 49111, South Korea</t>
  </si>
  <si>
    <t>Korea Polar Research Institute (KOPRI); Korea Institute of Ocean Science &amp; Technology (KIOST)</t>
  </si>
  <si>
    <t>Kim, D (corresponding author), Korea Inst Ocean Sci &amp; Technol, Marine Ecosyst Res Ctr, Busan 49111, South Korea.</t>
  </si>
  <si>
    <t>dskim@kiost.ac.kr</t>
  </si>
  <si>
    <t>Kim, Dongsung/0000-0003-4850-7073</t>
  </si>
  <si>
    <t>Ministry of Oceans and Fisheries, Republic of Korea [20170411]; Korea Polar Research Institute (KOPRI) project [PE22090]</t>
  </si>
  <si>
    <t>Ministry of Oceans and Fisheries, Republic of Korea; Korea Polar Research Institute (KOPRI) project(Korea Polar Research Institute of Marine Research Placement (KOPRI))</t>
  </si>
  <si>
    <t>This work was supported by the Ministry of Oceans and Fisheries, Republic of Korea, as part of the project titled 'Understanding the deep sea biosphere on seafloor hydrothermal vents in the Indian Ridge' (grant number 20170411) and the Korea Polar Research Institute (KOPRI) project PE22090.</t>
  </si>
  <si>
    <t>KOREA INST OCEAN SCIENCE &amp; TECHNOLOGY-KIOST</t>
  </si>
  <si>
    <t>BUSAN</t>
  </si>
  <si>
    <t>HAEYANG-RO 385, YEONGDO-GU, BUSAN, SOUTH KOREA</t>
  </si>
  <si>
    <t>1738-5261</t>
  </si>
  <si>
    <t>2005-7172</t>
  </si>
  <si>
    <t>OCEAN SCI J</t>
  </si>
  <si>
    <t>Ocean Sci. J.</t>
  </si>
  <si>
    <t>10.1007/s12601-022-00092-w</t>
  </si>
  <si>
    <t>7A5OV</t>
  </si>
  <si>
    <t>WOS:000880503300001</t>
  </si>
  <si>
    <t>Huang, XX; Steel, R; Larter, RD</t>
  </si>
  <si>
    <t>Huang, Xiaoxia; Steel, Ronald; Larter, Robert D.</t>
  </si>
  <si>
    <t>Late Eocene signals of oncoming Icehouse conditions and changing ocean circulation, Antarctica</t>
  </si>
  <si>
    <t>EARTH AND PLANETARY SCIENCE LETTERS</t>
  </si>
  <si>
    <t>Prydz Bay; East Antarctic Ice Sheet; Eocene-Oligocene transition; clinoforms; MTDs</t>
  </si>
  <si>
    <t>ICE-SHEET; PRYDZ BAY; CONTINENTAL-MARGIN; EAST ANTARCTICA; SOUTHERN-OCEAN; GLACIATION; SEA; SEQUENCES; RECORD; ONSET</t>
  </si>
  <si>
    <t>The end of the Eocene greenhouse world was the most dramatic phase in the long-term Cenozoic cooling trend. Here we use 75,000 km of multi/single channel seismic reflection data from offshore Prydz Bay, Antarctica, to provide new insight on the Paleogene stratigraphic transition from greenhouse to icehouse conditions and reorganizing the ocean circulation changes that were invigorated by the cooling and glaciation. We identify a new prominent Paleogene transitional phase (Greenhouse to Icehouse) preserved in the deep-water sedimentary record by correlating from shelf to the continental slope. The occurrence of mega-Mass Transport Deposits (MTDs) on the slope during an early stage in the transition suggests significant instability and collapse of the upper part of the continental margin. A second stage of the transition is represented by the growth of a well-defined set of continental slope clinoforms. We estimate the formation age of the MTDs and clinoforms to be around Eocene-Oligocene Transition. The formation of the clinoforms in the transitional phase indicates sea level has risen, and large volumes sediment delivered to the margin by marine-terminating glaciers on the shelf. Finally, a subsequent marked migration of the margin depocenter toward the west and northwest, attests the onset of drift sedimentation and full glacial conditions, suggesting a more vigorous ocean circulation as the Earth entered the icehouse conditions after the Eocene-Oligocene boundary.(c) 2022 The Author(s). Published by Elsevier B.V.</t>
  </si>
  <si>
    <t>[Huang, Xiaoxia] Chinese Acad Sci, Inst Deep Sea Sci &amp; Engn, Sanya 572000, Peoples R China; [Steel, Ronald] Univ Texas Austin, Jackson Sch Geosci, Austin, TX USA; [Larter, Robert D.] British Antarctic Survey, Madingley Rd, Cambridge CB3 0ET, England</t>
  </si>
  <si>
    <t>Chinese Academy of Sciences; Institute of Deep-Sea Science &amp; Engineering, CAS; University of Texas System; University of Texas Austin; UK Research &amp; Innovation (UKRI); Natural Environment Research Council (NERC); NERC British Antarctic Survey</t>
  </si>
  <si>
    <t>Huang, XX (corresponding author), Chinese Acad Sci, Inst Deep Sea Sci &amp; Engn, Sanya 572000, Peoples R China.</t>
  </si>
  <si>
    <t>huangxx@idsse.ac.cn</t>
  </si>
  <si>
    <t>Huang, Xiaoxia/0000-0002-9978-5404</t>
  </si>
  <si>
    <t>National Neutral Science Foundation of China [41976233]; Key Research Program of Frontier Sciences, CAS [ZDBS-LY-7018]; Pioneer Hundred Talents Program [Y910091001]; Chinese Academy of Sciences (CAS)</t>
  </si>
  <si>
    <t>National Neutral Science Foundation of China; Key Research Program of Frontier Sciences, CAS; Pioneer Hundred Talents Program; Chinese Academy of Sciences (CAS)(Chinese Academy of Sciences)</t>
  </si>
  <si>
    <t>We thank for the finance support of The National Neutral Science Foundation of China (41976233) , and the Key Research Program of Frontier Sciences, CAS, Grant No. ZDBS-LY-7018, and Pioneer Hundred Talents Program (Y910091001) from Chinese Academy of Sciences (CAS) .</t>
  </si>
  <si>
    <t>0012-821X</t>
  </si>
  <si>
    <t>1385-013X</t>
  </si>
  <si>
    <t>EARTH PLANET SC LETT</t>
  </si>
  <si>
    <t>Earth Planet. Sci. Lett.</t>
  </si>
  <si>
    <t>10.1016/j.epsl.2022.117885</t>
  </si>
  <si>
    <t>8Z6WD</t>
  </si>
  <si>
    <t>WOS:000933515500002</t>
  </si>
  <si>
    <t>Warwick-Evans, V; Constable, A; Dalla Rosa, L; Secchi, ER; Seyboth, E; Trathan, PN</t>
  </si>
  <si>
    <t>Warwick-Evans, V.; Constable, A.; Dalla Rosa, L.; Secchi, E. R.; Seyboth, E.; Trathan, P. N.</t>
  </si>
  <si>
    <t>Using a risk assessment framework to spatially and temporally spread the fishery catch limit for Antarctic krill in the west Antarctic Peninsula: A template for krill fisheries elsewhere</t>
  </si>
  <si>
    <t>fisheries management; predation pressure; ecosystem risk; Antarctica; Antarctic krill; CCAMLR</t>
  </si>
  <si>
    <t>SOUTH SHETLAND ISLANDS; EUPHAUSIA-SUPERBA DANA; PENGUIN POPULATIONS; ECOSYSTEM APPROACH; MARINE PREDATORS; BALEEN WHALES; FUR SEALS; MANAGEMENT; DYNAMICS; RESPONSES</t>
  </si>
  <si>
    <t>The west Antarctic Peninsula is an important breeding and foraging location for marine predators that consume Antarctic Krill (Euphasia superba). It is also an important focus for the commercial fishery for Antarctic krill, managed by the Commission for the Conservation of Antarctic Marine Living Resources (CCAMLR). Aiming to minimise ecosystem risks from fishing, whilst enabling a sustainable fishery, CCAMLR has recently endorsed a new management framework that incorporates information about krill biomass estimates, sustainable harvest rates and a risk assessment to spatially and temporally distribute catch limits. We have applied a risk assessment framework to the west Antarctic Peninsula region (Subarea 48.1), with the aim of identifying the most appropriate management units by which to spatially and temporally distribute the local krill catch limit. We use the best data currently available for implementing the approach, recognising the framework is flexible and can accommodate new data, when available, to improve future estimates of risk. We evaluated 36 catch distribution scenarios for managing the fishery and provide advice about the scale at which the krill fishery can be managed. We show that the spatial distribution with which the fishery currently operates presents some of the highest risks of all scenarios evaluated. We highlight important issues that should be resolved, including data gaps, uncertainty and incorporating ecosystem dynamics. We emphasize that for the risk assessment to provide robust estimates of risk, it is important that the management units are at a similar scale to ecosystem function. Managing the fishery at small scales has the lowest risk but may necessitate a high level of management interaction. Our results offer advice to CCAMLR about near-term management and this approach could provide a template for the rest of the southwest Atlantic (Area 48), or fisheries elsewhere. As each data layer influences the outcome of the risk assessment, we recommend that updated estimates of the distribution, abundance and consumption of krill, and estimates of available krill biomass will be key as CCAMLR moves forward to develop a longer-term management strategy.</t>
  </si>
  <si>
    <t>[Warwick-Evans, V.; Trathan, P. N.] British Antarctic Survey, Ecosyst Dept, Cambridge, England; [Constable, A.] Australian Commonwealth Dept Agr Water &amp; Environm, Australian Antarctic Div, Kingston, Tas, Australia; [Dalla Rosa, L.; Secchi, E. R.; Seyboth, E.] Univ Fed Rio Grande FURG, Inst Oceanog, Lab Ecol &amp; Conservacao Megafauna Marinha, Rio Grande, Brazil; [Seyboth, E.] Cape Peninsula Univ Cape Town, Fac Appl Sci, Ctr Sustainable Oceans, Cape Town, South Africa</t>
  </si>
  <si>
    <t>UK Research &amp; Innovation (UKRI); Natural Environment Research Council (NERC); NERC British Antarctic Survey; Australian Antarctic Division; Universidade Federal do Rio Grande</t>
  </si>
  <si>
    <t>Warwick-Evans, V (corresponding author), British Antarctic Survey, Ecosyst Dept, Cambridge, England.</t>
  </si>
  <si>
    <t>vicrwi@bas.ac.uk</t>
  </si>
  <si>
    <t>Dalla Rosa, Luciano/D-5660-2012</t>
  </si>
  <si>
    <t>Dalla Rosa, Luciano/0000-0002-1583-6471</t>
  </si>
  <si>
    <t>Darwin Plus [DPLUS072]; PewCharitable Trusts [PA00034295]; Foreign, Commonwealth and Development Office; National Council for Scientific and Technological Development (CNPq) under Brazilian Ministry of Science, Technology, and Innovations -MCTI [408096/2013-6, 407889/2013-2]; National Science Foundation Office of Polar Programs [9983751, 0337648, 1347911]; Directorate For Geosciences; Office of Polar Programs (OPP) [9983751] Funding Source: National Science Foundation; Directorate For Geosciences; Office of Polar Programs (OPP) [1347911] Funding Source: National Science Foundation</t>
  </si>
  <si>
    <t>Darwin Plus; PewCharitable Trusts; Foreign, Commonwealth and Development Office; National Council for Scientific and Technological Development (CNPq) under Brazilian Ministry of Science, Technology, and Innovations -MCTI(Conselho Nacional de Desenvolvimento Cientifico e Tecnologico (CNPQ)Fundacao de Apoio a Pesquisa do Distrito Federal (FAPDF)); National Science Foundation Office of Polar Programs(National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t>
  </si>
  <si>
    <t>This study is a contribution to the BAS Ecosystemsprogramme, funded by Darwin Plus under DPLUS072, PewCharitable Trusts under PA00034295 and the Foreign, Commonwealth and Development Office, as part of theOverseas Territories Blue Belt programme (https://www.gov.uk/government/publications/the-blue-belt-programme). Theship-based whale surveys were conducted within the activitiesof research projects Baleias and Interbiota, of the BrazilianAntarctic Program,financed by the National Council for Scientific and Technological Development (CNPq grantnumbers 408096/2013-6 and 407889/2013-2), under the Brazilian Ministry of Science, Technology, and Innovations -MCTI. We thank all crew members of the polar vessel AlmiranteMaximiano, and the researchers who helped with datacollection. The seabird, fur seal and krill data were collected byNOAA-NMFS U.S. AMLR program researchers and crew onshipboard surveys during 2003-2011; data collection andsynthesis was also supported by National Science Foundation Office of Polar Programs (awards 9983751, 0337648 and1347911). Many thanks to Natalie Kelly, Jefferson Hinke,Christian Reiss, George Watters and Dirk Welsford for theirexpertise and discussions about krillfishery managementin Antarctica.</t>
  </si>
  <si>
    <t>NOV 8</t>
  </si>
  <si>
    <t>10.3389/fmars.2022.1015851</t>
  </si>
  <si>
    <t>6P0HZ</t>
  </si>
  <si>
    <t>WOS:000890618400001</t>
  </si>
  <si>
    <t>Zidarova, R; De Haan, M; Ivanov, P; Hineva, E; Van De Vijver, B</t>
  </si>
  <si>
    <t>Zidarova, Ralitsa; De Haan, Myriam; Ivanov, Plamen; Hineva, Elitsa; Van De Vijver, Bart</t>
  </si>
  <si>
    <t>The genus Craspedostauros EJCox (Bacillariophyta) on the coasts of Livingston Island, Maritime Antarctica</t>
  </si>
  <si>
    <t>PHYTOTAXA</t>
  </si>
  <si>
    <t>Antarctic Region; diatoms; marine benthos; South Shetland Islands; taxonomy</t>
  </si>
  <si>
    <t>KING GEORGE ISLAND; SP NOV.; DIATOM BACILLARIOPHYTA; NAVICULA-SKUAE; FRESH-WATER; EJ COX; MARINE; MORPHOLOGY; EHRENBERG; FLORA</t>
  </si>
  <si>
    <t>During a survey of diatoms present in tidal pools on the coasts of Livingston Island (South Shetland Islands), we found several populations, belonging presumably to the Antarctic endemic Craspedostauros laevissimus. Further analyses using light microscopy revealed that the populations show differences in stria density. Following scanning electron microscopy observations, only part of the investigated populations could be assigned to C. laevissimus, whereas the others are sufficiently morphologically different based on stria density and their cribrate areolae structure to be described as a new species: Craspedostauros confusus sp. nov. The new taxon is compared with known, morphologically similar, Craspedostauros taxa. The paper presents morphological and ecological data for both taxa discussed in the study. A detailed survey of the early Antarctic literature showed that the Craspedostauros taxa in Antarctica have convoluted taxonomic histories and that the new taxon has likely been hidden for long within the variability of C. laevissimus.</t>
  </si>
  <si>
    <t>[Zidarova, Ralitsa; Hineva, Elitsa] Bulgarian Acad Sci, Inst Oceanol, 40 Parvi May Str, Varna 9000, Bulgaria; [De Haan, Myriam; Van De Vijver, Bart] Meise Bot Garden, Res Dept, Nieuwelaan 38, B-1860 Meise, Belgium; [Ivanov, Plamen] Bulgarian Acad Sci, Inst Biodivers &amp; Ecosyst Res, 2 Mayor Yurii Gagarin Str, Sofia 1113, Bulgaria; [Van De Vijver, Bart] Univ Antwerp, Dept Biol, ECOSPHERE, Univ Pl 1, B-2610 Antwerp, Belgium</t>
  </si>
  <si>
    <t>Bulgarian Academy of Sciences; Bulgarian Academy of Sciences; University of Antwerp</t>
  </si>
  <si>
    <t>Zidarova, R (corresponding author), Bulgarian Acad Sci, Inst Oceanol, 40 Parvi May Str, Varna 9000, Bulgaria.</t>
  </si>
  <si>
    <t>zidarova.r@gmail.com; myriam.dehaan@plantentuinmeise.be; plamen_new@abv.bg; elitsa.hineva@abv.bg; bart.vandevijver@plantentuinmeise.be</t>
  </si>
  <si>
    <t>Zidarova, Ralitsa/I-3793-2017</t>
  </si>
  <si>
    <t>Zidarova, Ralitsa/0000-0002-6451-0099; Van de Vijver, Bart/0000-0002-6244-1886; de Haan, Myriam/0000-0003-1868-1265</t>
  </si>
  <si>
    <t>MAGNOLIA PRESS</t>
  </si>
  <si>
    <t>AUCKLAND</t>
  </si>
  <si>
    <t>250F Marua Road Mt Wellington, AUCKLAND, ST LUKES 1023, NEW ZEALAND</t>
  </si>
  <si>
    <t>1179-3155</t>
  </si>
  <si>
    <t>1179-3163</t>
  </si>
  <si>
    <t>Phytotaxa</t>
  </si>
  <si>
    <t>10.11646/phytotaxa.572.1.1</t>
  </si>
  <si>
    <t>CX3G6</t>
  </si>
  <si>
    <t>WOS:001128487200001</t>
  </si>
  <si>
    <t>Chen, XC; Han, MAX; Liang, YT; Zhao, WT; Wu, YJ; Sun, Y; Shao, HB; McMinn, A; Zhu, LY; Wang, M</t>
  </si>
  <si>
    <t>Chen, Xuechao; Han, Meiaoxue; Liang, Yantao; Zhao, Wanting; Wu, Yuejiao; Sun, Ying; Shao, Hongbing; McMinn, Andrew; Zhu, Liyan; Wang, Min</t>
  </si>
  <si>
    <t>Progress in 'taxonomic sufficiency' in aquatic biological investigations</t>
  </si>
  <si>
    <t>Taxonomic level; Functional trait; Numerical transformation; Biological surrogate; Community structure</t>
  </si>
  <si>
    <t>FUNCTIONAL DIVERSITY; NUMERICAL RESOLUTION; COMMUNITY ECOLOGY; LEVEL SUFFICIENT; SPATIAL-PATTERNS; BODY-SIZE; MARINE; BIODIVERSITY; ZOOPLANKTON; SURROGATES</t>
  </si>
  <si>
    <t>The 'taxonomic sufficiency' (TS) approach has been applied to algae, protists, invertebrates, and vertebrates, generally by aggregating species-level abundance data to a higher taxonomic level, where genus-level data are often highly correlated with species-level data and are a valid proxy level. The TS approach offers the possibility of a comparison of data from different geographical areas and highlights the effects of contaminants. The TS approach is stable in the face of different researchers and in the comparison of long-term biological survey data. The effectiveness of the TS approach may increase with increasing environmental gradients or spatial area. The TS approach should be avoided when the spatial area is small and small differences in species-level data are considered important, so as not to cancel out the distribution patterns specific to the local environment of the biological taxa.</t>
  </si>
  <si>
    <t>[Chen, Xuechao; Han, Meiaoxue; Liang, Yantao; Shao, Hongbing; McMinn, Andrew; Wang, Min] Ocean Univ China, Inst Evolut &amp; Marine Biodivers, Coll Marine Life Sci, Frontiers Sci Ctr Deep Ocean Multispheres &amp; Earth, Qingdao 266003, Peoples R China; [Zhao, Wanting; Wu, Yuejiao; Sun, Ying; Zhu, Liyan] Ocean Univ China, Coll Marine Life Sci, Qingdao 266003, Peoples R China; [Wang, Min] Qingdao Univ, Affiliated Hosp, Qingdao 266000, Peoples R China; [Liang, Yantao; Shao, Hongbing; Wang, Min] UMT OUC Joint Ctr Marine Studies, Qingdao 266003, Peoples R China; [McMinn, Andrew] Univ Tasmania, Inst Marine &amp; Antarctic Studies, Hobart, Tas 7001, Australia</t>
  </si>
  <si>
    <t>Ocean University of China; Ocean University of China; Qingdao University; University of Tasmania</t>
  </si>
  <si>
    <t>McMinn, A; Wang, M (corresponding author), Ocean Univ China, Inst Evolut &amp; Marine Biodivers, Coll Marine Life Sci, Frontiers Sci Ctr Deep Ocean Multispheres &amp; Earth, Qingdao 266003, Peoples R China.;Zhu, LY (corresponding author), Ocean Univ China, Coll Marine Life Sci, Qingdao 266003, Peoples R China.;Wang, M (corresponding author), Qingdao Univ, Affiliated Hosp, Qingdao 266000, Peoples R China.;Wang, M (corresponding author), UMT OUC Joint Ctr Marine Studies, Qingdao 266003, Peoples R China.;McMinn, A (corresponding author), Univ Tasmania, Inst Marine &amp; Antarctic Studies, Hobart, Tas 7001, Australia.</t>
  </si>
  <si>
    <t>andrew.mcminn@utas.edu.au; smfysw@ouc.edu.cn; mingwang@ouc.edu.cn</t>
  </si>
  <si>
    <t>Wang, Min/AFR-9645-2022</t>
  </si>
  <si>
    <t>Wang, Min/0000-0002-2357-589X; liang, yan tao/0000-0002-2477-8197</t>
  </si>
  <si>
    <t>Fundamental Research Funds for the Central Universities, China; Natural Science Foundation of China, China; [202072002]; [202072001]; [201812002]; [42120104006]; [41976117]; [31572621]; [41606153]; [42176111]</t>
  </si>
  <si>
    <t>Fundamental Research Funds for the Central Universities, China(Fundamental Research Funds for the Central Universities); Natural Science Foundation of China, China(National Natural Science Foundation of China (NSFC)); ; ; ; ; ; ; ;</t>
  </si>
  <si>
    <t>Acknowledgments This work was supported by the Fundamental Research Funds for the Central Universities, China (No. 202072002, 202072001, 201812002) , the Natural Science Foundation of China, China (No. 42120104006, 41976117, 31572621, 41606153, 42176111) .</t>
  </si>
  <si>
    <t>10.1016/j.marpolbul.2022.114192</t>
  </si>
  <si>
    <t>6Q6ZF</t>
  </si>
  <si>
    <t>WOS:000891759700011</t>
  </si>
  <si>
    <t>Sojitra, M; Woehler, EJ; Lea, MA; Wotherspoon, S</t>
  </si>
  <si>
    <t>Sojitra, Milan; Woehler, Eric J.; Lea, Mary-Anne; Wotherspoon, Simon</t>
  </si>
  <si>
    <t>Multi-decadal changes in the at-sea distribution and abundance of black-browed and light-mantled sooty albatrosses in the southwest Pacific Ocean</t>
  </si>
  <si>
    <t>at-sea survey; climate change; environmental drivers; seabirds; Southern Ocean</t>
  </si>
  <si>
    <t>SOUTHERN-OCEAN; CLIMATE-CHANGE; SEABIRDS; FISHERIES; TRENDS; WATERS; ISLAND; COMMUNITIES; VARIABILITY; CHRYSOSTOMA</t>
  </si>
  <si>
    <t>Many long-term studies have reported changes in seabird abundance and distribution in response to climate change and various anthropogenic activities. However, a greater understanding of how species are responding to change over large spatial and temporal scales are required-particularly at high latitudes such as the Southern Ocean. We examined black-browed Thalassarche melanophris (BBAL) and light-mantled sooty Phoebetria palpebrata albatross (LMSA) observations spanning over 50 years. Both species have a wide-ranging distribution in a rapidly changing Southern Ocean. We used generalized additive models (GAMs) to investigate environmental drivers of their abundance and occurrence. Our results show that climate indices, sea surface temperature and sea surface height are the main drivers influencing the distribution and abundance of both species. The abundance of BBAL southeast of Australia was observed to be decreased substantially whereas no significant change was observed in the abundance of LMSA. Both species demonstrated contrasting distributions along their latitudinal gradient with BBAL showing early stages of a southward range shift. Our analyses suggest that responses to climate change are species-specific. These rare, long-term data have provided an understanding of species' responses to past changes in the marine environment and can provide critical information for future conservation and management.</t>
  </si>
  <si>
    <t>[Sojitra, Milan; Woehler, Eric J.; Lea, Mary-Anne] Univ Tasmania, Inst Marine &amp; Antarctic Studies, 20 Castray Esplanade, Battery Point, Tas 7004, Australia; [Woehler, Eric J.] BirdLife Tasmania, Hobart, Tas 7001, Australia; [Lea, Mary-Anne] Univ Tasmania, Ctr Marine Socioecol, Hobart, Tas 7001, Australia; [Wotherspoon, Simon] Australian Antarctic Div, Kingston, Tas 7050, Australia</t>
  </si>
  <si>
    <t>University of Tasmania; University of Tasmania; Australian Antarctic Division</t>
  </si>
  <si>
    <t>Sojitra, M (corresponding author), Univ Tasmania, Inst Marine &amp; Antarctic Studies, 20 Castray Esplanade, Battery Point, Tas 7004, Australia.</t>
  </si>
  <si>
    <t>Milan.Sojitra@utas.edu.au</t>
  </si>
  <si>
    <t>Sojitra, Milan/HGE-5573-2022; Lea, Mary-Anne/E-9054-2013</t>
  </si>
  <si>
    <t>Sojitra, Milan/0000-0001-5545-2440; Lea, Mary-Anne/0000-0001-8318-9299; Woehler, Eric/0000-0002-1125-0748; Wotherspoon, Simon/0000-0002-6947-4445</t>
  </si>
  <si>
    <t>10.1093/icesjms/fsac197</t>
  </si>
  <si>
    <t>7A2AY</t>
  </si>
  <si>
    <t>WOS:000879467200001</t>
  </si>
  <si>
    <t>Perazzolli, M; Vicelli, B; Antonielli, L; Longa, CMO; Bozza, E; Bertini, L; Caruso, C; Pertot, I</t>
  </si>
  <si>
    <t>Perazzolli, Michele; Vicelli, Bianca; Antonielli, Livio; Longa, Claudia M. O.; Bozza, Elisa; Bertini, Laura; Caruso, Carla; Pertot, Ilaria</t>
  </si>
  <si>
    <t>Simulated global warming affects endophytic bacterial and fungal communities of Antarctic pearlwort leaves and some bacterial isolates support plant growth at low temperatures</t>
  </si>
  <si>
    <t>PERFORMANCE; RESPONSES; SOILS</t>
  </si>
  <si>
    <t>Antarctica is one of the most stressful environments for plant life and the Antarctic pearlwort (Colobanthus quitensis) is adapted to the hostile conditions. Plant-associated microorganisms can contribute to plant survival in cold environments, but scarce information is available on the taxonomic structure and functional roles of C. quitensis-associated microbial communities. This study aimed at evaluating the possible impacts of climate warming on the taxonomic structure of C. quitensis endophytes and at investigating the contribution of culturable bacterial endophytes to plant growth at low temperatures. The culture-independent analysis revealed changes in the taxonomic structure of bacterial and fungal communities according to plant growth conditions, such as the collection site and the presence of open-top chambers (OTCs), which can simulate global warming. Plants grown inside OTCs showed lower microbial richness and higher relative abundances of biomarker bacterial genera (Allorhizobium-Neorhizobium-Pararhizobium-Rhizobium, Aeromicrobium, Aureimonas, Hymenobacter, Novosphingobium, Pedobacter, Pseudomonas and Sphingomonas) and fungal genera (Alternaria, Cistella, and Vishniacozyma) compared to plants collected from open areas (OA), as a possible response to global warming simulated by OTCs. Culturable psychrotolerant bacteria of C. quitensis were able to endophytically colonize tomato seedlings and promote shoot growth at low temperatures, suggesting their potential contribution to plant tolerance to cold conditions.</t>
  </si>
  <si>
    <t>[Perazzolli, Michele; Vicelli, Bianca; Pertot, Ilaria] Univ Trento, Ctr Agr Food &amp; Environm C3A, Via E Mach 1, I-38098 San Michele All Adige, Italy; [Perazzolli, Michele; Longa, Claudia M. O.; Bozza, Elisa; Pertot, Ilaria] Fdn Edmund Mach, Res &amp; Innovat Ctr, Via E Mach 1, I-38098 San Michele All Adige, Italy; [Antonielli, Livio] AIT Austrian Inst Technol GmbH, Ctr Hlth &amp; Bioresources, Bioresources Unit, Konrad Lorenz Str 24, A-3430 Tulln An Der Donau, Austria; [Bertini, Laura; Caruso, Carla] Univ Tuscia, Dept Ecol &amp; Biol Sci, Largo Univ Snc, I-01100 Viterbo, Italy</t>
  </si>
  <si>
    <t>University of Trento; Fondazione Edmund Mach; Austrian Institute of Technology (AIT); Tuscia University</t>
  </si>
  <si>
    <t>Perazzolli, M (corresponding author), Univ Trento, Ctr Agr Food &amp; Environm C3A, Via E Mach 1, I-38098 San Michele All Adige, Italy.;Perazzolli, M (corresponding author), Fdn Edmund Mach, Res &amp; Innovat Ctr, Via E Mach 1, I-38098 San Michele All Adige, Italy.</t>
  </si>
  <si>
    <t>michele.perazzolli@unitn.it</t>
  </si>
  <si>
    <t>Vicelli, Bianca/JVN-5527-2024; Perazzolli, Michele/B-3636-2012</t>
  </si>
  <si>
    <t>Vicelli, Bianca/0009-0006-6895-4988; Antonielli, Livio/0000-0002-7140-8359; Perazzolli, Michele/0000-0001-7218-9963</t>
  </si>
  <si>
    <t>Ministero della Ricerca [PNRA18_00147]</t>
  </si>
  <si>
    <t>Ministero della Ricerca</t>
  </si>
  <si>
    <t>This research was supported by the Ministero della Ricerca in the framework of the National Program for Antarctic Research (PNRA) project PNRA18_00147 (Impact of climate change on plant-microbe interaction: a focus on tripartite plant-fungus-virus relationship and on their bioactive compounds). We thank Dr. Massimo Pindo and the technical staff of the Sequencing Platform at Fondazione Edmund Mach for DNA sequencing, Dr. Angela Sessitsch for providing Paraburkholderia phytofirmans PsJN, and Carmela Sicher from the Research and Innovation Centre at Fondazione Edmund Mach for providing help in the functional experiments. The authors wish to thank Prof. Leon Bravo from Universidad de La Frontera, Temuco, Chile, who installed the OTCs in King George Island in December 2013 and allowed us to collect leaf samples from inside. The authors also thank the Instituto Anta'rtico Chileno (INACH) for the logistic support from Chile to King George Island and vice versa, and the members of Arctowski Research Station for their great hospitality and their collaboration with the logistics.</t>
  </si>
  <si>
    <t>NOV 6</t>
  </si>
  <si>
    <t>10.1038/s41598-022-23582-2</t>
  </si>
  <si>
    <t>5Y5SM</t>
  </si>
  <si>
    <t>WOS:000879341800003</t>
  </si>
  <si>
    <t>Torterotot, M; Béesau, J; de la Bathie, CP; Samaran, F</t>
  </si>
  <si>
    <t>Torterotot, Maelle; Beesau, Julie; de la Bathie, Cecile Perrier; Samaran, Flore</t>
  </si>
  <si>
    <t>Assessing marine mammal diversity in remote Indian Ocean regions, using an acoustic glider</t>
  </si>
  <si>
    <t>DEEP-SEA RESEARCH PART II-TOPICAL STUDIES IN OCEANOGRAPHY</t>
  </si>
  <si>
    <t>ANTARCTIC BLUE WHALES; SOUTHERN RIGHT WHALES; KILLER WHALES; BALAENOPTERA-MUSCULUS; ORCINUS-ORCA; HUMPBACK WHALES; ECHOLOCATION CLICKS; TEMPORAL SEPARATION; UNDERWATER SOUNDS; FIN WHALES</t>
  </si>
  <si>
    <t>Many observations collected from whaling logbooks or more recent satellite tags and acoustic surveys report that the Indian Ocean is a very important place for large baleen whales. They undergo long seasonal migrations from Southern feeding grounds to tropical and subtropical mating and breeding grounds. However, whether and where they stop to rest or feed during their long travels are poorly known. The Indian Ocean is also home to many odontocete species such as sperm whales, killer whales and multiple delphinid species. In this paper, we analyze passive acoustic data collected by an electric glider around two steep bathymetric features located in the Western sub-tropical Indian Ocean (Walters Shoal) and in the mid sub-tropical Indian Ocean (St. Paul and Amsterdam islands), both included in Important Marine Mammal Areas (IMMAs). The acoustic data were manually reviewed and annotated by two analysts. The aim of this experiment was to improve the knowledge on marine mammal presence in these little studied IMMAs. We found that bioacoustic activity was quite high in both monitored areas with 40% of the records con-taining marine mammal sounds in Walters Shoal and 70% in St. Paul and Amsterdam islands. Calls from Antarctic blue whales, Southwestern and Southeastern Indian Ocean pygmy blue whales, fin whales and an unidentified baleen whale were detected at one or both sites. Odontocete clicks and whistles were also recorded at both sites. The discussion puts these marine mammal acoustic detections back into the context of their seasonal and geographical presence already described by other studies in the Indian Ocean and makes hypotheses about the role of the two studied areas for marine mammals.</t>
  </si>
  <si>
    <t>[Torterotot, Maelle; Beesau, Julie; de la Bathie, Cecile Perrier; Samaran, Flore] ENSTA Bretagne, Lab STTCC UMR 6285, Brest, France</t>
  </si>
  <si>
    <t>ENSTA Bretagne</t>
  </si>
  <si>
    <t>Torterotot, M (corresponding author), ENSTA Bretagne, Lab STTCC UMR 6285, Brest, France.</t>
  </si>
  <si>
    <t>maelle.torterotot@ensta-bretagne.fr</t>
  </si>
  <si>
    <t>PERRIER DE LA BATHIE, Cecile/0000-0003-3802-2283; Torterotot, Maelle/0000-0002-8912-2463</t>
  </si>
  <si>
    <t>Fondation TOTAL; Sapme; Terres Australes et Antarctiques Francaises (TAAF); Fonds Francais pour l'Environnement Mondial (FFEM)</t>
  </si>
  <si>
    <t>This project was supported by the Fondation TOTAL, the Sapmer, the Terres Australes et Antarctiques Francaises (TAAF) and the Fonds Francais pour l'Environnement Mondial (FFEM). The data analysis was conducted in collaboration with the TAAF, as part of the project of the extension of the St. Paul and Amsterdam marine protected area. The authors wish to thank the pilots of Alseamar Laurent Beguery and Jean Francois Ternon, the captain and fishermen from Austral, and Adrien Berne from ENSTA Bretagne for conducting the glider deployments. The contribution of Richard Dreo and of the OSmOSE team regarding data analysis is greatly appreciated. We also thank the two reviewers for their constructive comments that greatly improved the manuscript.</t>
  </si>
  <si>
    <t>0967-0645</t>
  </si>
  <si>
    <t>1879-0100</t>
  </si>
  <si>
    <t>DEEP-SEA RES PT II</t>
  </si>
  <si>
    <t>Deep-Sea Res. Part II-Top. Stud. Oceanogr.</t>
  </si>
  <si>
    <t>10.1016/j.dsr2.2022.105204</t>
  </si>
  <si>
    <t>7F3XC</t>
  </si>
  <si>
    <t>WOS:000901783600002</t>
  </si>
  <si>
    <t>Emanuelsson, BD; Renwick, JA; Bertler, NAN; Baisden, WT; Thomas, ER</t>
  </si>
  <si>
    <t>Emanuelsson, B. Daniel; Renwick, James A.; Bertler, Nancy A. N.; Baisden, W. Troy; Thomas, Elizabeth R.</t>
  </si>
  <si>
    <t>The role of large-scale drivers in the Amundsen Sea Low variability and associated changes in water isotopes from the Roosevelt Island ice core, Antarctica</t>
  </si>
  <si>
    <t>Climate variability; Patterns of variability; Amundsen Sea Low; Southern Annular Mode; Pacific-South American patterns; The Antarctic sea-ice dipole; Ice cores; Water stable isotopes</t>
  </si>
  <si>
    <t>SOUTHERN-HEMISPHERE CIRCULATION; WEST ANTARCTICA; HIGH-RESOLUTION; ROSS SEA; SURFACE; TEMPERATURE; CLIMATE; SNOW; ACCUMULATION; OSCILLATION</t>
  </si>
  <si>
    <t>Here we examine the water stable-isotope data from the Roosevelt Island Climate Evolution (RICE) ice core. Roosevelt Island is an independent ice rise located at the northeastern margin of the Ross Ice Shelf. In this study, we use empirical orthogonal function (EOF) analysis to investigate the relationship between RICE ice-core oxygen-18 isotopes (delta O-18) and Southern Hemisphere atmospheric circulation during the extended austral winter (April-November). The RICE delta O-18 record is correlated with Southern Annular Mode (SAM) and Pacific-South American pattern 1 (PSA1), which both project onto the Amundsen-Bellingshausen Sea (ABS) geopotential height field. Pacific sector Southern Ocean, eastern Ross Sea, and West Antarctic's atmospheric circulation, sea ice, and surface air temperature (SAT) anomalies, as well as RICE delta O-18, are strongest when El Nino-Southern Oscillation (ENSO) and SAM are in-phase. That is when the SAM - /PSA1 + (El Nino) and SAM + /PSA1 - (La Nina) phasing prevails. When in-phase, the delta O-18 correlation with the 500-hPa geopotential height (Z500) is strong in regions (e.g., the Amundsen Sea) where their anomalies associated with SAM and PSA1 show the same sign. SAM - /PSA1 + (El Nino) and SAM + /PSA1 - (La Nina) is associated with positive and negative delta O-18 anomalies, respectively. RICE delta O-18 can aid in establishing past natural variability of the strength of the SH high-latitude Pacific sector ENSO-SAM connection and associated atmospheric circulation, sea ice, and SAT extremes.</t>
  </si>
  <si>
    <t>[Emanuelsson, B. Daniel; Thomas, Elizabeth R.] British Antarctic Survey, Ice Dynam &amp; Paleoclimate Grp, Nat Environm Res Council, Cambridge CB3 0ET, England; [Renwick, James A.] Victoria Univ Wellington, Sch Geog Environm &amp; Earth Sci, POB 600, Wellington 6140, New Zealand; [Bertler, Nancy A. N.] Victoria Univ Wellington, Antarctic Res Ctr, POB 600, Wellington 6140, New Zealand; [Bertler, Nancy A. N.] GNS Sci, Natl Isotope Ctr, 30 Gracefield Rd, Lower Hutt 5010, New Zealand; [Baisden, W. Troy] Univ Auckland, Te Punaha Matatini Ctr Res Excellence, Auckland 1010, New Zealand; [Baisden, W. Troy] Univ Auckland, Sch Environm, Auckland 1010, New Zealand</t>
  </si>
  <si>
    <t>UK Research &amp; Innovation (UKRI); Natural Environment Research Council (NERC); NERC British Antarctic Survey; Victoria University Wellington; Victoria University Wellington; GNS Science - New Zealand; University of Auckland; University of Auckland</t>
  </si>
  <si>
    <t>Emanuelsson, BD (corresponding author), British Antarctic Survey, Ice Dynam &amp; Paleoclimate Grp, Nat Environm Res Council, Cambridge CB3 0ET, England.</t>
  </si>
  <si>
    <t>d.emanuelsson@gmail.com</t>
  </si>
  <si>
    <t>Thomas, Elizabeth Ruth/ADF-3660-2022</t>
  </si>
  <si>
    <t>Thomas, Elizabeth Ruth/0000-0002-3010-6493; Bertler, Nancy/0000-0001-6028-4891; Emanuelsson, B. Daniel/0000-0002-9373-6951</t>
  </si>
  <si>
    <t>New Zealand Ministry of Business, Innovation, and Employment Grants through Victoria University of Wellington [RDF-VUW-1103, 15-VUW-131]; GNS Science (Global Change Through Time Programme)</t>
  </si>
  <si>
    <t>New Zealand Ministry of Business, Innovation, and Employment Grants through Victoria University of Wellington(New Zealand Ministry of Business, Innovation and Employment (MBIE)); GNS Science (Global Change Through Time Programme)</t>
  </si>
  <si>
    <t>Funding for the RICE project was provided by the New Zealand Ministry of Business, Innovation, and Employment Grants through Victoria University of Wellington (RDF-VUW-1103, 15-VUW-131) and GNS Science (Global Change Through Time Programme).</t>
  </si>
  <si>
    <t>11-12</t>
  </si>
  <si>
    <t>10.1007/s00382-022-06568-8</t>
  </si>
  <si>
    <t>I9PA9</t>
  </si>
  <si>
    <t>WOS:000879155000003</t>
  </si>
  <si>
    <t>McCarthy, M; Miles, E; Kneib, M; Buri, P; Fugger, S; Pellicciotti, F</t>
  </si>
  <si>
    <t>McCarthy, Michael; Miles, Evan; Kneib, Marin; Buri, Pascal; Fugger, Stefan; Pellicciotti, Francesca</t>
  </si>
  <si>
    <t>Supraglacial debris thickness and supply rate in High-Mountain Asia</t>
  </si>
  <si>
    <t>ENERGY-BALANCE MODEL; COVERED GLACIERS; EVEREST REGION; CLIMATE-CHANGE; EROSION RATES; MASS-BALANCE; ICE FLOW; HIMALAYAN; TRANSPORT; ABLATION</t>
  </si>
  <si>
    <t>Supraglacial debris strongly modulates glacier melt rates and can be decisive for ice dynamics and mountain hydrology. It is ubiquitous in High-Mountain Asia, yet because its thickness and supply rate from local topography are poorly known, our ability to forecast regional glacier change and streamflow is limited. Here we combined remote sensing and numerical modelling to resolve supraglacial debris thickness by altitude for 4689 glaciers in High-Mountain Asia, and debris-supply rate to 4141 of those glaciers. Our results reveal extensively thin supraglacial debris and high spatial variability in both debris thickness and supply rate. Debris-supply rate increases with the temperature and slope of debris-supply slopes regionally, and debris thickness increases as ice flow decreases locally. Our centennial-scale estimates of debris-supply rate are typically an order of magnitude or more lower than millennial-scale estimates of headwall-erosion rate from Beryllium-10 cosmogenic nuclides, potentially reflecting episodic debris supply to the region's glaciers. Supraglacial debris in High-Mountain Asia is extensively thin and its supply rate from local topography increases with the temperature and slope of debris-supply slopes, according to analyses of remote sensing data from over 4600 glaciers.</t>
  </si>
  <si>
    <t>[McCarthy, Michael; Miles, Evan; Kneib, Marin; Buri, Pascal; Fugger, Stefan; Pellicciotti, Francesca] Swiss Fed Res Inst WSL, Birmensdorf, Switzerland; [McCarthy, Michael] British Antarctic Survey, Nat Environm Res Council, Cambridge, England; [Kneib, Marin; Fugger, Stefan] Swiss Fed Inst Technol, Inst Environm Engn, Zurich, Switzerland; [Pellicciotti, Francesca] Northumbria Univ, Dept Geog, Newcastle Upon Tyne, Tyne &amp; Wear, England</t>
  </si>
  <si>
    <t>Swiss Federal Institutes of Technology Domain; Swiss Federal Institute for Forest, Snow &amp; Landscape Research; UK Research &amp; Innovation (UKRI); Natural Environment Research Council (NERC); NERC British Antarctic Survey; Swiss Federal Institutes of Technology Domain; ETH Zurich; Northumbria University</t>
  </si>
  <si>
    <t>McCarthy, M (corresponding author), Swiss Fed Res Inst WSL, Birmensdorf, Switzerland.;McCarthy, M (corresponding author), British Antarctic Survey, Nat Environm Res Council, Cambridge, England.</t>
  </si>
  <si>
    <t>michael.mccarthy@wsl.ch</t>
  </si>
  <si>
    <t>shuqian, liu/CAF-5267-2022; Buri, Pascal/IAP-7572-2023; Miles, Evan/J-1286-2019; Kneib, Marin/AHC-6623-2022</t>
  </si>
  <si>
    <t>Miles, Evan/0000-0001-5446-8571; Kneib, Marin/0000-0002-2420-0475; McCarthy, Michael/0000-0002-4138-0578; Fugger, Stefan/0000-0002-4659-4209</t>
  </si>
  <si>
    <t>European Research Council (ERC) under the European Union [772751]; European Research Council (ERC) [772751] Funding Source: European Research Council (ERC)</t>
  </si>
  <si>
    <t>European Research Council (ERC) under the European Union(European Research Council (ERC)); European Research Council (ERC)(European Research Council (ERC)Spanish Government)</t>
  </si>
  <si>
    <t>This study would not have been possible without the in-situ supraglacial debris thickness data we used for validation, from colleagues including Bhanu Pratap, Lavkush Patel, and from the Zenodo Community of the IACS Working Group on Debris Covered Glaciers. This project has received funding from the European Research Council (ERC) under the European Union's Horizon 2020 research and innovation program grant agreement No 772751, RAVEN, Rapid mass losses of debris-covered glaciers in High Mountain Asia. We thank Argha Banerjee and two anonymous reviewers for their comments and suggestions, which helped to improve this study.</t>
  </si>
  <si>
    <t>NOV 5</t>
  </si>
  <si>
    <t>10.1038/s43247-022-00588-2</t>
  </si>
  <si>
    <t>5Y3GE</t>
  </si>
  <si>
    <t>Green Accepted, Green Published, gold, Green Submitted</t>
  </si>
  <si>
    <t>WOS:000879172800002</t>
  </si>
  <si>
    <t>Hussain, A; Ray, MK</t>
  </si>
  <si>
    <t>Hussain, Ashaq; Ray, Malay Kumar</t>
  </si>
  <si>
    <t>DEAD box RNA helicases protect Antarctic Pseudomonas syringae Lz4W against oxidative stress</t>
  </si>
  <si>
    <t>INFECTION GENETICS AND EVOLUTION</t>
  </si>
  <si>
    <t>Antarctic bacterium; DEAD box RNA helicases; Nucleic acid damage; Spot assays; Oxidative stress</t>
  </si>
  <si>
    <t>ESCHERICHIA-COLI; ADAPTIVE RESPONSE; NUCLEIC-ACIDS; CELL-DEATH; DNA; ULTRAVIOLET; IDENTIFICATION; REPAIR; DAMAGE; TEMPERATURE</t>
  </si>
  <si>
    <t>DEAD box RNA helicases are involved in important cellular processes like RNA metabolism (Processing and Degradation), ribosome biogenesis and translation. Besides being crucial to the formation of cold adapted degradosomes, RNA helicases have been implicated in structural rearrangement of RNA, implying a role in alleviation of RNA secondary structure stabilization at low temperature. This study depicts the results of experiments on protective role played by DEAD box RNA helicases against nucleic acid damaging agents. RNA helicase mutants Delta rhlE, Delta srmB, Delta csdA, Delta dbpA and Delta rhlB cells were exposed to various DNA damaging agents (UV, Paraquat, Mitomycin C, Hydroxyurea and Hydrogen peroxide) and assessed for sensitivity to them. Our results illustrate that Delta csdA displayed sensitivity to paraquat (that causes oxidative damage) and UV radiation induced DNA damage. On the other hand, Delta srmB displays sensitivity to hydroxyurea that causes damage to the replication forks (RFs) by inhibiting ribonucleotide reductase and depleting the dNTP pool of cells. However, all five RNA helicase mutants were resistant to H2O2 mediated oxidative stress and mitomycin C induced DNA cross-links.</t>
  </si>
  <si>
    <t>[Hussain, Ashaq; Ray, Malay Kumar] Ctr Cellular &amp; Mol Biol, Hyderabad, India</t>
  </si>
  <si>
    <t>Council of Scientific &amp; Industrial Research (CSIR) - India; CSIR - Centre for Cellular &amp; Molecular Biology (CCMB)</t>
  </si>
  <si>
    <t>Hussain, A; Ray, MK (corresponding author), Ctr Cellular &amp; Mol Biol, Hyderabad, India.</t>
  </si>
  <si>
    <t>ashaqccmb@gmail.com; malay.ccmb@gmail.com</t>
  </si>
  <si>
    <t>Council for Scientific and Industrial Research (CSIR), Government of India</t>
  </si>
  <si>
    <t>Council for Scientific and Industrial Research (CSIR), Government of India(Council of Scientific &amp; Industrial Research (CSIR) - India)</t>
  </si>
  <si>
    <t>The authors acknowledge Council for Scientific and Industrial Research (CSIR), Government of India for financial support in the form of fellowship to Ashaq Hussain during this study.</t>
  </si>
  <si>
    <t>1567-1348</t>
  </si>
  <si>
    <t>1567-7257</t>
  </si>
  <si>
    <t>INFECT GENET EVOL</t>
  </si>
  <si>
    <t>Infect. Genet. Evol.</t>
  </si>
  <si>
    <t>10.1016/j.meegid.2022.105382</t>
  </si>
  <si>
    <t>Infectious Diseases</t>
  </si>
  <si>
    <t>D3OD9</t>
  </si>
  <si>
    <t>WOS:000967844800001</t>
  </si>
  <si>
    <t>Suárez-Morales, E</t>
  </si>
  <si>
    <t>Suarez-Morales, Eduardo</t>
  </si>
  <si>
    <t>A new species of Monstrilla (Copepoda, Monstrilloida) from the western Caribbean with comments on M. wandelii Stephensen, 1913 and M. conjunctiva Giesbrecht, 1893</t>
  </si>
  <si>
    <t>Mexican Caribbean; Monstrillidae; morphology; protelean endoparasites; taxonomy</t>
  </si>
  <si>
    <t>SUAREZ-MORALES; CRUSTACEA; GENUS; SARS; SEA; KEY</t>
  </si>
  <si>
    <t>The taxonomic study of monstrilloid copepods is hampered by incomplete early descriptions, uncertain synonymies, and the difficulty of reliably matching males and females of species. A re-evaluation of male monstrilloid specimens collected from two reef areas of the Mexican Caribbean allowed me to clarify the status of Monstrilla mariaeugeniae Suarez-Morales &amp; Islas-Landeros, 1993 and M. wandelii Stephensen, 1913 based on a comparison of males attributed to each of these species. Males from the Puerto Morelos reef system, northern Mexican Caribbean coast, were first proposed as a tropical subspecies of the subarctic M. wandelii; later on, morphologically close males collected from the Mahahual reef area, southern Mexican Caribbean coast, were designated as the males of M. mariaeugeniae. Their status is here corrected with the description ofM. mahahualensis sp. nov. based on the Mahahual males; the new species shares the same type of genitalia with the antarctic M. conjunctiva Giesbrecht, 1892 and the subarctic M. wandelii; Park (1967) linked a single male from Vancouver to M. wandelii. It was realised that Park's (1967) males from the Vancouver area and the two Mexican Caribbean groups of males represent different, undescribed species. I here reassign the males earlier attributed to M. mariaeugeniae as a new species of Monstrilla which is herein described. The new species differs from the males of M. conjunctiva and M. wandelii by details of the genitalia, length of the setae of the fifth legs, armature and integumental structures of the antennules, and size of the outer exopodal spines of legs 1-4. This is the third known species of Monstrilla with a M. conjunctiva-like male genitalia and the first one known from tropical areas. The male of both M. mariaeugeniae and M. wandelii remain unknown.</t>
  </si>
  <si>
    <t>[Suarez-Morales, Eduardo] El Colegio Frontera ECOSUR, Unidad Chetumal, Chetmal 77014, Mexico</t>
  </si>
  <si>
    <t>El Colegio de la Frontera Sur (ECOSUR)</t>
  </si>
  <si>
    <t>Suárez-Morales, E (corresponding author), El Colegio Frontera ECOSUR, Unidad Chetumal, Chetmal 77014, Mexico.</t>
  </si>
  <si>
    <t>esuarez@ecosur.mx</t>
  </si>
  <si>
    <t>NOV 4</t>
  </si>
  <si>
    <t>10.3897/zookeys.1128.84944</t>
  </si>
  <si>
    <t>8V5GS</t>
  </si>
  <si>
    <t>WOS:000930659000003</t>
  </si>
  <si>
    <t>Salim, SN; Adhikari, A; Shaikh, AA; Menon, HB; Kumar, NVPK; Rajeev, K</t>
  </si>
  <si>
    <t>Salim, S. Neha; Adhikari, Arjun; Shaikh, Atiba A.; Menon, Harilal B.; Kumar, N. V. P. Kiran; Rajeev, K.</t>
  </si>
  <si>
    <t>Aerosol-boundary layer dynamics and its effect on aerosol radiative forcing and atmospheric heating rate in the Indian Ocean sector of Southern Ocean</t>
  </si>
  <si>
    <t>Marine atmospheric boundary layer (MABL); Clouds; Inversions; Aerosols; Clear sky direct aerosol radiative forcing(DARF); Atmospheric heating rate(HR)</t>
  </si>
  <si>
    <t>OPTICAL-PROPERTIES; VERTICAL STRUCTURE; SAHARAN DUST; PRE-INDOEX; SEA-SALT; CLOUD; ASSOCIATIONS; VARIABILITY; STABILITY; CLIMATE</t>
  </si>
  <si>
    <t>The study examines the thermodynamic structure of the marine atmospheric boundary layer (MABL) and its effect on the aerosol dynamics in the Indian Ocean sector of Southern Ocean (ISSO) between 30 degrees S-67 degrees S and 57 degrees E-77 degrees E. It includes observations of aerosols and meteorology collected during the Xth Southern Ocean Expedition conducted in December 2017. The results revealed the effect of frontal-region-specific air-sea coupling on the thermodynamic structure of MABL and its role in regulating aerosols in ISSO. The MABL over the subtropical front was unstable and formed a well-evolved mixed layer ( 2400 m) capped by low-level inversions ( 660 m). Convective activities in the Sub-Antarctic Frontal region were associated with the Agulhas Retroflection Current, which supported the forma-tion of a well-developed mixed layer ( 1860 m). The mean estimates of aerosol optical depth (AOD) and black carbon (BC) mass concentrations were 0.095 +/- 0.006 and 50 +/- 14 ng m-3, respectively, and the resultant clear sky direct shortwave radiative forcing (DARF) and atmospheric heating rate (HR) were 1.32 +/- 0.11 W m-2 and 0.022 +/- 0.002 K day-1, respectively. In the polar front (PF) region, frequent mid-latitude cyclones led to highly stabilized MABL, supported low-level multi-layered clouds (&gt;3-layers) and multiple high-level inversions (strength &gt; 0.5 K m-1 &gt; 3000 m). The clouds were mixed-phased with temperatures less than -12 degrees C at 3000 m altitude. Interestingly, there was higher loading of dust and BC aerosols (276 +/- 24 ng m-3), maximum AOD (0.109 +/- 0.009), clear sky DARF (1.73 +/- 0.02 W m-2), and HR (0.029 +/- 0.005 K day-1). This showed an accumulation of long-range advected anthro-pogenic aerosols within baroclinic-boundaries formed over the PF region. Specifically, in the region south of PF, weak convection caused weakly-unstable MABL with a single low-level inversion followed by no clouds/single-layer clouds. Predominant clean maritime air holding a small fraction of dust and BC accounted for lower estimates of AOD (0.071 +/- 0.004), BC concentrations (90 +/- 55 ng m-3) and associated clear sky DARF and HR were 1.16 +/- 0.06 W m-2 and 0.019 +/- 0.001 K day-1, respectively.</t>
  </si>
  <si>
    <t>[Salim, S. Neha; Adhikari, Arjun; Shaikh, Atiba A.; Menon, Harilal B.] Goa Univ, Remote Sensing Lab, Taleigao 403206, India; [Salim, S. Neha; Adhikari, Arjun; Shaikh, Atiba A.; Menon, Harilal B.] Goa Univ, Sch Earth Ocean &amp; Atmospher Sci, Taleigao 403206, India; [Kumar, N. V. P. Kiran; Rajeev, K.] Vikram Sarabhai Space Ctr, Space Phys Lab, Trivandrum 695022, India</t>
  </si>
  <si>
    <t>Goa University; Goa University; Department of Space (DoS), Government of India; Indian Space Research Organisation (ISRO); Vikram Sarabhai Space Center (VSSC)</t>
  </si>
  <si>
    <t>Menon, HB (corresponding author), Goa Univ, Sch Earth Ocean &amp; Atmospher Sci, Taleigao 403206, India.</t>
  </si>
  <si>
    <t>hbmenon@unigoa.ac.in</t>
  </si>
  <si>
    <t>Rajeev, K/AAJ-2135-2020; Shaikh, Neha Salim/HJP-4376-2023</t>
  </si>
  <si>
    <t>Shaikh, Neha Salim/0000-0002-0754-1286</t>
  </si>
  <si>
    <t>Space Physics Laboratory of the Indian Space Research Organisation (ISRO-SPL) under the Geosphere-Biosphere Programme for Project Network of Observations for Boundary Layer Experiments; National Centre for Polar and Oceanic Research; Ministry of Earth Sciences</t>
  </si>
  <si>
    <t>This work is funded by the Space Physics Laboratory of the Indian Space Research Organisation (ISRO-SPL) under the Geosphere-Biosphere Programme for Project Network of Observations for Boundary Layer Experiments . The authors acknowledge the support of the National Centre for Polar and Oceanic Research, funded by the Ministry of Earth Sciences, for executing expeditions to ISSO. The authors thank all the officers, crew members, and scientists onboard ORV SA Agulhas during the SOE-X campaign for contributing to data collection.</t>
  </si>
  <si>
    <t>10.1016/j.scitotenv.2022.159770</t>
  </si>
  <si>
    <t>7W0IA</t>
  </si>
  <si>
    <t>WOS:000913196100006</t>
  </si>
  <si>
    <t>Macfarlane, NBW; Adams, J; Bennett, EL; Brooks, TM; Delborne, JA; Eggermont, H; Endy, D; Esvelt, KM; Kolodziejczyk, B; Kuiken, T; Oliva, MJ; Moreno, SP; Slobodian, L; Smith, RB; Thizy, D; Tompkins, DM; Wei, W; Redford, KH</t>
  </si>
  <si>
    <t>Macfarlane, Nicholas B. W.; Adams, Jonathan; Bennett, Elizabeth L.; Brooks, Thomas M.; Delborne, Jason A.; Eggermont, Hilde; Endy, Drew; Esvelt, Kevin M.; Kolodziejczyk, Bartlomiej; Kuiken, Todd; Oliva, Maria Julia; Moreno, Sonia Pena; Slobodian, Lydia; Smith, Risa B.; Thizy, Delphine; Tompkins, Daniel M.; Wei, Wei; Redford, Kent H.</t>
  </si>
  <si>
    <t>Direct and indirect impacts of synthetic biology on biodiversity conservation</t>
  </si>
  <si>
    <t>ISCIENCE</t>
  </si>
  <si>
    <t>CLIMATE-CHANGE; POLICY; SCIENCE; RESISTANCE; GOVERNANCE; CRISPR; TIME</t>
  </si>
  <si>
    <t>The world's biodiversity is in crisis. Synthetic biology has the potential to transform biodiversity conservation, both directly and indirectly, in ways that are negative and positive. However, applying these biotechnology tools to environmental questions is fraught with uncertainty and could harm cultures, rights, livelihoods, and nature. Decisions about whether or not to use synthetic biology for conservation should be understood alongside the reality of ongoing biodiversity loss. In 2022, the 196 Parties to the United Nations Convention on Biological Diversity are negotiating the post-2020 Global Biodiversity Framework that will guide action by governments and other stakeholders for the next decade to conserve the worlds' biodiversity. To date, synthetic biologists, conservationists, and policy makers have operated in isolation. At this critical time, this review brings these diverse perspectives together and emerges out of the need for a balanced and inclusive examination of the potential application of these technologies to biodiversity conservation.</t>
  </si>
  <si>
    <t>[Macfarlane, Nicholas B. W.] IUCN, 1630 Connecticut Ave NW Ste 300, Washington, DC 20009 USA; [Adams, Jonathan] Pangolin Words Inc, 10301 Nolan Dr, Rockville, MD 20850 USA; [Bennett, Elizabeth L.] Wildlife Conservat Soc, 2300 Southern Blvd, Bronx, NY 10460 USA; [Brooks, Thomas M.; Moreno, Sonia Pena] IUCN, 28 rue Mauverney, CH-1196 Gland, Switzerland; [Brooks, Thomas M.] Univ Philippines Los Banlos, World Agroforestry Ctr ICRAF, Laguna 4031, Philippines; [Brooks, Thomas M.] Univ Tasmania, Inst Marine &amp; Antarctic Studies, Hobart, Tas 7001, Australia; [Delborne, Jason A.] North Carolina State Univ, Dept Forestry &amp; Environm Resources, Raleigh, NC 27695 USA; [Delborne, Jason A.; Kuiken, Todd] North Carolina State Univ, Genet Engn &amp; Soc Ctr, Raleigh, NC 27695 USA; [Eggermont, Hilde] Belgian Biodivers Platform, WTC 3Simon Bolivarlaan 30 Bus 7, B-1000 Brussels, Belgium; [Eggermont, Hilde] Royal Belgian Inst Nat Sci, Vautierstr 29, B-1000 Brussels, Belgium; [Endy, Drew] Stanford Univ, 443 Via Ortega,Shriram Ctr RM 252, Stanford, CA 94305 USA; [Esvelt, Kevin M.] MIT, Media Lab, 77 Massachusetts Ave, Cambridge, MA 02464 USA; [Kolodziejczyk, Bartlomiej] Univ Gothenburg, S-40530 Gothenburg, Sweden; [Oliva, Maria Julia] Union Eth BioTrade UEBT, Ruijterkade 6b, NL-1013 AA Amsterdam, Netherlands; [Slobodian, Lydia] Georgetown Univ, Law Ctr, 600 New Jersey Ave NW, Washington, DC 20001 USA; [Smith, Risa B.] IUCN World Commiss Protected Areas, 19915 Porlier Pass, Galiano, BC V0N1P0, Canada; [Thizy, Delphine] Imperial Coll London, Exhibit Rd, London SW7 2BX, England; [Thizy, Delphine] Delphine Thizy Consulting Scomm, rue Alphonse Hottat 35, B-1050 Ixelles, Belgium; [Tompkins, Daniel M.] Predator Free 2050 Ltd, POB 106040, Auckland 1143, New Zealand; [Wei, Wei] Chinese Acad Sci, Inst Bot, State Key Lab Vegetat &amp; Environm Change, 20 Nanxincun, Beijing, Peoples R China; [Redford, Kent H.] Archipelago Consulting, Portland, ME 04112 USA; [Redford, Kent H.] Univ New England, Dept Environm Studies, Biddeford, ME 04005 USA</t>
  </si>
  <si>
    <t>Wildlife Conservation Society; CGIAR; World Agroforestry (ICRAF); University of Tasmania; North Carolina State University; North Carolina State University; Royal Belgian Institute of Natural Sciences; Stanford University; Massachusetts Institute of Technology (MIT); University of Gothenburg; Georgetown University; Imperial College London; Chinese Academy of Sciences; University of New England - Maine</t>
  </si>
  <si>
    <t>Macfarlane, NBW (corresponding author), IUCN, 1630 Connecticut Ave NW Ste 300, Washington, DC 20009 USA.</t>
  </si>
  <si>
    <t>nicholas.macfarlane@iucn.org</t>
  </si>
  <si>
    <t>Kuiken, Todd/A-3784-2016; Delborne, Jason/A-8251-2009</t>
  </si>
  <si>
    <t>Kuiken, Todd/0000-0001-7851-6232; Delborne, Jason/0000-0001-6436-782X</t>
  </si>
  <si>
    <t>Federal Office of the Environment of Switzerland; Luc Hoffmann Institute of World Wildlife Fund - International; Ministry for the Ecological and Inclusive Transition of France; Gordon and Betty Moore Foundation; Zegar Family Foundation</t>
  </si>
  <si>
    <t>Federal Office of the Environment of Switzerland; Luc Hoffmann Institute of World Wildlife Fund - International; Ministry for the Ecological and Inclusive Transition of France; Gordon and Betty Moore Foundation(Gordon and Betty Moore Foundation); Zegar Family Foundation</t>
  </si>
  <si>
    <t>Financial support was provided by the Federal Office of the Environment of Switzerland, the Luc Hoffmann Institute of World Wildlife Fund - International, the Ministry for the Ecological and Inclusive Transition of France, the Gordon and Betty Moore Foundation, and the Zegar Family Foundation. We are grateful to Abiyasa Adiguna Legawa, Luke Alphey, Karl Campbell, Owain Edwards, Johanna E. Elsensohn, Chris Farmer, Roisin Gorman, Reid Harris, Nick Holmes, Kate Jones, Brad Keitt, Ann Kingiri, Adam Kokotovich, Phil Leftwich, Tom Maloney, Daniel Masiga, Sarah McKain, Aroha Te Pareake Mead, Andrew E. Newhouse, Ben Novak, Alfred Oteng-Yeboah, Carolyn Pereira Force, Edward Perello, Ryan Phelan, William A. Powell, Dwita Alfiani Prawesti, Raisa Ramdani, Leonor Ridgway, Louise Rollins-Smith, Victoria Romero, Melanie Ryan, Cyriaque Sendashonga, Gernot Segelbacher, Simon Stuart, Gerd Winter, Anne-Gabrielle Wust Saucy, Madeleine van Oppen, and Nadine Zamira Syarief for their help. The views expressed in this pub-lication do not necessarily reflect those of IUCN.</t>
  </si>
  <si>
    <t>2589-0042</t>
  </si>
  <si>
    <t>iScience</t>
  </si>
  <si>
    <t>10.1016/j.isci.2022.105423</t>
  </si>
  <si>
    <t>6P9LX</t>
  </si>
  <si>
    <t>WOS:000891246600002</t>
  </si>
  <si>
    <t>Mackay, N; Watson, AJ; Suntharalingam, P; Chen, ZH; Landschützer, P</t>
  </si>
  <si>
    <t>Mackay, Neill; Watson, Andrew J.; Suntharalingam, Parvada; Chen, Zhaohui; Landschuetzer, Peter</t>
  </si>
  <si>
    <t>Improved winter data coverage of the Southern Ocean CO2 sink from extrapolation of summertime observations</t>
  </si>
  <si>
    <t>IN-SITU; ANTHROPOGENIC CO2; VARIABILITY; TEMPERATURE; CLIMATE; VERSION; RECORD; DRIVEN; FLUXES; MODEL</t>
  </si>
  <si>
    <t>Uncertainties in the CO2 flux in the Southern Ocean, produced by a lack of direct wintertime observations, can be addressed by a combination of pseudo observations and neural network machine learning-based mapping. The Southern Ocean is an important sink of anthropogenic CO2, but it is among the least well-observed ocean basins, and consequentially substantial uncertainties in the CO2 flux reconstruction exist. A recent attempt to address historically sparse wintertime sampling produced 'pseudo' wintertime observations of surface pCO(2) using subsurface summertime observations south of the Antarctic Polar Front. Here, we present an estimate of the Southern Ocean CO2 sink that combines a machine learning-based mapping method with an updated set of pseudo observations that increases regional wintertime data coverage by 68% compared with the historical dataset. Our results confirm the suggestion that improved winter coverage has a modest impact on the reconstruction, slightly strengthening the uptake trend in the 2000s. After also adjusting for surface boundary layer temperature effects, we find a 2004-2018 mean sink of -0.16 +/- 0.07 PgC yr(-1) south of the Polar Front and -1.27 +/- 0.23 PgC yr(-1) south of 35 degrees S, consistent with independent estimates from atmospheric data.</t>
  </si>
  <si>
    <t>[Mackay, Neill; Watson, Andrew J.] Univ Exeter, Fac Environm Sci &amp; Econ, Exeter, Devon, England; [Suntharalingam, Parvada; Chen, Zhaohui] Univ East Anglia, Sch Environm Sci, Norwich, Norfolk, England; [Landschuetzer, Peter] Max Planck Inst Meteorol, D-20146 Hamburg, Germany; [Landschuetzer, Peter] InnovOceanSite, Flanders Marine Inst VLIZ, B-8400 Oostende, Belgium</t>
  </si>
  <si>
    <t>University of Exeter; University of East Anglia; Max Planck Society</t>
  </si>
  <si>
    <t>Mackay, N (corresponding author), Univ Exeter, Fac Environm Sci &amp; Econ, Exeter, Devon, England.</t>
  </si>
  <si>
    <t>n.mackay@exeter.ac.uk</t>
  </si>
  <si>
    <t>Landschützer, Peter/IQU-3835-2023</t>
  </si>
  <si>
    <t>Landschützer, Peter/0000-0002-7398-3293; Mackay, Neill/0000-0002-9758-1096</t>
  </si>
  <si>
    <t>U.K. Natural Environment Research Council [NE/P021298/1, NE/W001543/1, OCE130007]; National Science Foundation, Division of Polar Programs [NSF PLR-1425989, NSF OPP-1936222]; International Argo Program; NOAA program</t>
  </si>
  <si>
    <t>U.K. Natural Environment Research Council(UK Research &amp; Innovation (UKRI)Natural Environment Research Council (NERC)); National Science Foundation, Division of Polar Programs(National Science Foundation (NSF)); International Argo Program; NOAA program(National Oceanic Atmospheric Admin (NOAA) - USA)</t>
  </si>
  <si>
    <t>The authors acknowledge funding from the U.K. Natural Environment Research Council under the SONATA grant (NE/P021298/1) and the UNICORNS grant (NE/W001543/1). Computational resources for the SOSE were provided by NSF XSEDE resource grant OCE130007. This study has been conducted using E.U. Copernicus Marine Service Information. SOCCOM float data were collected and made freely available by the Southern Ocean Carbon and Climate Observations and Modeling (SOCCOM) Project funded by the National Science Foundation, Division of Polar Programs (NSF PLR-1425989, extension NSF OPP-1936222), supplemented by NASA, and by the International Argo Program and the NOAA programs that contribute to it (http://www.argo.ucsd.edu, http://argo.jcommops.org).Argo data were collected and made freely available by the International Argo Program and the national programs that contribute to it (http://www.argo.ucsd.edu, http://argo.jcommops.org).The Argo Program is part of the Global Ocean Observing System. Argo float data and metadata from Global Data Assembly Centre (Argo GDAC) SEANOE https://doi.org/10.17882/42182.CCMP Version-2.0 vector wind analyses are produced by Remote Sensing Systems. Data are available at www.remss.com.We would also like to thank the reviewers for their thoughtful comments and suggestions that have helped significantly improve the paper.</t>
  </si>
  <si>
    <t>10.1038/s43247-022-00592-6</t>
  </si>
  <si>
    <t>5Y1GD</t>
  </si>
  <si>
    <t>Green Published, Green Accepted, Green Submitted, gold</t>
  </si>
  <si>
    <t>WOS:000879037400002</t>
  </si>
  <si>
    <t>Twinn, G; Riley, T; Fox, M; Carter, A</t>
  </si>
  <si>
    <t>Twinn, G.; Riley, T.; Fox, M.; Carter, A.</t>
  </si>
  <si>
    <t>Thermal history of the southern Antarctic Peninsula during Cenozoic oblique subduction</t>
  </si>
  <si>
    <t>JOURNAL OF THE GEOLOGICAL SOCIETY</t>
  </si>
  <si>
    <t>GEORGE-VI SOUND; LAND SHEAR ZONE; FORE-ARC; ALEXANDER ISLAND; RIDGE SUBDUCTION; PALMER LAND; (U-TH)/HE THERMOCHRONOMETRY; LATADY BASIN; APATITE; EVOLUTION</t>
  </si>
  <si>
    <t>Apatite (U-Th)/He and apatite fission-track thermochronology is used to constrain the cooling and uplift history of the southern Antarctic Peninsula where easterly-directed subduction of the Phoenix Plate, including ridge-trench collisions, has been taking place along its western margin since the Late Cretaceous. Apatite ages and thermal history models are similar on eastern Palmer Land but are younger and vary across westernmost Palmer Land and Alexander Island. Transformation of thermal history models to a single plot shows how cooling rates varied as a function of distance from the trench zone. Eastern Palmer Land preserves a record of uplift during the Late Cretaceous that coincides with changes in Phoenix Plate convergence rates and direction. In contrast, western Palmer Land and Alexander Island experienced a period of increased rates of cooling between c. 25 and 15 Ma. This younger phase of exhumation is bounded by major fault zones related to the extension and rifting that formed the present-day George VI Sound. It was probably triggered by cessation of subduction owing to trench collision of a ridge segment NE of the Heezen fracture zone. No evidence was found for slab window influences as seen along the northernmost part of the Antarctic Peninsula.</t>
  </si>
  <si>
    <t>[Twinn, G.; Carter, A.] Birkbeck Univ London, Dept Earth &amp; Planetary Sci, Malet St, London WC1E 7HX, England; [Riley, T.] British Antarctic Survey, High Cross,Madingley Road, Cambridge CB3 0ET, England; [Fox, M.] UCL, Dept Earth Sci, Gower St, London WC1E 76BT, England</t>
  </si>
  <si>
    <t>University of London; Birkbeck University London; UK Research &amp; Innovation (UKRI); Natural Environment Research Council (NERC); NERC British Antarctic Survey; University of London; University College London</t>
  </si>
  <si>
    <t>Twinn, G (corresponding author), Birkbeck Univ London, Dept Earth &amp; Planetary Sci, Malet St, London WC1E 7HX, England.</t>
  </si>
  <si>
    <t>g.twinn@ucl.ac.uk</t>
  </si>
  <si>
    <t>Fox, Matthew/K-2004-2019</t>
  </si>
  <si>
    <t>Twinn, Gary/0000-0003-4133-5926; Riley, Teal/0000-0002-3333-5021</t>
  </si>
  <si>
    <t>GEOLOGICAL SOC PUBL HOUSE</t>
  </si>
  <si>
    <t>BATH</t>
  </si>
  <si>
    <t>UNIT 7, BRASSMILL ENTERPRISE CENTRE, BRASSMILL LANE, BATH BA1 3JN, AVON, ENGLAND</t>
  </si>
  <si>
    <t>0016-7649</t>
  </si>
  <si>
    <t>2041-479X</t>
  </si>
  <si>
    <t>J GEOL SOC LONDON</t>
  </si>
  <si>
    <t>J. Geol. Soc.</t>
  </si>
  <si>
    <t>10.1144/jgs2022-008</t>
  </si>
  <si>
    <t>4Y7XR</t>
  </si>
  <si>
    <t>Green Accepted, hybrid, Green Published, Green Submitted</t>
  </si>
  <si>
    <t>WOS:000861737200001</t>
  </si>
  <si>
    <t>Trotter, JA; Taviani, M; Foglini, F; Sadekov, A; Skrzypek, G; Mazzoli, C; Remia, A; Santodomingo, N; Castellan, G; McCulloch, M; Pattiaratchi, C; Montagna, P</t>
  </si>
  <si>
    <t>Trotter, Julie A.; Taviani, Marco; Foglini, Federica; Sadekov, Aleksey; Skrzypek, Grzegorz; Mazzoli, Claudio; Remia, Alessandro; Santodomingo, Nadia; Castellan, Giorgio; McCulloch, Malcolm; Pattiaratchi, Charitha; Montagna, Paolo</t>
  </si>
  <si>
    <t>Unveiling deep-sea habitats of the Southern Ocean-facing submarine canyons of southwestern Australia</t>
  </si>
  <si>
    <t>Australian submarine canyons; Deep -water fauna; Remotely Operated Vehicle; Oceanography; Southern Ocean; Deep -water corals</t>
  </si>
  <si>
    <t>ANTARCTIC INTERMEDIATE WATER; CORAL LOPHELIA-PERTUSA; SOLENOSMILIA-VARIABILIS; WESTERN-AUSTRALIA; WHITTARD CANYON; CARBON; HETEROGENEITY; PRODUCTIVITY; LEEUWIN; GROWTH</t>
  </si>
  <si>
    <t>Here we present the outcomes of the first deep-sea remotely operated vehicle study of previously unexplored submarine canyon systems along the southwest Australian continental margin. This was conducted around: (1) the Bremer Marine Park; (2) the Mount Gabi seamount and nearby slope-shelf margin at the interface of the Southern and Indian oceans; with new information from (3) the Perth Canyon Marine Park located in the SE Indian Ocean. These canyons differ from many explored around the world in having no connectivity to continental river systems, thus little detrital input, with the Bremer systems and Mount Gabi facing the Southern Ocean which plays a key role in the global ocean circulation and climate systems. Such studies in the vast deep waters around the Australian continent are rare given the lack of local ROV capability available for research, thus little is known about these environments. Using the resources of the Schmidt Ocean Institute, we characterised the submarine topography from highresolution bathymetric mapping, geology, physical and chemical oceanography, and provide an overview of these environments including the fauna observed and collected. We show that these Southern Ocean-influenced environments incorporate South Indian Central Water, Subantarctic Mode Water, Antarctic Intermediate Water, and Upper and Lower Circumpolar Deep Water, with Antarctic Bottom Water present in deep water just south of the Bremer canyon systems. The richness in megabenthos, especially along the steep, rocky substrates of the canyon heads and walls around the Bremer canyon systems, contrasts to the comparatively depauperate fauna of the more northerly Perth Canyon. Various corals serve as important substrates for a range of other species and often exhibit particular faunal associations. Especially notable are distinct ecological zones including a bryozoan and sponge-dominated (animal) forest on the shelf edge, spectacular coral gardens along canyon margins, and the occurrence of solitary scleractinians well below the aragonite saturation horizon. Subfossil coral deposits were discovered across all three study areas, reflecting periodic waxing and waning of deep-water Scleractinia throughout this southwest region. Extensive pre-modern assemblages at Mount Gabi contrast markedly with the sparse populations of living species and suggest that it might have once been a major coral hotspot, or whether they reflect long-term coral aggregations is yet to be determined. Nevertheless, stark differences in both living and past coral distribution patterns across our study sites point to at least localised fluctuations in Southern Ocean-derived nutrient and/or oxygen supplies to these deep-sea communities.</t>
  </si>
  <si>
    <t>[Trotter, Julie A.; Sadekov, Aleksey; McCulloch, Malcolm; Pattiaratchi, Charitha] Univ Western Australia, Oceans Grad Sch, Perth 6009, Australia; [Trotter, Julie A.; Sadekov, Aleksey; McCulloch, Malcolm; Pattiaratchi, Charitha] Univ Western Australia, UWA Oceans Inst, Perth 6009, Australia; [Taviani, Marco; Foglini, Federica; Remia, Alessandro; Castellan, Giorgio] CNR, Ist Sci Marine ISMAR, Bologna, Italy; [Taviani, Marco] Stn Zool Anton Dohrn, Naples, Italy; [Taviani, Marco] Woods Hole Oceanog Inst, Biol Dept, Woods Hole, MA 02543 USA; [Skrzypek, Grzegorz] Univ Western Australia, Sch Biol Sci, Perth 6009, Australia; [Mazzoli, Claudio] Univ Padua, Dept Geosci, I-35131 Padua, Italy; [Santodomingo, Nadia] Dept Earth Sci, Nat Hist Museum, Cromwell Rd, London SW7, England; [McCulloch, Malcolm] Univ Western Australia, ARC Ctr Excellence Coral Reef Studies, Perth 6009, Australia; [Montagna, Paolo] CNR, Ist Sci Polari ISP, Bologna, Italy</t>
  </si>
  <si>
    <t>University of Western Australia; University of Western Australia; Consiglio Nazionale delle Ricerche (CNR); Istituto di Scienze Marine (ISMAR-CNR); Stazione Zoologica Anton Dohrn di Napoli; Woods Hole Oceanographic Institution; University of Western Australia; University of Padua; Natural History Museum London; University of Western Australia; Consiglio Nazionale delle Ricerche (CNR); Istituto di Scienze Polari (ISP-CNR)</t>
  </si>
  <si>
    <t>Trotter, JA (corresponding author), Univ Western Australia, Oceans Grad Sch, Perth 6009, Australia.;Trotter, JA (corresponding author), Univ Western Australia, UWA Oceans Inst, Perth 6009, Australia.</t>
  </si>
  <si>
    <t>julie.trotter@uwa.edu.au</t>
  </si>
  <si>
    <t>Castellan, Giorgio/ABC-3340-2020; Skrzypek, Grzegorz/B-4202-2008; Mazzoli, Claudio/H-9651-2015; Pattiaratchi, Charitha/E-6916-2011; Trotter, Julie/H-5981-2014; McCulloch, Malcolm Thomas/C-3651-2009</t>
  </si>
  <si>
    <t>Castellan, Giorgio/0000-0001-6084-1504; Mazzoli, Claudio/0000-0002-0374-8415; Skrzypek, Grzegorz/0000-0002-5686-2393; Santodomingo, Nadiezhda/0000-0003-1392-2672; Pattiaratchi, Charitha/0000-0003-2229-6183; Trotter, Julie/0000-0002-0505-488X; McCulloch, Malcolm Thomas/0000-0003-1538-1558</t>
  </si>
  <si>
    <t>Australian Research Council [FT160100259, DP21012896]; Italian National Programme of Antarctic Research [PNRA16-00069]; Australian Research Council [FT160100259] Funding Source: Australian Research Council</t>
  </si>
  <si>
    <t>Australian Research Council(Australian Research Council); Italian National Programme of Antarctic Research; Australian Research Council(Australian Research Council)</t>
  </si>
  <si>
    <t>The authors gratefully acknowledge the Schmidt Ocean Institute for providing R/V Falkor and all necessary equipment and crew that enabled us to undertake cruise FK200126. Falkor's Captain, (Peter Reynolds) and crew, and the ROV SuBastian pilots (Russell Coffield, Kris Ingram, Cody Peyres, Jason Rodriguez, and Adam Wetmore) are thanked for their expert assistance during the cruise. University students and field technicians (Todd Bond, Carlin Bowyer, Jill Brouwer, Paula Cartwright, Sara Hajabane, Kaycee Handley, Netra Sagar, and Taylor Simpkins) are acknowledged for their assistance during and/or after the cruise. We thank officers from the Western Australian Museum (Andrew Hosie, Ana Hara), for their participation during the cruise and some taxonomic identifications. We also thank Tina Molodstova and Asako Matsumoto for assistance with some coral identifications. This work was supported by research funding from the Australian Research Council to JT (FT160100259) and MM, JT, MT, PM (DP21012896), as well as the Italian National Programme of Antarctic Research (PNRA16-00069 Graceful Project) to PM and MT. This research was partly conducted in the Bremer Marine Park and Perth Canyon Marine Park under permit number PA2019-00080-1(2), issued by the Director of National Parks, Australia. The views expressed in this publication do not necessarily represent the views of the Director of National Parks or the Australian Government. This is ISMAR-CNR, Bologna scientific contribution n. 2036.</t>
  </si>
  <si>
    <t>10.1016/j.pocean.2022.102904</t>
  </si>
  <si>
    <t>8D1QM</t>
  </si>
  <si>
    <t>WOS:000918073600001</t>
  </si>
  <si>
    <t>Ratnarajah, L; Puigcorbé, V; Moreau, S; Roca-Martí, M; Janssens, J; Corkill, M; Duprat, L; Genovese, C; Lieser, J; Masqué, P; Lannuzel, D</t>
  </si>
  <si>
    <t>Ratnarajah, Lavenia; Puigcorbe, Viena; Moreau, Sebastien; Roca-Marti, Montserrat; Janssens, Julie; Corkill, Matthew; Duprat, Luis; Genovese, Cristina; Lieser, Jan; Masque, Pere; Lannuzel, Delphine</t>
  </si>
  <si>
    <t>Distribution and export of particulate organic carbon in East Antarctic coastal polynyas</t>
  </si>
  <si>
    <t>Particulate organic carbon; POC export; 234Th; Polynya; Southern ocean; East Antarctica</t>
  </si>
  <si>
    <t>BENTHIC NEPHELOID LAYERS; MELTING GLACIERS FUELS; SOUTHERN-OCEAN; ROSS SEA; HETEROTROPHIC BACTERIA; PHYTOPLANKTON BLOOMS; INVERSE RELATIONSHIP; FECAL PELLETS; PARTICLE-FLUX; INDIAN SECTOR</t>
  </si>
  <si>
    <t>Polynyas represent regions of enhanced primary production because of the low, or absent, sea-ice cover coupled with the proximity of nutrient sources. However, studies throughout the Southern Ocean suggest elevated pri-mary production does not necessarily result in increased carbon export. Three coastal polynyas in East Antarctica and an off-shelf region were visited during the austral summer from December 2016 to January 2017 to examine the vertical distribution and concentration of particulate organic carbon (POC). Carbon export was also exam-ined using thorium-234 (234Th) as a proxy at two of the polynyas. Our results show that concentrations and integrated POC stocks were higher within the polynyas compared to the off-shelf sites. Within the polynyas, vertical POC concentrations were higher in the Mertz and Ninnis polynyas compared to the Dalton polynya. Similarly, higher carbon export was measured in the diatom-dominated Mertz polynya, where large particles (&gt;53 mu m) represented a significant fraction of the particulate 234Th and POC (average 50% and 39%, respec-tively), compared to the small flagellate-dominated Dalton polynya, where almost all the particulate 234Th and POC were found in the smaller size fraction (1-53 mu m). The POC to Chlorophyll-a ratios suggest that organic matter below the mixed layer in the polynyas consisted largely of fresh phytoplankton at this time of the year. In combination with a parallel study on phytoplankton production at these sites, we find that increased primary production at these polynyas does lead to greater concentrations and export of POC and a higher POC export efficiency.</t>
  </si>
  <si>
    <t>[Ratnarajah, Lavenia] Univ Tasmania, Antarctic Climate &amp; Ecosyst Cooperat Res Ctr, Hobart, Tas, Australia; [Ratnarajah, Lavenia] Univ Liverpool, Sch Environm Sci, Dept Earth Ocean &amp; Ecol Sci, Liverpool, Merseyside, England; [Puigcorbe, Viena] CSIC, Dept Marine Biol &amp; Oceanog, Inst Ciencies Mar ICM, Barcelona, Spain; [Puigcorbe, Viena; Masque, Pere] Edith Cowan Univ, Ctr Marine Ecosyst Res, Sch Sci, Joondalup, WA, Australia; [Moreau, Sebastien] Fram Ctr, Norwegian Polar Inst, POB 6606, NO-9296 Tromso, Norway; [Moreau, Sebastien; Duprat, Luis; Genovese, Cristina] Univ Tasmania, Australian Res Council, Antarctic Gateway Partnership, Hobart, Tas, Australia; [Moreau, Sebastien; Janssens, Julie; Corkill, Matthew; Duprat, Luis; Genovese, Cristina; Lieser, Jan; Lannuzel, Delphine] Univ Tasmania, Inst Marine &amp; Antarctic Studies, Hobart, Tas, Australia; [Roca-Marti, Montserrat] Dalhousie Univ, Dept Oceanog, Halifax, NS, Canada; [Roca-Marti, Montserrat] Woods Hole Oceanog Inst, Dept Marine Chem &amp; Geochem, Woods Hole, MA 02543 USA; [Lieser, Jan] Bur Meteorol, Hobart, Tas, Australia; [Masque, Pere] IAEA, Monte Carlo, Monaco</t>
  </si>
  <si>
    <t>Antarctic Climate &amp; Ecosystems Cooperative Research Centre (ACE CRC); University of Tasmania; University of Liverpool; Consejo Superior de Investigaciones Cientificas (CSIC); CSIC - Centro Mediterraneo de Investigaciones Marinas y Ambientales (CMIMA); CSIC - Instituto de Ciencias del Mar (ICM); Edith Cowan University; Norwegian Polar Institute; University of Tasmania; University of Tasmania; Dalhousie University; Woods Hole Oceanographic Institution; Bureau of Meteorology - Australia</t>
  </si>
  <si>
    <t>Ratnarajah, L (corresponding author), Univ Tasmania, Antarctic Climate &amp; Ecosyst Cooperat Res Ctr, Hobart, Tas, Australia.;Puigcorbé, V (corresponding author), CSIC, Dept Marine Biol &amp; Oceanog, Inst Ciencies Mar ICM, Barcelona, Spain.</t>
  </si>
  <si>
    <t>Lavenia.Ratnarajah@utas.edu.au; Viena.Puigcorbe@outlook.com</t>
  </si>
  <si>
    <t>Puigcorbé, Viena/I-9349-2016; Masque, Pere/AAC-9349-2022; Martí, Montserrat Roca/AAD-2094-2022; Lannuzel, Delphine/J-7937-2014</t>
  </si>
  <si>
    <t>Puigcorbé, Viena/0000-0001-5892-2305; Masque, Pere/0000-0002-1789-320X; Martí, Montserrat Roca/0000-0002-4719-9358; Janssens, Julie/0000-0003-1789-9940</t>
  </si>
  <si>
    <t>Australian Government's Cooperative Research Centres through the Antarctic Climate and Ecosystem Cooperative Research Centre; Australian Antarctic Division research projects [AAS 4131, 4291]; Institute for Marine and Antarctic Studies, University of Tasmania; BYONIC (ERC) [724289]; Australian Research Council [L0026677]; Australian Research Council's Special Research Initiative for Antarctic Gateway Partnership [SR140300001]; Edith Cowan University [G1003456]; ECU-Collaboration Enhancement Scheme grant [G1003362]; La Caixa Foundation [100010434]; European Union's Horizon 2020 research and innovation programme under the Marie Sklodowska-Curie grant [847648, 105183]; Woods Hole Oceanographic Institution's Ocean Twilight Zone study; Ocean Frontier Institute; Government of the Principality of Monaco; 'Severo Ochoa Centre of Excellence' accreditation [CEX2019-000928-S]</t>
  </si>
  <si>
    <t>Australian Government's Cooperative Research Centres through the Antarctic Climate and Ecosystem Cooperative Research Centre(Australian GovernmentDepartment of Industry, Innovation and ScienceCooperative Research Centres (CRC) Programme); Australian Antarctic Division research projects; Institute for Marine and Antarctic Studies, University of Tasmania; BYONIC (ERC); Australian Research Council(Australian Research Council); Australian Research Council's Special Research Initiative for Antarctic Gateway Partnership(Australian Research Council); Edith Cowan University; ECU-Collaboration Enhancement Scheme grant; La Caixa Foundation(La Caixa Foundation); European Union's Horizon 2020 research and innovation programme under the Marie Sklodowska-Curie grant(Marie Curie Actions); Woods Hole Oceanographic Institution's Ocean Twilight Zone study; Ocean Frontier Institute; Government of the Principality of Monaco; 'Severo Ochoa Centre of Excellence' accreditation</t>
  </si>
  <si>
    <t>This study was supported by the Australian Government's Cooperative Research Centres through the Antarctic Climate and Ecosystem Cooperative Research Centre, the Australian Antarctic Division research projects AAS 4131 and 4291, and the Institute for Marine and Antarctic Studies, University of Tasmania. L. Ratnarajah also received support from BYONIC (ERC award number 724289). D. Lannuzel was supported by an Australian Research Council Future Fellowship (Project ID L0026677). S. Moreau and C. Genovese were supported by the Australian Research Council's Special Research Initiative for Antarctic Gateway Partnership (Project ID SR140300001). V. Puigcorb ' e was supported by Edith Cowan University through an Early Career Researcher Grant (G1003456) and an ECU-Collaboration Enhancement Scheme grant (G1003362). V. Puigcorb ' e received the support of a fellowship from la Caixa Foundation (ID 100010434) and from the European Union's Horizon 2020 research and innovation programme under the Marie Sklodowska-Curie grant agreement No 847648 (fellowship code 105183). M. Roca-Marti was supported by funding from the Woods Hole Oceanographic Institution's Ocean Twilight Zone study and the Ocean Frontier Institute. Thanks to Thomas Rodemann at the Central Science Laboratory, University of Tasmania, Australia for the POC analyses, to Stephen Tibben and the Marine National Facility, CSIRO, Australia for ammonium analyses, to Walter Geibert, Alfred Wegener Institute (Germany), for thorium recovery analyses, and to Tom Trull for providing critical comments on the development of this manuscript. We acknowledge the use of imagery from the NASA Worldview application (https://worldview.earthdata.nasa.gov), part of the NASA Earth Observing System Data and Information System (EOSDIS). The IAEA is grateful for the support provided to its Environment Laboratories by the Government of the Principality of Monaco. This work acknowledges the `Severo Ochoa Centre of Excellence' accreditation (CEX2019-000928-S). Lastly, the authors would like to thank the officers and crew of the RSV Aurora Australis for their logistical support.</t>
  </si>
  <si>
    <t>10.1016/j.dsr.2022.103899</t>
  </si>
  <si>
    <t>6F9LY</t>
  </si>
  <si>
    <t>WOS:000884383200003</t>
  </si>
  <si>
    <t>Shimabukuro, M; Couto, DM; Bernardino, AF; Souza, BHM; Carrerette, O; Pellizari, VH; Sumida, PYG</t>
  </si>
  <si>
    <t>Shimabukuro, Mauricio; Couto, Daniel M.; Bernardino, Angelo F.; Souza, Bruno H. M.; Carrerette, Orlemir; Pellizari, Vivian H.; Sumida, Paulo Y. G.</t>
  </si>
  <si>
    <t>Whale bone communities in the deep Southwest Atlantic Ocean</t>
  </si>
  <si>
    <t>Skeleton fauna; Deep sea; Bathymetric pattern; Organic falls</t>
  </si>
  <si>
    <t>EATING OSEDAX WORMS; MACROFAUNAL ASSEMBLAGES; ANNELIDA SIBOGLINIDAE; NORTHEAST PACIFIC; SPECIES RICHNESS; NE PACIFIC; SEA; FALLS; DIVERSITY; WOOD</t>
  </si>
  <si>
    <t>Whale falls are considered important habitats contributing to biodiversity, evolutionary novelty and connectivity of deep-sea environments. The organic input of a whale carcass increases the community standing stock and changes the species composition in comparison with the surrounding benthic infauna. However, endofauna living inside the bone matrix seems to contribute to the overall whale-fall biodiversity. Benthic infauna is distributed in bathymetric ranges, but the contribution of endofauna from whale bones in different depth regions is still not accessed. We investigated endofauna composition of whale vertebrae of a humpback whale (Megaptera novaeangliae) in two distinct depths, bathyal (1500 m, stations SP1500 and ES1500) and abyssal (3300 m, sta-tions SP3300, RJ3300 and ES3300), deployed in the SW Atlantic Ocean. Even though each bone represented the same energetic input, a higher density of endofauna was found at 1500 m while diversity was higher at 3300 m. The whale-fall endofaunal assemblages were distinct according to the depth zones. SP3300 site was distinct from bones placed at 1500 m depth, while the assemblages at RJ3300 and ES3300 sites consisted of a mixture between both depths. This pattern seems to be related to the water currents of the region, once SP3300 was under in-fluence of the Antarctic Bottom Water (AABW), while SP1500 and ES1500 were dominated by the North Atlantic Deep Water (NADW).</t>
  </si>
  <si>
    <t>[Shimabukuro, Mauricio; Couto, Daniel M.; Souza, Bruno H. M.; Carrerette, Orlemir; Pellizari, Vivian H.; Sumida, Paulo Y. G.] Univ Sao Paulo, Inst Oceanog, Praca Oceanog 191, BR-05508120 Sao Paulo, SP, Brazil; [Shimabukuro, Mauricio] Univ Fed Rio Grande, Inst Oceanog, Ave Italia Km 8, 900, BR-96203900 Rio Grande, RS, Brazil; [Bernardino, Angelo F.] Univ Fed Espirito Santo, Dept Oceanog, Grp Ecol Benton, Ave Fernando Ferrari 514, BR-29075910 Vitoria, ES, Brazil</t>
  </si>
  <si>
    <t>Universidade de Sao Paulo; Universidade Federal do Rio Grande; Universidade Federal do Espirito Santo</t>
  </si>
  <si>
    <t>Sumida, PYG (corresponding author), Univ Sao Paulo, Inst Oceanog, Praca Oceanog 191, BR-05508120 Sao Paulo, SP, Brazil.</t>
  </si>
  <si>
    <t>psumida@usp.br</t>
  </si>
  <si>
    <t>Bernardino, Angelo Fraga/C-6921-2012; Pellizari, Vivian/J-9153-2012; Shimabukuro, Maurício/O-3014-2016; Sumida, Paulo/F-2561-2011</t>
  </si>
  <si>
    <t>Bernardino, Angelo Fraga/0000-0002-1838-4597; Shimabukuro, Maurício/0000-0002-1572-8542; Sumida, Paulo/0000-0001-7549-4541; Souza, Bruno/0000-0001-6010-4803; Couto, Daniel/0000-0002-5847-2196</t>
  </si>
  <si>
    <t>CAPES/Proex PhD scholarship; BIOTA-FAPESP (Research Program on Biodiversity Characterization, Conservation, Restoration and Sustainable Use -Sao Paulo Research Foundation) [2011/50185-1]; CNPq [301089/2016-7, 301554/2019-6, 310228/2018-2]; CAPES/Proex master scholarship; FAPESP [2016/12365-1]; [Santander/PRG/USP 174/16]</t>
  </si>
  <si>
    <t>CAPES/Proex PhD scholarship(Coordenacao de Aperfeicoamento de Pessoal de Nivel Superior (CAPES)); BIOTA-FAPESP (Research Program on Biodiversity Characterization, Conservation, Restoration and Sustainable Use -Sao Paulo Research Foundation); CNPq(Conselho Nacional de Desenvolvimento Cientifico e Tecnologico (CNPQ)); CAPES/Proex master scholarship; FAPESP(Fundacao de Amparo a Pesquisa do Estado de Sao Paulo (FAPESP));</t>
  </si>
  <si>
    <t>We would like to thank the Master's and crews of R/V Alpha-Crucis and R/V Alpha Delphini from IOUSP during the deployment and the recovery of SP-1500 lander. We are also indebted to the Brazilian Navy and the Master and crew of PRV Almirante Maximiano for the help during the recovery of the other landers. We would like to deeply thank Francisco L.V. Neto and the staff of LIO/IOUSP for their assistance in setting up landers and during the deployment cruise. MS was supported by CAPES/Proex PhD scholarship. PYGS was funded by BIOTA-FAPESP (Research Program on Biodiversity Characterization, Conservation, Restoration and Sustainable Use -Sao Paulo Research Foundation) grant number 2011/50185-1 and CNPq Productivity in research grants 301089/2016-7 and 301554/2019-6. VHP benefitted from CNPq Productivity in research grant 310228/2018-2. PYGS received Santander/PRG/USP 174/16 grant, which supported the internship of DMC. BHMS was supported by CAPES/Proex master scholarship. OC received a post-doc fellowship from FAPESP (proc. 2016/12365-1).</t>
  </si>
  <si>
    <t>10.1016/j.dsr.2022.103916</t>
  </si>
  <si>
    <t>6F0PC</t>
  </si>
  <si>
    <t>WOS:000883771400001</t>
  </si>
  <si>
    <t>Franco-Cisterna, B; Glud, A; Bristow, LA; Rudra, A; Sanei, H; Winding, MHS; Nielsen, TG; Glud, RN; Stief, P</t>
  </si>
  <si>
    <t>Franco-Cisterna, Belen; Glud, Anni; Bristow, Laura A.; Rudra, Arka; Sanei, Hamed; Winding, Mie H. S.; Nielsen, Torkel G.; Glud, Ronnie N.; Stief, Peter</t>
  </si>
  <si>
    <t>Sinking krill carcasses as hotspots of microbial carbon and nitrogen cycling in the Arctic</t>
  </si>
  <si>
    <t>Biological carbon pump; marine snow; nitrogen; carbon; oxygen; krill; degradation; mineralization</t>
  </si>
  <si>
    <t>ORGANIC-MATTER; THYSANOESSA-INERMIS; MEGANYCTIPHANES-NORVEGICA; ANTARCTIC KRILL; POPULATION-DYNAMICS; EUPHAUSIA-SUPERBA; FECAL PELLETS; SEA; ZOOPLANKTON; COMMUNITY</t>
  </si>
  <si>
    <t>Krill represent a major link between primary producers and higher trophic levels in polar marine food webs. Potential links to lower trophic levels, such as heterotrophic microorganisms, are less well documented. Here, we studied the kinetics of microbial degradation of sinking carcasses of two dominant krill species Thysanoessa raschii and Meganyctiphanes norvegica from Southwest Greenland. Degradation experiments under oxic conditions showed that 6.0-9.1% of carbon and 6.4-7.1% of nitrogen were lost from the carcasses after one week. Aerobic microbial respiration and the release of dissolved organic carbon were the main pathways of carbon loss from the carcasses. Ammonium release generally contributed the most to carcass nitrogen loss. Oxygen micro profiling revealed anoxic conditions inside krill carcasses/specimens, allowing anaerobic nitrogen cycling through denitrification and dissimilatory nitrate reduction to ammonium (DNRA). Denitrification rates were up to 5.3 and 127.7 nmol N carcass(-1) d(-1) for T. raschii and M. norvegica, respectively, making krill carcasses hotspots of nitrogen loss in the oxygenated water column of the fjord. Carcass-associated DNRA rates were up to 4-fold higher than denitrification rates, but the combined activity of these two anaerobic respiration processes did not contribute significantly to carbon loss from the carcasses. Living krill specimens did not harbor any significant denitrification and DNRA activity despite having an anoxic gut as revealed by micro profiling. The investigated krill carcasses sink fast (1500-3000 m d(-1)) and our data show that only a small fraction of the associated carbon is lost during descent. Based on data on krill distribution, our findings are used to discuss the potential importance of sinking krill carcasses for sustaining benthic food webs in the Arctic.</t>
  </si>
  <si>
    <t>[Franco-Cisterna, Belen; Glud, Anni; Bristow, Laura A.; Glud, Ronnie N.; Stief, Peter] Univ Southern Denmark, Dept Biol, Nordcee, Odense, Denmark; [Franco-Cisterna, Belen; Glud, Anni; Glud, Ronnie N.; Stief, Peter] Univ Southern Denmark, Danish Ctr Hadal Res, HADAL, Odense, Denmark; [Rudra, Arka; Sanei, Hamed] Aarhus Univ, Dept Geosci, Lithospher Organ Carbon LOC Grp, Aarhus, Denmark; [Winding, Mie H. S.] Greenland Inst Nat Resources, Greenland Climate Res Ctr, Nuuk, Greenland; [Nielsen, Torkel G.] Tech Univ Denmark, Natl Inst Aquat Resources, Kongens Lyngby, Denmark; [Glud, Ronnie N.] Tokyo Univ Marine Sci &amp; Technol, Dept Ocean &amp; Environm Sci, Tokyo, Japan; [Glud, Ronnie N.] Univ Southern Denmark, Danish Inst Adv Study, DIAS, Odense, Denmark</t>
  </si>
  <si>
    <t>University of Southern Denmark; University of Southern Denmark; Aarhus University; Greenland Institute of Natural Resources; Technical University of Denmark; Tokyo University of Marine Science &amp; Technology; Aarhus University; University of Southern Denmark</t>
  </si>
  <si>
    <t>Franco-Cisterna, B (corresponding author), Univ Southern Denmark, Dept Biol, Nordcee, Odense, Denmark.;Franco-Cisterna, B (corresponding author), Univ Southern Denmark, Danish Ctr Hadal Res, HADAL, Odense, Denmark.</t>
  </si>
  <si>
    <t>belen@biology.sdu.dk</t>
  </si>
  <si>
    <t>Franco-Cisterna, Belén/ISA-1305-2023; Nielsen, Torkel Gissel/HLQ-4981-2023; Stief, Peter/C-1090-2017</t>
  </si>
  <si>
    <t>Franco-Cisterna, Belén/0000-0002-9114-2818; Sanei, Hamed/0000-0002-2961-9654; Glud, Ronnie N./0000-0002-7069-893X; Rudra, Arka/0000-0001-9970-2544; Stief, Peter/0000-0002-6355-150X; Nielsen, Torkel Gissel/0000-0003-1057-158X</t>
  </si>
  <si>
    <t>HADES-ERC Advanced Grant [669947]; Danish National Research Foundation through the Danish Center for Hadal Research [DNRF145]; National Agency for Research and Development (ANID); Doctorado Becas Chile [2017-72180314]</t>
  </si>
  <si>
    <t>HADES-ERC Advanced Grant; Danish National Research Foundation through the Danish Center for Hadal Research; National Agency for Research and Development (ANID); Doctorado Becas Chile</t>
  </si>
  <si>
    <t>This work was funded by HADES-ERC Advanced Grant (No. 669947), the Danish National Research Foundation through the Danish Center for Hadal Research, HADAL (No. DNRF145) awarded to R.N. Glud, and the National Agency for Research and Development (ANID), Scholarship Program, Doctorado Becas Chile, 2017-72180314 awarded to BF-C.</t>
  </si>
  <si>
    <t>NOV 3</t>
  </si>
  <si>
    <t>10.3389/fmars.2022.1019727</t>
  </si>
  <si>
    <t>6I9TW</t>
  </si>
  <si>
    <t>WOS:000886473500001</t>
  </si>
  <si>
    <t>Entezari, S; Al, MA; Mostashari, A; Ganjidoust, H; Ayati, B; Yang, J</t>
  </si>
  <si>
    <t>Entezari, Saber; Al, Mamun Abdullah; Mostashari, Amir; Ganjidoust, Hossein; Ayati, Bita; Yang, Jun</t>
  </si>
  <si>
    <t>Microplastics in urban waters and its effects on microbial communities: a critical review</t>
  </si>
  <si>
    <t>ENVIRONMENTAL SCIENCE AND POLLUTION RESEARCH</t>
  </si>
  <si>
    <t>Microplastics (MPs); Microbiome; Urban water; Fate and transport; Interaction of MPs and microbiome; Pollutant transport</t>
  </si>
  <si>
    <t>ANTIBIOTIC-RESISTANCE GENES; PLASTIC RESIN PELLETS; DRINKING-WATER; BACTERIAL COMMUNITIES; MARINE-ENVIRONMENT; SORPTION KINETICS; BIOFILM FORMATION; SURFACE WATERS; PIPE MATERIALS; PARTICLES</t>
  </si>
  <si>
    <t>Microplastic (MP) pollution is one of the emerging threats to the water and terrestrial environment, forcing a new environmental challenge due to the growing trend of plastic released into the environment. Synthetic and non-synthetic plastic components can be found in rivers, lakes/reservoirs, oceans, mountains, and even remote areas, such as the Arctic and Antarctic ice sheets. MPs' main challenge is identifying, measuring, and evaluating their impacts on environmental behaviors, such as carbon and nutrient cycles, water and wastewater microbiome, and the associated side effects. However, until now, no standardized methodical protocols have been proposed for comparing the results of studies in different environments, especially in urban water and wastewater. This review briefly discusses MPs' sources, fate, and transport in urban waters and explains methodological uncertainty. The effects of MPs on urban water microbiomes, including urban runoff, sewage wastewater, stagnant water in plumbing networks, etc., are also examined in depth. Furthermore, this study highlights the pathway of MPs and their transport vectors to different parts of ecosystems and human life, particularly through mediating microbial communities, antibiotic-resistant genes, and biogeochemical cycles. Overall, we have briefly highlighted the present research gaps, the lack of appropriate policy for evaluating microplastics and their interactions with urban water microbiomes, and possible future initiatives.</t>
  </si>
  <si>
    <t>[Entezari, Saber; Mostashari, Amir; Ganjidoust, Hossein; Ayati, Bita] TMU, Environm Engn Div, Fac Civil &amp; Env Engn, Tehran, Iran; [Al, Mamun Abdullah; Yang, Jun] Chinese Acad Sci, Inst Urban Environm, Fujian Key Lab Watershed Ecol, Key Lab Urban Environm &amp; Hlth,Aquat Ecohlth Grp, 1799 Jimei Rd, Xiamen 361021, Peoples R China; [Al, Mamun Abdullah] Univ Chinese Acad Sci, Beijing 100049, Peoples R China</t>
  </si>
  <si>
    <t>Chinese Academy of Sciences; Institute of Urban Environment, CAS; Chinese Academy of Sciences; University of Chinese Academy of Sciences, CAS</t>
  </si>
  <si>
    <t>Ganjidoust, H (corresponding author), TMU, Environm Engn Div, Fac Civil &amp; Env Engn, Tehran, Iran.</t>
  </si>
  <si>
    <t>H-GANJI@modares.ac.ir</t>
  </si>
  <si>
    <t>Ayati, Bita -/H-7962-2017; Entezari, Saber/GZA-9033-2022; Abdullah Al, Mamun/K-5256-2017; CAS, KLUEH/T-5743-2019</t>
  </si>
  <si>
    <t>Ayati, Bita -/0000-0001-7720-9863; Abdullah Al, Mamun/0000-0002-0944-3444; Mostashari, Amir/0000-0002-9904-215X; Entezari, Saber/0000-0003-0888-4181</t>
  </si>
  <si>
    <t>President's International Fellowship Initiative (PIFI) from the Chinese Academy of Sciences</t>
  </si>
  <si>
    <t>This work was supported by the President's International Fellowship Initiative (PIFI) from the Chinese Academy of Sciences.</t>
  </si>
  <si>
    <t>0944-1344</t>
  </si>
  <si>
    <t>1614-7499</t>
  </si>
  <si>
    <t>ENVIRON SCI POLLUT R</t>
  </si>
  <si>
    <t>Environ. Sci. Pollut. Res.</t>
  </si>
  <si>
    <t>10.1007/s11356-022-23810-2</t>
  </si>
  <si>
    <t>6H0GO</t>
  </si>
  <si>
    <t>WOS:000878521900002</t>
  </si>
  <si>
    <t>Castro, LR; Iriarte, JL; Soto, S; González, H</t>
  </si>
  <si>
    <t>Castro, Leonardo R.; Luis Iriarte, Jose; Soto, Samuel; Gonzalez, Humberto</t>
  </si>
  <si>
    <t>Role of Vertically Migrating and Not-Migrating Large Crustacean Zooplankton as Potential Consumers of Spring Phytoplankton in an Inshore Patagonian Gulf</t>
  </si>
  <si>
    <t>ESTUARIES AND COASTS</t>
  </si>
  <si>
    <t>Patagonia; Zooplankton; Carbon flux; Fjords; Vertical migrations; Estuaries</t>
  </si>
  <si>
    <t>LIFE STAGES DISTRIBUTIONS; SPRAT SPRATTUS-FUEGENSIS; CARBON FLOW-THROUGH; OXYGEN-MINIMUM-ZONE; PELAGIC FOOD-WEB; STABLE-ISOTOPE; ENVIRONMENTAL-CONDITIONS; NORTHERN PATAGONIA; PLANKTON DYNAMICS; INNER SEA</t>
  </si>
  <si>
    <t>Zooplankton is the primary production consumer in the aquatic food web in fjords and channels of western Patagonia. In this study, the role of vertically migrating and not-vertically migrating crustacean mesozooplankton (collected in a 300 mu m mesh net) as potential consumers of spring phytoplankton was assessed in an inshore gulf of central Patagonia through repeated stratified zooplankton sampling during the day and night, over a 30 h cycle. Results show that while a group of copepods remained close to the surface where chlorophyll-a concentrations were higher, other copepod groups and euphausiids exhibited did vertical migrations. The maximum depth of migration appeared to be limited by very low oxygen concentrations in the water column (&lt;0.2 mL O-2 L-1). Meanwhile, the abundance of not-migrating copepods (62%) was higher than that of vertically migrating copepods and euphausiids combined (38%). The latter two groups doubled their carbon consumption at night (37.0%) compared to daytime (18.8%) but their contribution continued to be lower than that of not-vertically migrating groups at night (63%). Over the 24 h cycle, the carbon consumption carried out by all vertically migrant groups together accounted for almost one-third (28.8%) of the total daily carbon consumption by the mesozooplankton crustacean community. In most areas surveyed along Patagonia, total community respiration exceeded the estimated gross primary production when autotrophic and microheterotrophic respiration was pooled, suggesting that external subsidies of carbon (e.g., allochthonous, terrestrial) and/or recycling of fecal pellets are required to support the micro- and meso-zooplankton communities of these sub-Antarctic fjord systems.</t>
  </si>
  <si>
    <t>[Castro, Leonardo R.; Soto, Samuel] Univ Concepcion, Ctr Copas Austral, Dept Oceanog, Concepcion, Chile; [Castro, Leonardo R.; Soto, Samuel] Univ Concepcion, Ctr Copas Coastal, Concepcion, Chile; [Luis Iriarte, Jose; Gonzalez, Humberto] Ctr FONDAP Invest Dinam Ecosistemas Marinos Altas, Valdivia, Chile; [Luis Iriarte, Jose; Gonzalez, Humberto] Univ Austral Chile, Inst Ciencias Marinas &amp; Limnol, Valdivia, Chile</t>
  </si>
  <si>
    <t>Universidad de Concepcion; Universidad de Concepcion; Universidad Austral de Chile</t>
  </si>
  <si>
    <t>Castro, LR (corresponding author), Univ Concepcion, Ctr Copas Austral, Dept Oceanog, Concepcion, Chile.;Castro, LR (corresponding author), Univ Concepcion, Ctr Copas Coastal, Concepcion, Chile.</t>
  </si>
  <si>
    <t>lecastro@oceanografia.udec.cl</t>
  </si>
  <si>
    <t>Castro, Leonardo/0000-0001-7665-7883</t>
  </si>
  <si>
    <t>CONA [C15F-05, C15F-09]; COPAS Sur Austral Center (ANID) [AFB 170006]; COPAS Coastal [FB10021]; IDEAL Center [15150003]</t>
  </si>
  <si>
    <t>CONA; COPAS Sur Austral Center (ANID); COPAS Coastal; IDEAL Center</t>
  </si>
  <si>
    <t>Financial support for this study was obtained from CONA through two CIMAR Fjords-15 grants (C15F-05 to L.C. and C15F-09 to J.L.I), COPAS Sur Austral Center (ANID AFB 170006), COPAS Coastal FB10021 (to L.C., S.S., and J.L.I.), and the IDEAL Center (grant no. 15150003) (to H.G. and J.L.I.). We appreciate the fieldwork conducted by M.I. Munoz, and P. Barrientos, as well as the technical support of personnel onboard the BI Vidal Gormaz research vessel. S. Montecinos carried out the zooplankton samples analyses. Editage (www.editage.com) conducted the English language editing.</t>
  </si>
  <si>
    <t>1559-2723</t>
  </si>
  <si>
    <t>1559-2731</t>
  </si>
  <si>
    <t>ESTUAR COAST</t>
  </si>
  <si>
    <t>Estuaries Coasts</t>
  </si>
  <si>
    <t>10.1007/s12237-022-01135-0</t>
  </si>
  <si>
    <t>8G9ZX</t>
  </si>
  <si>
    <t>WOS:000878452900001</t>
  </si>
  <si>
    <t>Smolinski, S; Ottmann, D; Outinen, O; Schadeberg, A; Melli, V; Funk, L; Denechaud, C; Wieczorek, A; Orio, A; Mussgnug, R; Morkune, R; Vereide, EH; Zdulska, M; Phillips, G; Lishchenko, F; Srebaliene, G</t>
  </si>
  <si>
    <t>Smolinski, Szymon; Ottmann, Daniel; Outinen, Okko; Schadeberg, Amanda; Melli, Valentina; Funk, Lara; Denechaud, Come; Wieczorek, Alina; Orio, Alessandro; Mussgnug, Robert; Morkune, Rasa; Vereide, Emilie Hernes; Zdulska, Maja; Phillips, Genevieve; Lishchenko, Fedor; Srebaliene, Greta</t>
  </si>
  <si>
    <t>Counting stars: contribution of early career scientists to marine and fisheries sciences</t>
  </si>
  <si>
    <t>bibliometrics; early career researchers; scientometrics; scientific career; scientific publishing</t>
  </si>
  <si>
    <t>H-INDEX; IMPACT; RESEARCHERS; AUTHORSHIP; COLLABORATION; LIMITATIONS; ECOLOGY; PUBLISH</t>
  </si>
  <si>
    <t>Scientific careers and publishing have radically changed in recent decades creating an increasingly competitive environment for early career scientists (ECS). The lack of quantitative data available on ECS in marine and fisheries sciences prevents direct assessment of the consequences of increased competitiveness. We assessed the contributions of ECS (up to 6 years post first publication) to the field using an indirect approach by investigating the authorships of peer-reviewed articles. We analysed 118461 papers published by 184561 authors in the top 20 marine and fisheries sciences journals over the years 1991-2020. We identified a positive long-term trend in the proportion of scientific articles (co-)authored by ECS. This suggests a growing contribution by ECS to publications in the field. However, the mean proportion of ECS (co-)authors within one publication declined significantly over the study period. Subsequent tests demonstrated that articles with ECS (co-)authors receive fewer citations and that the proportion of ECS (co-)authors on an article has a significant negative effect on the number of citations. We discuss the potential causes of these inequalities and urge systematic support to ECS to achieve more balanced opportunities for funding and publishing between ECS and senior scientists.</t>
  </si>
  <si>
    <t>[Smolinski, Szymon] Natl Marine Fisheries Res Inst, Dept Fisheries Resources, Hugo Kollataja 1, PL-81332 Gdynia, Poland; [Ottmann, Daniel] Tech Univ Denmark, DTU Aqua, Ctr Ocean Life, DK-2800 Lyngby, Denmark; [Outinen, Okko] Finnish Environm Inst, Marine Res Ctr, Latokartanonkaari 11, Helsinki 00790, Finland; [Schadeberg, Amanda; Mussgnug, Robert] Wageningen Univ &amp; Res, Droevendaalsesteeg 4, NL-6708 PB Wageningen, Netherlands; [Melli, Valentina] Natl Inst Aquat Resources, DTU Aqua, North Sea Sci Pk, DK-9850 Hirtshals, Denmark; [Funk, Lara] Heriot Watt Univ, Lyell Ctr Earth &amp; Marine Sci &amp; Technol, MarineSPACE Res Grp, Edinburgh EH14 4AP, Midlothian, Scotland; [Denechaud, Come] Inst Marine Res HI, Demersal Fish Res Grp, Nordnesgaten 33, NO-5817 Bergen, Norway; [Wieczorek, Alina] Natl Inst Water &amp; Atmospher Res, 301 Evans Bay Parade, Wellington 6021, New Zealand; [Orio, Alessandro] Swedish Univ Agr Sci, Inst Marine Res, Dept Aquat Resources, Turistgatan 5, SE-45330 Lysekil, Sweden; [Morkune, Rasa; Srebaliene, Greta] Klaipeda Univ, Marine Res Inst, Univ Av 12, LT-92294 Klaipeda, Lithuania; [Vereide, Emilie Hernes] Inst Marine Res HI, Ecosyst Acoust Grp, Nykirkekaien 1, N-5004 Bergen, Norway; [Zdulska, Maja] Heerema Marine Contractors, Vondellaan 47, NL-2332 AA Leiden, Netherlands; [Phillips, Genevieve] Univ Tasmania, Inst Marine &amp; Antarctic Studies, 15-21 Nubeena Crescent, Taroona, Tas 7053, Australia; [Lishchenko, Fedor] Vietnam Russia Trop Ctr Marine Branch, 30 Nguyen Thien Thuat, Khanh Hoa 650000, Vietnam</t>
  </si>
  <si>
    <t>National Marine Fisheries Research Institute; Technical University of Denmark; Finnish Environment Institute; Wageningen University &amp; Research; Technical University of Denmark; Heriot Watt University; Institute of Marine Research - Norway; National Institute of Water &amp; Atmospheric Research (NIWA) - New Zealand; Swedish University of Agricultural Sciences; Klaipeda University; Institute of Marine Research - Norway; University of Tasmania</t>
  </si>
  <si>
    <t>Smolinski, S (corresponding author), Natl Marine Fisheries Res Inst, Dept Fisheries Resources, Hugo Kollataja 1, PL-81332 Gdynia, Poland.</t>
  </si>
  <si>
    <t>ssmolinski@mir.gdynia.pl</t>
  </si>
  <si>
    <t>Ottmann, Daniel/AAX-5030-2021; Smoliński, Szymon/IQT-1286-2023; Lishchenko, Fedor/AAR-2800-2021; Srėbalienė, Greta/JKC-9491-2023; Smoliński, Szymon/AAZ-1088-2020; Funk, Lara/HZK-3050-2023; Orio, Alessandro/O-4136-2019</t>
  </si>
  <si>
    <t>Ottmann, Daniel/0000-0002-8955-1946; Smoliński, Szymon/0000-0003-2715-984X; Srėbalienė, Greta/0000-0003-1397-478X; Orio, Alessandro/0000-0002-5566-6139; Outinen, Okko/0000-0001-8786-7560; Lishchenko, Fedor/0000-0001-8340-346X; Denechaud, Come/0000-0002-8298-4423; Phillips, Genevieve/0000-0002-2347-2321; Schadeberg, Amanda/0000-0003-4758-7331; Hernes Vereide, Emilie/0000-0001-7534-9512; Funk, Lara/0000-0002-8436-4287</t>
  </si>
  <si>
    <t>10.1093/icesjms/fsac187</t>
  </si>
  <si>
    <t>6R9AU</t>
  </si>
  <si>
    <t>WOS:000878285200001</t>
  </si>
  <si>
    <t>Rosenfeld, S; Maturana, CS; Spencer, HG; Convey, P; Saucède, T; Brickle, P; Bahamonde, F; Jossart, Q; Poulin, E; Gonzalez-Wevar, C</t>
  </si>
  <si>
    <t>Rosenfeld, Sebastian; Maturana, Claudia S.; Spencer, Hamish G.; Convey, Peter; Saucede, Thomas; Brickle, Paul; Bahamonde, Francisco; Jossart, Quentin; Poulin, Elie; Gonzalez-Wevar, Claudio</t>
  </si>
  <si>
    <t>Complete distribution of the genus Laevilitorina (Littorinimorpha, Littorinidae) in the Southern Hemisphere: remarks and natural history</t>
  </si>
  <si>
    <t>Antarctic endemism; Laevilitorininae; sub-Antarctic</t>
  </si>
  <si>
    <t>MOLECULAR PHYLOGENY; GASTROPODA; PARALLELISM</t>
  </si>
  <si>
    <t>Littorinid snails are present in most coastal areas globally, playing a significant role in the ecology of intertidal communities. Laevilitorina is a marine gastropod genus distributed exclusively in the Southern Hemisphere, with 21 species reported from South America, the sub-Antarctic islands, Antarctica, New Zealand, Australia and Tasmania. Here, an updated database of 21 species generated from a combination of sources is presented: 1) new field sampling data; 2) published records; 3) the Global Biodiversity Infor-mation Facility (GBIF) and The Atlas of Living Australia (ALA), to provide a comprehensive description of the known geographic distribution of the genus and detailed occurrences for each of the 21 species. The database includes 813 records (occurrences), 53 from field sampling, 174 from the literature, 128from GBIF, and 458 from ALA. West Antarctica had the highest species richness (8 species), followed by sub-Antarctic islands of New Zealand (4 species) and the south-east shelf of Australia (4 species). The provinces of Magellan, New Zealand South Island, and sub-Antarctic Islands of the Indian Ocean include two species each. This study specifically highlights reports of L. pygmaea and L. venusta, species that have been almost unrecorded since their description. Recent advances in molecular studies of L. caliginosa showed that this species does not correspond to a widely distributed taxon, but to multiple divergent line-ages distributed throughout the Southern Ocean. Ongoing molecular and taxonomic studies are necessary for a better understanding of the diversity and biogeography of this genus.</t>
  </si>
  <si>
    <t>[Rosenfeld, Sebastian; Bahamonde, Francisco] Univ Magallanes, Lab Ecosistemas Marinos Antarticos &amp; Subantartico, Punta Arenas, Chile; [Rosenfeld, Sebastian; Maturana, Claudia S.; Convey, Peter; Poulin, Elie; Gonzalez-Wevar, Claudio] Millennium Inst Biodivers Antarctic &amp; Subantarcti, Las Palmeras 3425, Santiago, Chile; [Rosenfeld, Sebastian; Maturana, Claudia S.; Convey, Peter; Bahamonde, Francisco] Cape Horn Int Ctr CHIC, Puerto Williams, Chile; [Rosenfeld, Sebastian] Univ Magallanes, Ctr Invest Gaia Antartica, Ave Bulnes 01855, Punta Arenas, Chile; [Maturana, Claudia S.; Poulin, Elie] Inst Ecol &amp; Biodivers IEB, Las Palmeras 3425, Santiago 3425, Chile; [Spencer, Hamish G.] Univ Otago, Dept Zool, Dunedin, New Zealand; [Convey, Peter] British Antarctic Survey BAS, Cambridge, England; [Convey, Peter] Univ Johannesburg, Dept Zool, Johannesburg, South Africa; [Saucede, Thomas; Jossart, Quentin] Univ Bourgogne Franche Comte, Biogeosci, UMR 6282 CNRS, 6 Blvd Gabriel, F-21000 Dijon, France; [Brickle, Paul] South Atlantic Environm Res Inst, Ross Rd, Stanley, Falkland Island; [Brickle, Paul] Univ Aberdeen, Sch Biol Sci Zool, Aberdeen, Scotland; [Jossart, Quentin] Univ Libre Bruxelles ULB, Marine Biol, Brussels, Belgium; [Gonzalez-Wevar, Claudio] Univ Austral Chile, Fac Ciencias, Inst Ciencias Marinas &amp; Limnol ICML, Ctr FONDAP IDEAL, Casilla 567, Valdivia, Chile</t>
  </si>
  <si>
    <t>Universidad de Magallanes; Universidad de Magallanes; University of Otago; University of Johannesburg; Universite de Bourgogne; University of Aberdeen; Universite Libre de Bruxelles; Universidad Austral de Chile</t>
  </si>
  <si>
    <t>Rosenfeld, S (corresponding author), Univ Magallanes, Lab Ecosistemas Marinos Antarticos &amp; Subantartico, Punta Arenas, Chile.;Rosenfeld, S (corresponding author), Millennium Inst Biodivers Antarctic &amp; Subantarcti, Las Palmeras 3425, Santiago, Chile.;Rosenfeld, S (corresponding author), Cape Horn Int Ctr CHIC, Puerto Williams, Chile.;Rosenfeld, S (corresponding author), Univ Magallanes, Ctr Invest Gaia Antartica, Ave Bulnes 01855, Punta Arenas, Chile.</t>
  </si>
  <si>
    <t>sebastian.rosenfeld@umag.cl</t>
  </si>
  <si>
    <t>Convey, Peter/AAV-5728-2020; Poulin, Elie/C-2654-2012; Maturana, Claudia/JOK-7975-2023; Spencer, Hamish G/B-9637-2008</t>
  </si>
  <si>
    <t>Convey, Peter/0000-0001-8497-9903; Poulin, Elie/0000-0001-7736-0969; Maturana, Claudia/0000-0002-4427-8093; Spencer, Hamish G/0000-0001-7531-597X; Rosenfeld, Sebastian/0000-0002-4363-8018; Jossart, Quentin/0000-0002-2280-243X</t>
  </si>
  <si>
    <t>ANID-Millennium Science Initiative Program [1210787]; Fondecyt Regular Project [FB210018]; Fondecyt [1044]; IPEV program PROTEK-ER [DPLUS122]; GSGSSI; Darwin Plus; ANID/BASAL [3210063]; [ICN2021_002]</t>
  </si>
  <si>
    <t>ANID-Millennium Science Initiative Program; Fondecyt Regular Project(Comision Nacional de Investigacion Cientifica y Tecnologica (CONICYT)CONICYT FONDECYT); Fondecyt(Comision Nacional de Investigacion Cientifica y Tecnologica (CONICYT)CONICYT FONDECYT); IPEV program PROTEK-ER; GSGSSI; Darwin Plus; ANID/BASAL;</t>
  </si>
  <si>
    <t>This work was funded by, ANID-Millennium Science Initiative Program ICN2021_002 to SR, CM, PC, EP, and CGW, Fondecyt Regular Project 1210787 to CGW and SR, and ANID/BASAL FB210018 to SR and CM. We also appreciate the support of the following projects: Fondecyt Postdoctoral 3210063 to CM, IPEV program PROTEK-ER (#1044). We are grateful to the Government of South Georgia &amp; South Sandwich Islands (GSGSSI), South Atlantic Environmental Research Institute (SAERI), Natural History Museum (NHM) London, the Shallow Marine Surveys Group (SMSG) for organising the research cruise (Operation Himantothallus - Darwin Plus Marine Bio-diversity Research Cruise, Pharos SG-11-2021), and Tritonia Scientific Ltd for diving operations and dive safety. The research cruise was funded by GSGSSI and a Darwin Plus Grant (DPLUS122) to the NHM. We also are grateful to the officers and crew of the Pharos SG for their professionalism and support. S.R. gives particular thanks to the Chilean Navy, the Commander in Chief of the III Naval Zone, Rear Admiral Ivo Brito, the Chief of General Staff, Vice Admiral Jose Miguel Rivera, the National Oceanographic Committee, and the Naval Beagle Command, as well as the crew of the ship OPV 83 Marinero Fuentealba, and the helicopter and institutional logistics per-sonnel. We also thank Roy Mackenzie and the staff of the lighthouse of Gonzalo Island for their invaluable support for the development of field research at the permanent ecological studies site implemented in the Diego Ramirez archipelago and Hornos Island. We especially thank Lafayette Eaton for English revision and editing and to the Subject editor Frank Koehler and two anonymous reviewers for their helpful comments</t>
  </si>
  <si>
    <t>NOV 2</t>
  </si>
  <si>
    <t>10.3897/zookeys.1127.91310</t>
  </si>
  <si>
    <t>6I2GZ</t>
  </si>
  <si>
    <t>WOS:000885948800002</t>
  </si>
  <si>
    <t>Schwartz-Belkin, I; Portman, ME</t>
  </si>
  <si>
    <t>Schwartz-Belkin, Inbar; Portman, Michelle E.</t>
  </si>
  <si>
    <t>A review of geospatial technologies for improving Marine Spatial Planning: Challenges and opportunities</t>
  </si>
  <si>
    <t>OCEAN &amp; COASTAL MANAGEMENT</t>
  </si>
  <si>
    <t>DYNAMIC OCEAN MANAGEMENT; ECOSYSTEM-BASED MANAGEMENT; PROTECTED AREAS; ACOUSTIC DATA; IDENTIFICATION SYSTEM; MEDITERRANEAN SEA; GEO-TECHNOLOGIES; ANTARCTIC KRILL; INDIAN-OCEAN; DEEP-SEA</t>
  </si>
  <si>
    <t>Common marine spatial planning challenges include lack of data on the marine environment, high mobility of both animals and humans, and plan implementation challenges including lack enforcement and compliance with regulations along with monitoring deficiencies. These can be potentially addressed using geospatial technologies (GTs) such as remote sensing, GPS and GIS. This research presents geospatial tools that are available for the process of developing, implementing, and monitoring marine spatial plans. Tools include satellites and water-based platforms carrying various sensors and receivers for environmental ocean data, vessel tracking and animal telemetry via multispectral, acoustic, radar, and other means. Planners and ocean managers might not always be aware of technological solutions available for the development and implementation of marine spatial plans. Here, urgent planning needs, summarized from various publications, are linked to GTs solutions published in relevant literature between the years 2015-2020. The GTs were used for data collection, dynamic human activities' management, environ-mental monitoring and enforcement, all as required by marine spatial plans. This paper concludes with insights into GT solutions that can enhance the process of evidence-based management and spatial planning in marine environments.</t>
  </si>
  <si>
    <t>[Schwartz-Belkin, Inbar; Portman, Michelle E.] Technion IIT, Fac Architecture &amp; Town Planning, Sego Bldg, IL-32000 Haifa, Israel; [Schwartz-Belkin, Inbar] Technion Israel Inst Technol, Fac Architecture &amp; Town Planning, Haifa, Israel</t>
  </si>
  <si>
    <t>Technion Israel Institute of Technology; Technion Israel Institute of Technology</t>
  </si>
  <si>
    <t>Schwartz-Belkin, I (corresponding author), Technion Israel Inst Technol, Fac Architecture &amp; Town Planning, Haifa, Israel.</t>
  </si>
  <si>
    <t>inbar.sch@campus.technion.ac.il</t>
  </si>
  <si>
    <t>Schwartz-Belkin, Inbar/0000-0003-0940-0994</t>
  </si>
  <si>
    <t>0964-5691</t>
  </si>
  <si>
    <t>1873-524X</t>
  </si>
  <si>
    <t>OCEAN COAST MANAGE</t>
  </si>
  <si>
    <t>Ocean Coastal Manage.</t>
  </si>
  <si>
    <t>10.1016/j.ocecoaman.2022.106280</t>
  </si>
  <si>
    <t>Oceanography; Water Resources</t>
  </si>
  <si>
    <t>6D3CU</t>
  </si>
  <si>
    <t>WOS:000882573800004</t>
  </si>
  <si>
    <t>Pallin, L; Bierlich, KC; Durban, J; Fearnbach, H; Savenko, O; Baker, CS; Bell, E; Double, MC; de la Mare, W; Goldbogen, J; Johnston, D; Kellar, N; Nichols, R; Nowacek, D; Read, AJ; Steel, D; Friedlaender, A</t>
  </si>
  <si>
    <t>Pallin, L.; Bierlich, K. C.; Durban, J.; Fearnbach, H.; Savenko, O.; Baker, C. S.; Bell, E.; Double, M. C.; de la Mare, W.; Goldbogen, J.; Johnston, D.; Kellar, N.; Nichols, R.; Nowacek, D.; Read, A. J.; Steel, D.; Friedlaender, A.</t>
  </si>
  <si>
    <t>Demography of an ice-obligate mysticete in a region of rapid environmental change</t>
  </si>
  <si>
    <t>antarctic minke whale; progesterone; demography; pregnancy; climate change; photogrammetry</t>
  </si>
  <si>
    <t>MICROSATELLITE LOCI; BALAENOPTERA BONAERENSIS; ANTARCTIC PENINSULA; HUMPBACK WHALE; GROWTH-RATES; ABUNDANCE; POPULATION; VARIABILITY; NUTRITION; CETACEANS</t>
  </si>
  <si>
    <t>Antarctic minke whales (Balaenoptera bonaerensis, AMW) are an abundant, ice-dependent species susceptible to rapid climatic changes occurring in parts of the Antarctic. Here, we used remote biopsy samples and estimates of length derived from unoccupied aircraft system (UAS) to characterize for the first time the sex ratio, maturity, and pregnancy rates of AMWs around the Western Antarctic Peninsula (WAP). DNA profiling of 82 biopsy samples (2013-2020) identified 29 individual males and 40 individual females. Blubber progesterone levels indicated 59% of all sampled females were pregnant, irrespective of maturity. When corrected for sexual maturity, the median pregnancy rate was 92.3%, indicating that most mature females become pregnant each year. We measured 68 individuals by UAS (mean = 8.04 m) and estimated that 66.5% of females were mature. This study provides the first data on the demography of AMWs along the WAP and represents the first use of non-lethal approaches to studying this species. Furthermore, these results provide baselines against which future changes in population status can be assessed in this rapidly changing marine ecosystem.</t>
  </si>
  <si>
    <t>[Pallin, L.] Univ Calif Santa Cruz, Dept Ecol &amp; Evolutionary Biol, Ocean Hlth Bldg,115 McAllister Way, Santa Cruz, CA 95060 USA; [Nichols, R.; Friedlaender, A.] Univ Calif Santa Cruz, Inst Marine Sci, Ocean Hlth Bldg,115 McAllister Way, Santa Cruz, CA 95060 USA; [Nichols, R.; Friedlaender, A.] Univ Calif Santa Cruz, Dept Ocean Sci, Ocean Hlth Bldg,115 McAllister Way, Santa Cruz, CA 95060 USA; [Bierlich, K. C.; Johnston, D.; Nowacek, D.; Read, A. J.] Duke Univ, Nicholas Sch Environm, Marine Lab, Div Marine Sci &amp; Conservat, 135 Duke Marine Lab Rd, Beaufort, NC 28516 USA; [Bierlich, K. C.; Durban, J.; Baker, C. S.; Steel, D.] Oregon State Univ, Hatfield Marine Sci Ctr, Marine Mammal Inst, Dept Fisheries Wildlife &amp; Conservat Sci, 2030 SE Marine Sci Dr, Newport, OR USA; [Durban, J.; Fearnbach, H.] SeaLife Response Rehabil &amp; Res, Des Moines, WA 98198 USA; [Savenko, O.] Natl Antarctic Sci Ctr Ukraine, 16 Taras Shevchenko Blvd, UA-01601 Kiev, Ukraine; [Savenko, O.] Ukrainian Sci Ctr Ecol Sea, 89 Frantsuzsky Blvd, UA-65009 Odesa, Ukraine; [Bell, E.; Double, M. C.; de la Mare, W.] Australian Antarctic Div, 203 Channel Highway, Kingston, Tas 7050, Australia; [Goldbogen, J.] Stanford Univ, Dept Biol, Hopkins Marine Stn, 120 Ocean View Blvd, Pacific Grove, CA 93950 USA; [Kellar, N.] NOAA, Marine Mammal &amp; Turtle Div, Southwest Fisheries Sci Ctr, Natl Marine Fisheries Serv, 8901 La Jolla Shores Dr, La Jolla, CA 92037 USA</t>
  </si>
  <si>
    <t>University of California System; University of California Santa Cruz; University of California System; University of California Santa Cruz; University of California System; University of California Santa Cruz; Duke University; Oregon State University; Ministry of Education &amp; Science of Ukraine; State Institution National Antarctic Scientific Center; Ukrainian Scientific Center of Ecology of the Sea (UkrSCES); Australian Antarctic Division; Stanford University; National Oceanic Atmospheric Admin (NOAA) - USA</t>
  </si>
  <si>
    <t>Pallin, L (corresponding author), Univ Calif Santa Cruz, Dept Ecol &amp; Evolutionary Biol, Ocean Hlth Bldg,115 McAllister Way, Santa Cruz, CA 95060 USA.</t>
  </si>
  <si>
    <t>Savenko, Oksana/0000-0001-6719-4602; Johnston, David/0000-0003-2424-036X; Pallin, Logan/0000-0001-8024-9663</t>
  </si>
  <si>
    <t>National Science Foundation Office of Polar Programs; Palmer Long-term Ecological Research Program [1250208, 1643877, 1644209]; National Science Foundation Graduate Research Fellowship Program [1440435]; Dr Earl H. Myers &amp; Ethel M. Myers Oceanographic &amp; Marine Biology Trust [DGE1339067]; World Wildlife Fund; International Whaling Commission's Southern Ocean Research Partnership; OneOcean Expeditions; Hurtigruten cruises; Lindblad Expeditions-National Geographic Conservation Fund; State Special-Purpose Research Program in Antarctica for 2011-2023 of the State Institution National Antarctic Scientific Center, Ministry of Education and Science of Ukraine; UC Santa Cruz's Graduate Division and Department of Ecology and Evolutionary Biology; Office of Polar Programs (OPP); Directorate For Geosciences [1440435] Funding Source: National Science Foundation</t>
  </si>
  <si>
    <t>National Science Foundation Office of Polar Programs(National Science Foundation (NSF)NSF - Directorate for Geosciences (GEO)); Palmer Long-term Ecological Research Program; National Science Foundation Graduate Research Fellowship Program(National Science Foundation (NSF)); Dr Earl H. Myers &amp; Ethel M. Myers Oceanographic &amp; Marine Biology Trust; World Wildlife Fund; International Whaling Commission's Southern Ocean Research Partnership; OneOcean Expeditions; Hurtigruten cruises; Lindblad Expeditions-National Geographic Conservation Fund; State Special-Purpose Research Program in Antarctica for 2011-2023 of the State Institution National Antarctic Scientific Center, Ministry of Education and Science of Ukraine; UC Santa Cruz's Graduate Division and Department of Ecology and Evolutionary Biology; Office of Polar Programs (OPP); Directorate For Geosciences(National Science Foundation (NSF)NSF - Directorate for Geosciences (GEO))</t>
  </si>
  <si>
    <t>The research was supported by the National Science Foundation Office of Polar Programs (grant nos. 1250208, 1643877, 1644209), the Palmer Long-term Ecological Research Program (grant no. 1440435), the National Science Foundation Graduate Research Fellowship Program (grant no. DGE1339067), UC Santa Cruz's Graduate Division and Department of Ecology and Evolutionary Biology, the Dr Earl H. Myers &amp; Ethel M. Myers Oceanographic &amp; Marine Biology Trust, the World Wildlife Fund, The International Whaling Commission's Southern Ocean Research Partnership, OneOcean Expeditions, Hurtigruten cruises, the Lindblad Expeditions-National Geographic Conservation Fund, Dr Anita North and the State Special-Purpose Research Program in Antarctica for 2011-2023 of the State Institution National Antarctic Scientific Center, Ministry of Education and Science of Ukraine.</t>
  </si>
  <si>
    <t>10.1098/rsos.220724</t>
  </si>
  <si>
    <t>5X6PT</t>
  </si>
  <si>
    <t>WOS:000878721800007</t>
  </si>
  <si>
    <t>Goodrich, HR; Berry, AA; Montgomery, DW; Davison, WG; Wilson, R</t>
  </si>
  <si>
    <t>Goodrich, Harriet R.; Berry, Alex A.; Montgomery, Daniel W.; Davison, William G.; Wilson, Rod W.</t>
  </si>
  <si>
    <t>Fish feeds supplemented with calcium-based buffering minerals decrease stomach acidity, increase the blood alkaline tide and cost more to digest</t>
  </si>
  <si>
    <t>INTESTINAL BICARBONATE SECRETION; POSTPRANDIAL METABOLIC-RESPONSE; DYNAMIC ACTION; FRESH-WATER; RAINBOW-TROUT; GASTRIC EVACUATION; TELEOST FISH; MEAL SIZE; RESPIROMETRY; TEMPERATURE</t>
  </si>
  <si>
    <t>Predatory fish in the wild consume whole prey including hard skeletal parts like shell and bone. Shell and bone are made up of the buffering minerals calcium carbonate (CaCO3) and calcium phosphate (Ca-3(PO4)(2)). These minerals resist changes in pH, meaning they could have physiological consequences for gastric acidity, digestion and metabolism in fish. Using isocaloric diets supplemented with either CaCO3, Ca-3(PO4)(2) or CaCl2 as non-buffering control, we investigated the impacts of dietary buffering on the energetic cost of digestion (i.e. specific dynamic action or SDA), gastric pH, the postprandial blood alkalosis (the alkaline tide) and growth in juvenile rainbow trout (Oncorhynchus mykiss). Increases in dietary buffering were significantly associated with increased stomach chyme pH, postprandial blood HCO3-, net base excretion, the total SDA and peak SDA but did not influence growth efficiency in a 21 day trial. This result shows that aspects of a meal that have no nutritional value can influence the physiological and energetic costs associated with digestion in fish, but that a reduction in the SDA will not always lead to improvements in growth efficiency. We discuss the broader implications of these findings for the gastrointestinal physiology of fishes, trade-offs in prey choice in the wild, anthropogenic warming and feed formulation in aquaculture.</t>
  </si>
  <si>
    <t>[Goodrich, Harriet R.] Univ Tasmania, Inst Marine &amp; Antarctic Studies, Private Bag 49, Hobart, Tas 7001, Australia; [Berry, Alex A.; Davison, William G.; Wilson, Rod W.] Univ Exeter, Biosci, Exeter EX4 4PS, Devon, England; [Montgomery, Daniel W.] Dept Zool, 4200-6270 Univ Blvd, Vancouver, BC, Canada</t>
  </si>
  <si>
    <t>University of Tasmania; University of Exeter</t>
  </si>
  <si>
    <t>Goodrich, HR (corresponding author), Univ Tasmania, Inst Marine &amp; Antarctic Studies, Private Bag 49, Hobart, Tas 7001, Australia.;Wilson, R (corresponding author), Univ Exeter, Biosci, Exeter EX4 4PS, Devon, England.</t>
  </si>
  <si>
    <t>harriet.goodrich@utas.edu.au; r.w.wilson@exeter.ac.uk</t>
  </si>
  <si>
    <t>Montgomery, Daniel/AAJ-2865-2021</t>
  </si>
  <si>
    <t>Montgomery, Daniel/0000-0003-2351-5886; Goodrich, Harriet/0000-0002-2568-0562</t>
  </si>
  <si>
    <t>QUEX Institute PhD studentship; Biotechnology and Biological Sciences Research Council [BB/J00913X/1]; BBSRC [BB/J00913X/1] Funding Source: UKRI</t>
  </si>
  <si>
    <t>QUEX Institute PhD studentship; Biotechnology and Biological Sciences Research Council(UK Research &amp; Innovation (UKRI)Biotechnology and Biological Sciences Research Council (BBSRC)); BBSRC(UK Research &amp; Innovation (UKRI)Biotechnology and Biological Sciences Research Council (BBSRC))</t>
  </si>
  <si>
    <t>This work was supported by a QUEX Institute PhD studentship (to HG and RW) with additional funding from the Biotechnology and Biological Sciences Research Council (BB/J00913X/1) to RW. We would like to thank Dr Gregory Paul and Rebecca Turner of the Aquatic Resources Centre at the University of Exeter for assistance with fish husbandry and maintenance of aquarium facilities.</t>
  </si>
  <si>
    <t>10.1038/s41598-022-22496-3</t>
  </si>
  <si>
    <t>5X0OB</t>
  </si>
  <si>
    <t>WOS:000878306800090</t>
  </si>
  <si>
    <t>Handley, JM; Harte, E; Stanworth, A; Poncet, S; Catry, P; Cleminson, S; Crofts, S; Dias, M</t>
  </si>
  <si>
    <t>Handley, Jonathan M.; Harte, Emma; Stanworth, Andrew; Poncet, Sally; Catry, Paulo; Cleminson, Sacha; Crofts, Sarah; Dias, Maria</t>
  </si>
  <si>
    <t>Progressing delineations of key biodiversity areas for seabirds, and their application to management of coastal seas</t>
  </si>
  <si>
    <t>DIVERSITY AND DISTRIBUTIONS</t>
  </si>
  <si>
    <t>at-sea distribution; key biodiversity areas; marine megafauna; marine spatial planning; seabirds</t>
  </si>
  <si>
    <t>NEST-SITE FIDELITY; FALKLAND ISLANDS; MARINE PREDATORS; IMPORTANT BIRD; MATE FIDELITY; CONSERVATION; PENGUINS; TRACKING; COMMUNITY; ECOSYSTEM</t>
  </si>
  <si>
    <t>Aim Decision-making products that support effective marine spatial planning are essential for guiding efforts that enable conservation of biodiversity facing increasing pressures. Key Biodiversity Areas (KBAs) are a product recently agreed upon by an international network of organizations for identifying globally important areas. Utilizing the KBA framework, and by developing a conservative protocol to identify sites, we identify globally importants places for breeding seabirds throughout the coastal seas of a national territory. We inform marine spatial planning by evaluating potential activities that may impact species and how a proposed network of Marine Management Areas (MMAs) overlap with important sites. Location Southwest Atlantic Ocean. Methods We collated a national inventory of all breeding locations for seabirds, including abundance records where available, and complementary estimates of at-sea distribution. We delineated areas of importance in coastal seas following approaches tailored to the ecology of species and assessed areas against global KBA criteria. To determine opportunities for species conservation and management, we reviewed which human activities have been documented to impact the target species globally via IUCN Red List accounts, and also assessed the overlap of important sites with a proposed MMA network. Results We identified global KBAs for nine seabird species (Anatidae, Diomedeidae, Laridae, Procellariidae, Spheniscidae, Stercorariidae) throughout national coastal seas. Globally important areas where multiple species overlapped were only partially accounted for in key zones of the proposed MMA network. Main Conclusions Development of a conservative protocol to identify marine sites for assessment against KBA criteria, revealed opportunities for enhancing a network of proposed Marine Management Areas in coastal seas. The framework we apply in this study has broad relevance for other systems where the design or review of management plans for the marine environment is required.</t>
  </si>
  <si>
    <t>[Handley, Jonathan M.; Dias, Maria] BirdLife Int, David Attenborough Bldg,Pembroke St, Cambridge CB3 3QZ, England; [Harte, Emma; Stanworth, Andrew; Crofts, Sarah] Falklands Conservat, Stanley, Falkland Island; [Poncet, Sally] Antarctic Res Trust, Stanley, Falkland Island; [Catry, Paulo; Dias, Maria] ISPA Inst Univ, MARE Marine &amp; Environm Sci Ctr, Lisbon, Portugal; [Cleminson, Sacha] Royal Soc Protect Birds, RSPB Ctr Conservat Sci, Sandy, Beds, England; [Dias, Maria] Univ Lisbon, Fac Ciencias, Ctr Ecol Evolut &amp; Environm Changes cE3c, Lisbon, Portugal</t>
  </si>
  <si>
    <t>BirdLife International; Instituto Superior Psicologia Aplicada (ISPA); Royal Society for Protection of Birds; Universidade de Lisboa</t>
  </si>
  <si>
    <t>Handley, JM (corresponding author), BirdLife Int, David Attenborough Bldg,Pembroke St, Cambridge CB3 3QZ, England.</t>
  </si>
  <si>
    <t>jonathan.m.handley@gmail.com</t>
  </si>
  <si>
    <t>Dias, Maria P./D-1331-2012; Catry, Paulo/I-5408-2013</t>
  </si>
  <si>
    <t>Dias, Maria P./0000-0002-7281-4391; Handley, Jonathan/0000-0001-6468-338X</t>
  </si>
  <si>
    <t>Darwin Plus Initiative [DPLUS115]</t>
  </si>
  <si>
    <t>Darwin Plus Initiative</t>
  </si>
  <si>
    <t>Darwin Plus Initiative, Grant/Award Number: DPLUS115</t>
  </si>
  <si>
    <t>1366-9516</t>
  </si>
  <si>
    <t>1472-4642</t>
  </si>
  <si>
    <t>DIVERS DISTRIB</t>
  </si>
  <si>
    <t>Divers. Distrib.</t>
  </si>
  <si>
    <t>10.1111/ddi.13651</t>
  </si>
  <si>
    <t>7T2YJ</t>
  </si>
  <si>
    <t>WOS:000877494000001</t>
  </si>
  <si>
    <t>Hunter, NJR; Wilson, CJL; Luzin, V</t>
  </si>
  <si>
    <t>Hunter, Nicholas J. R.; Wilson, Christopher J. L.; Luzin, Vladimir</t>
  </si>
  <si>
    <t>Crystallographic preferred orientation (CPO) patterns in uniaxially compressed deuterated ice: quantitative analysis of historical data</t>
  </si>
  <si>
    <t>Crystallographic preferred orientation; deformation; ice; neutron diffraction</t>
  </si>
  <si>
    <t>POLYCRYSTALLINE ICE; NEUTRON-DIFFRACTION; POLYMINERALIC ROCKS; CRYSTAL FABRICS; SIMPLE SHEAR; STRAIN-RATE; 2ND PHASES; FLOW-LAW; CORE; SHEET</t>
  </si>
  <si>
    <t>Strain, temperature and strain rate are crucial factors governing the development of crystallographic preferred orientations (CPO) in ice. To better understand how CPO patterns change in response to these variables, we performed quantitative analyses on neutron diffraction data between 2010 and 2019, collected in situ during uniaxial compression experiments on deuterium ice. At strains &gt;10% and temperatures &lt;-10 degrees C, the c-axis pattern switches from a single maximum ('cluster') to small circle ('cone'), both oriented parallel to shortening. The diameter and mean width of the cone pattern decrease as strain and/or strain rate increases. Prismatic axis (a and m) patterns are characterised by great circles parallel to the pole figure margin and may be distinguishable from the patterns in ice deformed under simple shear. While strain has the main influence on the degree of preferred orientation (or CPO 'strength'), both temperature and strain rate have minor influences, which limits the extent to which CPOs can be used to measure strain. As cluster patterns can be observed in the c-axes of ice deformed under both pure and simple shear settings, this may complicate interpretations of flow geometry in terrestrial ice unless the prismatic axis patterns are also considered.</t>
  </si>
  <si>
    <t>[Hunter, Nicholas J. R.; Wilson, Christopher J. L.] Monash Univ, Sch Earth Atmosphere &amp; Environm, Clayton, Vic 3800, Australia; [Luzin, Vladimir] Australian Nucl Sci &amp; Technol Org, AustraEian Ctr Neutron Scattering, Lucas Heights, NSW 2234, Australia; [Luzin, Vladimir] Univ Newcastle, Sch Engn, Callaghan, NSW 2308, Australia</t>
  </si>
  <si>
    <t>Monash University; Australian Nuclear Science &amp; Technology Organisation; University of Newcastle</t>
  </si>
  <si>
    <t>Hunter, NJR (corresponding author), Monash Univ, Sch Earth Atmosphere &amp; Environm, Clayton, Vic 3800, Australia.</t>
  </si>
  <si>
    <t>nicholas.hunter@monash.edu</t>
  </si>
  <si>
    <t>Hunter, Nicholas/0000-0002-3374-6584</t>
  </si>
  <si>
    <t>Australian Antarctic Science [4581]; [2178]; [2910]; [6396]</t>
  </si>
  <si>
    <t>Australian Antarctic Science; ; ;</t>
  </si>
  <si>
    <t>This research was undertaken at the Centre for Neutron Scattering at the Australian Nuclear Science and Technology Organisation (ANSTO), Sydney, Australia. Sandra Piazolo and Mark Peternell are thanked for their contributions during our initial set of experiments and interpretation of results. We thank Dr Chris Voisey for stimulating discussion on the results. We also thank Sheng Fan and Nicholas Rathmann for their constructive reviews of the original manuscript, which allowed us to considerably strengthen the contribution. Data for this paper come from projects 1702, 2178, 2910 and 6396 with technical support from ANSTO staff gratefully acknowledged. Chris Wilson was also supported by Australian Antarctic Science Grant 4581.</t>
  </si>
  <si>
    <t>PII S0022143022000958</t>
  </si>
  <si>
    <t>10.1017/jog.2022.95</t>
  </si>
  <si>
    <t>WOS:000877914200001</t>
  </si>
  <si>
    <t>Chown, SL</t>
  </si>
  <si>
    <t>Chown, S. L.</t>
  </si>
  <si>
    <t>Macrophysiology for decision-making</t>
  </si>
  <si>
    <t>JOURNAL OF ZOOLOGY</t>
  </si>
  <si>
    <t>comparative biology; evidence-informed policy; genomics; global change; hydroregulation; microbial ecology; thermal vulnerability; traits</t>
  </si>
  <si>
    <t>METABOLIC COLD ADAPTATION; UPPER THERMAL LIMITS; CLIMATE-CHANGE; OXYGEN LIMITATION; GLOBAL ANALYSIS; WATER-LOSS; TOLERANCE; RESPONSES; VULNERABILITY; TEMPERATURE</t>
  </si>
  <si>
    <t>In an 1854 lecture, TH Huxley suggested that physiology should be measured by its contribution to science, its practical worth and the extent to which it should be made a branch of education. Since macrophysiology, or the investigation of variation in physiological traits over large geographical and temporal scales and the ecological implications of this variation, is well-established and approaching its third decade, these questions are posed for it here. The field is, of course, much older, but, over the last two decades, has contributed substantially to fundamental eco-evolutionary research and to understanding the conservation consequences of physiological variation at regional and global scales. Its greatest successes have been in understanding variation in thermal and metabolic responses of animals and plants to variable environments and the significance thereof in the context of the climate crisis. By contrast, much less progress has been made in understanding the regulation of water in the context of currently changing environments and projections of further impacts associated with ongoing global change. The development of new datasets of physiological traits across broad spatial scales has been a slower enterprise than the further compilation of trait databases from extant data. Surprising insights have emerged from genomics-based microbial macrophysiology, an approach which has much potential to span all of life's variety. The findings of macrophysiological investigations have been taken up within policy reports and/or implementation actions, such as those of the IPCC and the Antarctic Treaty System, that have resulted in benefits to society and to the environment. Yet, as is the case with other areas of research, much remains to be done to develop further strategies to counteract the anti-science attitudes that are now so prevalent globally.</t>
  </si>
  <si>
    <t>[Chown, S. L.] Monash Univ, Sch Biol Sci, Securing Antarcticas Environm Future, Melbourne, Vic 3800, Australia</t>
  </si>
  <si>
    <t>Monash University; Melbourne Genomics Health Alliance</t>
  </si>
  <si>
    <t>Chown, SL (corresponding author), Monash Univ, Sch Biol Sci, Securing Antarcticas Environm Future, Melbourne, Vic 3800, Australia.</t>
  </si>
  <si>
    <t>steven.chown@monash.edu</t>
  </si>
  <si>
    <t>Chown, Steven/ABD-7646-2021; Chown, Steven/H-3347-2011</t>
  </si>
  <si>
    <t>Chown, Steven/0000-0001-6069-5105</t>
  </si>
  <si>
    <t>Australian Research Council SRIEAS Grant [SR200100005]</t>
  </si>
  <si>
    <t>Australian Research Council SRIEAS Grant(Australian Research Council)</t>
  </si>
  <si>
    <t>Thanks to Nigel Bennett for the invitation to contribute to this extraordinary series of essays, and for his patience with my schedule. Kevin J Gaston and I conceptualized macrophysiology during a Commonwealth Staff Development Fellowship I held at the University of Sheffield. Kevin's work across multiple fields remains an inspiration. Grant Duffy, Amy Liu and Sean Bay provided assistance with figures by providing access to the originals. Michael Kearney and Ary Hoffmann have provided much insightful discussion, especially on various grasshopper collecting trips, and have further expanded my appreciation of biophysics, genomics and outback Australia. Chris Greening introduced me to trace gas oxidation and the power of microbial genomics. Melodie McGeoch, Rachel Leihy, Cassandra Brooks, Ian Aitkenhead, Sean Bay, Rebekah Brown, Susana Clusella-Trullas, Grant Duffy, Genie Fleming, Rebecca Hallas, Eleanor Hay, Chris Hutchinson, Charlene Janion-Scheepers, Rachael Lappan, Karin Leder, Amy Liu, Chuck Kennicutt, Andrew Mackintosh, Tim Naish, Laura Phillips, Emma Ramsay, Chris Rapley, Colin Summerhayes and John Terblanche have been thoughtful collaborators from whom I have benefitted greatly. Two anonymous reviewers provided helpful comments on a previous version. My research is supported by Australian Research Council SRIEAS Grant SR200100005 Securing Antarctica's Environmental Future. Open access publishing facilitated by Monash University, as part of the Wiley - Monash University agreement via the Council of Australian University Librarians.</t>
  </si>
  <si>
    <t>0952-8369</t>
  </si>
  <si>
    <t>1469-7998</t>
  </si>
  <si>
    <t>J ZOOL</t>
  </si>
  <si>
    <t>J. Zool.</t>
  </si>
  <si>
    <t>10.1111/jzo.13029</t>
  </si>
  <si>
    <t>7Z1VQ</t>
  </si>
  <si>
    <t>WOS:000877505200001</t>
  </si>
  <si>
    <t>Wang, SH; Nam, J; Chen, P; Chen, Y; Choi, T; Ham, YB; Hsu, SY; Huang, JJ; Huang, MHA; Jee, G; Jung, J; Kim, J; Kuo, CY; Kwon, HJ; Lee, C; Leung, CH; Liu, TC; Shiao, YSJ; Shin, BK; Wang, MZ; Wang, YH; Anker, A; Barwick, SW; Besson, DZ; Bouma, S; Cataldo, M; Gaswint, G; Glaser, C; Hallmann, S; Hanson, JC; Henrichs, J; Kleinfelder, SA; Lahmann, R; Meyers, ZS; Nelles, A; Novikov, A; Paul, MP; Pyras, L; Persichilli, C; Plaisier, I; Rice-Smith, R; Seikh, MFH; Tatar, J; Welling, C; Zhao, LS</t>
  </si>
  <si>
    <t>Wang, Shih-Hao; Nam, Jiwoo; Chen, Pisin; Chen, Yaocheng; Choi, Taejin; Ham, Young-bae; Hsu, Shih-Ying; Huang, Jian-Jung; Huang, Ming-Huey A.; Jee, Geonhwa; Jung, Jongil; Kim, Jieun; Kuo, Chung-Yun; Kwon, Hyuck-Jin; Lee, Changsup; Leung, Chung-Hei; Liu, Tsung-Che; Shiao, Yu-Shao J.; Shin, Bok-Kyun; Wang, Min-Zu; Wang, Yu-Hsin; Anker, Astrid; Barwick, Steven W.; Besson, Dave Z.; Bouma, Sjoerd; Cataldo, Maddalena; Gaswint, Geoffrey; Glaser, Christian; Hallmann, Steffen; Hanson, Jordan C.; Henrichs, Jakob; Kleinfelder, Stuart A.; Lahmann, Robert; Meyers, Zachary S.; Nelles, Anna; Novikov, Alexander; Paul, Manuel P.; Pyras, Lilly; Persichilli, Christopher; Plaisier, Ilse; Rice-Smith, Ryan; Seikh, Mohammad F. H.; Tatar, Joulien; Welling, Christoph; Zhao, Leshan</t>
  </si>
  <si>
    <t>TAROGE ARIANNA Collaborations</t>
  </si>
  <si>
    <t>TAROGE-M: radio antenna array on antarctic high mountain for detecting near-horizontal ultra-high energy air showers</t>
  </si>
  <si>
    <t>JOURNAL OF COSMOLOGY AND ASTROPARTICLE PHYSICS</t>
  </si>
  <si>
    <t>cosmic ray experiments; cosmic rays detectors; neutrino detectors; neutrino experiments</t>
  </si>
  <si>
    <t>SURFACE; NEUTRINOS</t>
  </si>
  <si>
    <t>The TAROGE-M radio observatory is a self-triggered antenna array on top of the similar to 2700m high Mt. Melbourne in Antarctica, designed to detect impulsive geomagnetic emission from extensive air showers induced by ultra-high energy (UHE) particles beyond 1017 eV, including cosmic rays, Earth-skimming tau neutrinos, and particularly, the ANITA anomalous events (AAE) from near and below the horizon. The six AAE discovered by the ANITA experiment have signal features similar to tau neutrinos but that hypothesis is in tension either with the interaction length predicted by Standard Model or with the flux limits set by other experiments. Their origin remains uncertain, requiring more experimental inputs for clarification. The detection concept of TAROGE-M takes advantage of a high altitude with synoptic view toward the horizon as an efficient signal collector, and the radio quietness as well as strong and near vertical geomagnetic field in Antarctica, enhancing the relative radio signal strength. This approach has a low energy threshold, high duty cycle, and is easy to extend for quickly enlarging statistics. Here we report experimental results from the first TAROGEM station deployed in January 2020, corresponding to approximately one month of livetime. The station consists of six receiving antennas operating at 180-450 MHz, and can reconstruct source directions of impulsive events with an angular resolution of similar to 0.3 ffi, calibrated in situ with a drone-borne pulser system. To demonstrate TAROGE-M's ability to detect UHE air showers, a search for cosmic ray signals in 25.3-days of data together with the detection simulation were conducted, resulting in seven identified candidates. The detected events have a mean reconstructed energy of 0.95+0.46 -0.31 EeV and zenith angles ranging from 25 ffi to 82 ffi, with both distributions agreeing with the simulations, indicating an energy threshold at about 0.3 EeV. The estimated cosmic ray flux at that energy is 1.2+0.7 -0.9x10(-16) eV(-1) km(-2) yr(-1) sr(-1), also consistent with results of other experiments. The TAROGE-M sensitivity to AAEs is approximated by the tau neutrino exposure with simulations, which suggests comparable sensitivity as ANITA's at around 1 EeV energy with a few station-years of operation. These first results verified the station design and performance in a polar and high-altitude environment, and are promising for further discovery of tau neutrinos and AAEs after an extension in the near future.</t>
  </si>
  <si>
    <t>[Wang, Shih-Hao; Nam, Jiwoo; Chen, Pisin; Chen, Yaocheng; Hsu, Shih-Ying; Huang, Jian-Jung; Kuo, Chung-Yun; Leung, Chung-Hei; Wang, Min-Zu; Wang, Yu-Hsin] Natl Taiwan Univ, Dept Phys, Taipei 10617, Taiwan; [Wang, Shih-Hao; Nam, Jiwoo; Chen, Pisin; Chen, Yaocheng; Huang, Jian-Jung; Leung, Chung-Hei; Liu, Tsung-Che; Shiao, Yu-Shao J.; Shin, Bok-Kyun; Wang, Min-Zu; Wang, Yu-Hsin] Natl Taiwan Univ, Leung Ctr Cosmol &amp; Particle Astrophys, Taipei 10617, Taiwan; [Chen, Pisin] Stanford Univ, Kavli Inst Particle Astrophys &amp; Cosmol, SLAC Natl Accelerator Lab, Stanford, CA 94305 USA; [Ham, Young-bae; Jee, Geonhwa; Kim, Jieun; Kwon, Hyuck-Jin; Lee, Changsup] Korea Polar Res Inst, Div Atmospher Sci, Incheon, South Korea; [Ham, Young-bae; Jee, Geonhwa; Lee, Changsup] Korea Univ Sci &amp; Technol, Dept Polar Sci, Daejeon, South Korea; [Jung, Jongil] Natl United Univ, Dept Energy Engn, Miaoli, Taiwan; [Leung, Chung-Hei] Chungnam Natl Univ, Dept Astron Space Sci &amp; Geol, Daejeon 34134, South Korea; [Liu, Tsung-Che] Univ Delaware, Dept Phys &amp; Astron, Newark, DE 19716 USA; [Liu, Tsung-Che] Natl Yang Ming Chiao Tung Univ, Dept Elect, Hsinchu 300, Taiwan; [Shiao, Yu-Shao J.] Natl Nano Device Labs, Hsinchu 300, Taiwan; [Shin, Bok-Kyun] Ulsan Natl Inst Sci &amp; Technol, Ulsan 44919, South Korea; [Anker, Astrid; Barwick, Steven W.; Gaswint, Geoffrey; Paul, Manuel P.; Persichilli, Christopher; Rice-Smith, Ryan; Zhao, Leshan] Univ Calif Irvine, Dept Phys &amp; Astron, Irvine, CA USA; [Besson, Dave Z.; Novikov, Alexander; Seikh, Mohammad F. H.] Univ Kansas, Dept Phys &amp; Astron, Lawrence, KS 66045 USA; [Bouma, Sjoerd; Henrichs, Jakob; Meyers, Zachary S.; Nelles, Anna; Plaisier, Ilse; Welling, Christoph] DESY, D-15738 Zeuthen, Germany; [Cataldo, Maddalena; Henrichs, Jakob; Lahmann, Robert; Meyers, Zachary S.; Nelles, Anna; Pyras, Lilly; Plaisier, Ilse; Welling, Christoph] Friedrich Alexander Univ Erlangen Nurnberg, ECAP, D-91058 Erlangen, Germany; [Glaser, Christian] Uppsala Univ, Dept Phys &amp; Astron, SE-75237 Uppsala, Sweden; [Hanson, Jordan C.] Whittier Coll, Dept Phys, Whittier, CA 90602 USA; [Kleinfelder, Stuart A.] Univ Calif Irvine, Dept Elect Engn &amp; Comp Sci, Irvine, CA 92697 USA; [Tatar, Joulien] Univ Calif Irvine, Res Cyberinfrastruct Ctr, Irvine, CA 92697 USA</t>
  </si>
  <si>
    <t>National Taiwan University; National Taiwan University; Stanford University; United States Department of Energy (DOE); SLAC National Accelerator Laboratory; Korea Polar Research Institute (KOPRI); University of Science &amp; Technology (UST); National United University; Chungnam National University; University of Delaware; National Yang Ming Chiao Tung University; Ulsan National Institute of Science &amp; Technology (UNIST); University of California System; University of California Irvine; University of Kansas; Helmholtz Association; Deutsches Elektronen-Synchrotron (DESY); University of Erlangen Nuremberg; Uppsala University; Whittier College; University of California System; University of California Irvine; University of California System; University of California Irvine</t>
  </si>
  <si>
    <t>Nam, J (corresponding author), Natl Taiwan Univ, Dept Phys, Taipei 10617, Taiwan.</t>
  </si>
  <si>
    <t>wsh4180@gmail.com; jwnam@phys.ntu.edu.tw</t>
  </si>
  <si>
    <t>Wang, Jiachen/KFT-0161-2024; Chen, Pisin/IAO-8769-2023; Hallmann, Steffen/HLQ-7871-2023; Glaser, Christian/R-3021-2019; Nelles, Anna/AAU-1193-2020</t>
  </si>
  <si>
    <t>Chen, Pisin/0000-0001-5251-7210; Hallmann, Steffen/0000-0001-9847-7189; Glaser, Christian/0000-0001-5998-2553; Nelles, Anna/0000-0002-1720-6350; Zhao, Leshan/0000-0003-2418-4660; Pyras, Lilly/0000-0003-1146-9659; Lahmann, Robert/0009-0005-5493-1702; Seikh, Mohammad Ful Hossain/0000-0002-4464-7354; Wang, Shih-Hao/0000-0002-0060-7975</t>
  </si>
  <si>
    <t>Taiwan Ministry of Science and Technology (MOST) [110-2112-M-002-037]; Korea Polar Research Institute (KOPRI) [PE22020]; U.S. National Science Foundation-Office of Polar Programs; U.S. National Science Foundation-Physics Division [NSF-1607719]; NSF [NRT 1633631, 2019597]; German research foundation (DFG) [NE 2031/2-1]; Swedish Government strategic program Stand Up for Energy</t>
  </si>
  <si>
    <t>Taiwan Ministry of Science and Technology (MOST); Korea Polar Research Institute (KOPRI)(Korea Polar Research Institute of Marine Research Placement (KOPRI)); U.S. National Science Foundation-Office of Polar Programs(National Science Foundation (NSF)); U.S. National Science Foundation-Physics Division(National Science Foundation (NSF)); NSF(National Science Foundation (NSF)); German research foundation (DFG)(German Research Foundation (DFG)); Swedish Government strategic program Stand Up for Energy</t>
  </si>
  <si>
    <t>We would like to acknowledge support from the Taiwan Ministry of Science and Technology (MOST) for the TAROGE-M project under grant 110-2112-M-002-037, and from the Korea Polar Research Institute (KOPRI), as well as the great logistical and field supports from onice Jang Bogo station crews in 2018-2019 and 2019-2020 season. This work was also partly supported by research grant PE22020 from KOPRI. We are grateful to the U.S. National Science Foundation-Office of Polar Programs, the U.S. National Science Foundation-Physics Division (grant NSF-1607719) for supporting the ARIANNA array at Moore's Bay, and NSF grant NRT 1633631 and Award ID 2019597. Without the invaluable contributions of the people at McMurdo Station, the ARIANNA stations would have never been built. We acknowledge funding from the German research foundation (DFG) under grants NE 2031/2-1, and the Swedish Government strategic program Stand Up for Energy. The authors are also thankful for the help and the facilities offered by the National Space Organization (NSPO) in Taiwan for the antenna calibration.</t>
  </si>
  <si>
    <t>1475-7516</t>
  </si>
  <si>
    <t>J COSMOL ASTROPART P</t>
  </si>
  <si>
    <t>J. Cosmol. Astropart. Phys.</t>
  </si>
  <si>
    <t>NOV</t>
  </si>
  <si>
    <t>10.1088/1475-7516/2022/11/022</t>
  </si>
  <si>
    <t>F6UM0</t>
  </si>
  <si>
    <t>WOS:000983675200002</t>
  </si>
  <si>
    <t>Merle, RE; Jiang, Q; Jourdan, F; Olierook, H</t>
  </si>
  <si>
    <t>Merle, Renaud E.; Jiang, Qiang; Jourdan, Fred; Olierook, Hugo</t>
  </si>
  <si>
    <t>The age and origin of the Balleny and Scott volcanic provinces, Ross Sea, Antarctica</t>
  </si>
  <si>
    <t>GEOCHEMISTRY</t>
  </si>
  <si>
    <t>Recent volcanism; 40Ar/39Ar dating; Metasomatised lithospheric mantle</t>
  </si>
  <si>
    <t>TORE-MADEIRA RISE; INTRAPLATE VOLCANISM; NEW-ZEALAND; 40AR/39AR GEOCHRONOLOGY; MANTLE PLUMES; GEOCHEMICAL EVOLUTION; ALKALINE MAGMATISM; CONTINENTAL-MARGIN; PACIFIC; ISOTOPE</t>
  </si>
  <si>
    <t>The Balleny and Scott volcanic provinces are two isolated and remote volcanic occurrences located along the rifted margin of Western Antarctica in the Ross Sea. They include oceanic plateaus, seamounts, and volcanic islands. Although volcanic activity has been documented through remote sensing, there is no geochronological data based on radio-isotope methods constraining the duration of the volcanic activity in this region. As a consequence, hypotheses, based on the interpretation of chemical characteristics of the lavas, that suggested the volcanism to be either the result a deep mantle plume or a large-scale shallow melting anomaly have not yet been tested decisively. In order to tackle this issue, we have now dated lavas dredged from seamounts from both Balleny and Scott provinces using the 40Ar/39Ar technique. Our new age dates suggest that the Balleny and Scott volcanic provinces were active since at least 2.8 Ma and 2.4 Ma respectively. This suggests that these volcanic provinces were active simultaneously to the magmatism of the McMurdo volcanic group in the Western Antarctica Rift System that comprises Mount Erebus and Mount Melbourne stratovolcanoes. Our new dates suggest that there is no obvious age trend across the Balleny and Scott provinces. Combined with plate reconstructions since the end of Mesozoic, these data suggest that the Scott province does not coincide with any potential hot-spot track, thus negating a deep mantle plume origin for this volcanism. The case of the Balleny province is more ambiguous. The hypothesis of this province representing the end of the Tasman seamounts chain formed by a hot-spot track with decreasing-age trend is not confirmed by the new geochronological data, since available dates for the region are rather scarce and unreliable for the Tasman seamounts. Therefore, we suggest that the Balleny and Scott provinces originated from shallow mantle melting processes, a hypothesis that seems to be consistent with our re-interpretation of the Sr-Nd-Pb isotope data of the lavas from the Balleny and Scott provinces. We argue that these provinces were derived from a heterogeneous subcontinental lithospheric mantle metasomatized during ancient subductions and which is now scattered in the shallow mantle of the southwest Pacific realm. This scattered mantle source component has been melting since the beginning of Cenozoic, and was then progressively depleted in the most fusible components. This new working model can explain the presence of several magmatic provinces in the southwest Pacific-Antarctica realm which show similar chemical signatures. In order to tackle this issue, we have now dated lavas dredged from seamounts from both Balleny and Scott provinces using the 40Ar/39Ar technique. Our new age dates suggest that the Balleny and Scott volcanic provinces were active since at least 2.8 Ma and 2.4 Ma respectively. This suggests that these volcanic provinces were active simultaneously to the magmatism of the McMurdo volcanic group in the Western Antarctica Rift System that comprises Mount Erebus and Mount Melbourne stratovolcanoes. Our new dates suggest that there is no obvious age trend across the Balleny and Scott provinces. Combined with plate reconstructions since the end of Mesozoic, these data suggest that the Scott province does not coincide with any potential hot-spot track, thus negating a deep mantle plume origin for this volcanism. The case of the Balleny province is more ambiguous. The hypothesis of this province representing the end of the Tasman seamounts chain formed by a hot-spot track with decreasing-age trend is not confirmed by the new geochronological data, since available dates for the region are rather scarce and unreliable for the Tasman seamounts. Therefore, we suggest that the Balleny and Scott provinces originated from shallow mantle melting processes, a hypothesis that seems to be consistent with our re-interpretation of the Sr-Nd-Pb isotope data of the lavas from the Balleny and Scott provinces. We argue that these provinces were derived from a heterogeneous subcontinental lithospheric mantle metasomatized during ancient subductions and which is now scattered in the shallow mantle of the southwest Pacific realm. This scattered mantle source component has been melting since the beginning of Cenozoic, and was then progressively depleted in the most fusible components. This new working model can explain the presence of several magmatic provinces in the southwest Pacific-Antarctica realm which show similar chemical signatures.</t>
  </si>
  <si>
    <t>[Merle, Renaud E.] Uppsala Univ, Nat Resources &amp; Sustainable Dev NRHU, Dept Earth Sci, Villavagen 16, S-75236 Uppsala, Sweden; [Jiang, Qiang; Jourdan, Fred] Curtin Univ, Western Australian Argon Isotope Facil, Perth, WA 6845, Australia; [Jiang, Qiang; Jourdan, Fred] Curtin Univ, TIGeR, Perth, WA 6845, Australia; [Jiang, Qiang; Jourdan, Fred; Olierook, Hugo] Curtin Univ, Sch Earth &amp; Planetary Sci, Perth, WA 6845, Australia; [Jourdan, Fred; Olierook, Hugo] Curtin Univ, John de Laeter Ctr, Perth, WA 6845, Australia; [Olierook, Hugo] Curtin Univ, Timesc Mineral Syst Grp, Perth, WA 6845, Australia</t>
  </si>
  <si>
    <t>Uppsala University; Curtin University; Curtin University; Curtin University; Curtin University; Curtin University</t>
  </si>
  <si>
    <t>Merle, RE (corresponding author), Uppsala Univ, Nat Resources &amp; Sustainable Dev NRHU, Dept Earth Sci, Villavagen 16, S-75236 Uppsala, Sweden.</t>
  </si>
  <si>
    <t>Renaud.merle@geo.uu.se</t>
  </si>
  <si>
    <t>merle, renaud e./ABG-7421-2020; Jiang, Qiang/HMD-5605-2023</t>
  </si>
  <si>
    <t>merle, renaud e./0000-0001-9018-6862; Jiang, Qiang/0000-0003-3381-9592; Jourdan, Fred/0000-0001-5626-4521</t>
  </si>
  <si>
    <t>Australian Antarctic Division grant [4444]; National Science Foundation [OPP-1643713]</t>
  </si>
  <si>
    <t>Australian Antarctic Division grant; National Science Foundation(National Science Foundation (NSF))</t>
  </si>
  <si>
    <t>We thank C. Mayer for her help in the lab and N. Sharafaldeen helped to craft some figures. The early version of this manuscript was significantly improved thank to the very helpful comments by reviews A. Marzoli and J. Mata as well as those from associate editor F. Lucci. This work was supported by Australian Antarctic Division grant #4444. This material is based on services provided by the Polar Rock Repository with support from the National Science Foundation, under Cooperative Agreement OPP-1643713.</t>
  </si>
  <si>
    <t>0009-2819</t>
  </si>
  <si>
    <t>1611-5864</t>
  </si>
  <si>
    <t>GEOCHEMISTRY-GERMANY</t>
  </si>
  <si>
    <t>Geochemistry</t>
  </si>
  <si>
    <t>10.1016/j.chemer.2022.125904</t>
  </si>
  <si>
    <t>F3WZ4</t>
  </si>
  <si>
    <t>WOS:000981696700003</t>
  </si>
  <si>
    <t>Marino, J; Palo, SE; Rainville, N</t>
  </si>
  <si>
    <t>Marino, J.; Palo, S. E.; Rainville, N.</t>
  </si>
  <si>
    <t>First Observations From a New Meteor Radar at McMurdo Station Antarctica (77.8°S, 166.7°E)</t>
  </si>
  <si>
    <t>RADIO SCIENCE</t>
  </si>
  <si>
    <t>meteor radar; Antarctic; mesosphere and lower thermosphere (MLT)</t>
  </si>
  <si>
    <t>LOWER THERMOSPHERE; UPPER-MESOSPHERE; GRAVITY-WAVES; SOUTH-POLE; RADIOWAVE SCATTERING; 12-HOUR OSCILLATION; LIDAR OBSERVATIONS; ARCTIC MESOSPHERE; MESOPAUSE REGION; DECAY TIMES</t>
  </si>
  <si>
    <t>A new 36.17 MHz all-sky meteor radar was installed at McMurdo Station Antarctica (77.8 degrees S, 166.7 degrees E) in February 2018 to provide wind measurements in the mesosphere and lower thermosphere (MLT) region (70-120 km). This instrument is the highest latitude meteor radar currently in operation in the southern hemisphere; it joins two other meteor radars within the Antarctic Circle. The radar will provide long-term continuous wind measurements of the polar region, and contribute to a greater understanding of MLT dynamics. This work describes the radar hardware and its context with other instruments in the region. The paper provides an overview of the spatial and temporal variation in meteor echoes over the observation period of March 2018 through October 2021. It also provides an analysis of the mean winds and solar tides over the first three years of operation; including a description of an observed 12 hr summertime wind oscillation consistent with previously documented observations of a westward propagating 12 hr non-migrating tide of zonal wavenumber 1.</t>
  </si>
  <si>
    <t>[Marino, J.; Palo, S. E.; Rainville, N.] Univ Colorado Boulder, Dept Aerosp Engn Sci, Boulder, CO 80309 USA</t>
  </si>
  <si>
    <t>Marino, J (corresponding author), Univ Colorado Boulder, Dept Aerosp Engn Sci, Boulder, CO 80309 USA.</t>
  </si>
  <si>
    <t>john.marino@colorado.edu</t>
  </si>
  <si>
    <t>Marino, John/0000-0002-9955-5916</t>
  </si>
  <si>
    <t>National Science Foundation [1543446]; Department of Defense (DoD) through the National Defense Science and Engineering Graduate Fellowship (NDSEG) Program</t>
  </si>
  <si>
    <t>National Science Foundation(National Science Foundation (NSF)); Department of Defense (DoD) through the National Defense Science and Engineering Graduate Fellowship (NDSEG) Program</t>
  </si>
  <si>
    <t>This work was supported by the National Science Foundation, Award 1543446. J. Marino was supported in part by the Department of Defense (DoD) through the National Defense Science and Engineering Graduate Fellowship (NDSEG) Program. Special thanks to Adrian Murphy, Bennet Schwab, and Ryan Kingsbury who participated in the radar installation and/or upgrade, as well as Research Associates Graham Tilbury, Rachel Bowens-Rubin, Elizabeth Widen, Shelly Campbell, Mitchell Kennedy, and Isabella Ulate who have cared for the maintenance of the radar at McMurdo Station.</t>
  </si>
  <si>
    <t>0048-6604</t>
  </si>
  <si>
    <t>1944-799X</t>
  </si>
  <si>
    <t>RADIO SCI</t>
  </si>
  <si>
    <t>Radio Sci.</t>
  </si>
  <si>
    <t>e2022RS007466</t>
  </si>
  <si>
    <t>10.1029/2022RS007466</t>
  </si>
  <si>
    <t>Astronomy &amp; Astrophysics; Geochemistry &amp; Geophysics; Meteorology &amp; Atmospheric Sciences; Remote Sensing; Telecommunications</t>
  </si>
  <si>
    <t>8R7EH</t>
  </si>
  <si>
    <t>WOS:000928053400009</t>
  </si>
  <si>
    <t>Caínzos, V; Velo, A; Pérez, FF; Hernández-Guerra, A</t>
  </si>
  <si>
    <t>Cainzos, Veronica; Velo, Anton; Perez, Fiz F.; Hernandez-Guerra, Alonso</t>
  </si>
  <si>
    <t>Anthropogenic Carbon Transport Variability in the Atlantic Ocean Over Three Decades</t>
  </si>
  <si>
    <t>GLOBAL BIOGEOCHEMICAL CYCLES</t>
  </si>
  <si>
    <t>anthropogenic carbon; AMOC; overturning</t>
  </si>
  <si>
    <t>MERIDIONAL OVERTURNING CIRCULATION; TOTAL GEOSTROPHIC CIRCULATION; NORTH-ATLANTIC; GLOBAL OCEAN; TEMPORAL VARIABILITY; CO2 CONCENTRATIONS; INORGANIC CARBON; FLOW PATTERNS; DATA PRODUCT; STORAGE</t>
  </si>
  <si>
    <t>The change in anthropogenic CO2 (C-anth) in the Atlantic Ocean is linked to the Atlantic Meridional Overturning Circulation (AMOC), that redistributes C-anth meridionally and in depth. We have employed direct biogeochemical measurements and hydrographic data from the last 30 years, adjusted using inverse models for each decade with both physical and biogeochemical constraints. We then have computed the meridional transports and the vertical transports between two sections at the interphases by advection and diffusion. We have focused on the repeated sections at three latitudes-30 degrees S, 24, and 55 degrees N, dividing the Atlantic into two boxes. We have divided the net transport into upper, deep and abyssal layers, with an upper and abyssal northward transport of C-anth and a southward component in deep layers. The change in time in the net transports of C-anth appears to be mainly due to modifications in the transport of upper layers. The lower layer of the AMOC, a combination of deep and abyssal waters, maintain more consistent transports in time. Vertical advection plays an important role in the North Atlantic, exporting C-anth from upper to deep layers. In the South Atlantic, the newly formed Antarctic Bottom Water exports C-anth from abyssal to deep layers. The strong gradient in C-anth concentration at the interphase of upper and deep layers results in a strong vertical diffusion.</t>
  </si>
  <si>
    <t>[Cainzos, Veronica; Hernandez-Guerra, Alonso] Univ Palmas Gran Canaria, Unidad Oceano &amp; Clima, Unidad Asociada ULPGC-CSIC, Inst Oceanog &amp; Cambio Global,IOCAG,ULPGC, Canary Islands, Spain; [Velo, Anton; Perez, Fiz F.] CSIC, Inst Invest Marinas, Vigo, Spain</t>
  </si>
  <si>
    <t>Universidad de Las Palmas de Gran Canaria; Consejo Superior de Investigaciones Cientificas (CSIC); CSIC - Instituto de Investigaciones Marinas (IIM)</t>
  </si>
  <si>
    <t>Caínzos, V (corresponding author), Univ Palmas Gran Canaria, Unidad Oceano &amp; Clima, Unidad Asociada ULPGC-CSIC, Inst Oceanog &amp; Cambio Global,IOCAG,ULPGC, Canary Islands, Spain.</t>
  </si>
  <si>
    <t>veronica.cainzos@ulpgc.es</t>
  </si>
  <si>
    <t>Velo, Anton/B-4172-2019; Fernandez Perez, Fiz/B-9001-2011; Hernandez-Guerra, Alonso/A-4747-2008</t>
  </si>
  <si>
    <t>Velo, Anton/0000-0002-7598-5700; Fernandez Perez, Fiz/0000-0003-4836-8974; Hernandez-Guerra, Alonso/0000-0002-4883-8123; Cainzos, Veronica/0000-0003-2666-1862</t>
  </si>
  <si>
    <t>Agencia Canaria de Investigacion, Innovacion y Sociedad de la Informacion (ACIISI) grant program of Apoyo al personal investigador en formacion [TESIS2019010015]; SAGA project - Ministerio de Ciencia, Innovacion y Universidades of the Spanish Government [MCIN/AEI/10.13039/501100011033]; BOCATS2 [TESIS2019010015, RTI2018-100844-B-C31]; [PID2019-104279GB-C21]</t>
  </si>
  <si>
    <t>Agencia Canaria de Investigacion, Innovacion y Sociedad de la Informacion (ACIISI) grant program of Apoyo al personal investigador en formacion; SAGA project - Ministerio de Ciencia, Innovacion y Universidades of the Spanish Government; BOCATS2;</t>
  </si>
  <si>
    <t>V.C. acknowledges the Agencia Canaria de Investigacion, Innovacion y Sociedad de la Informacion (ACIISI) grant program of Apoyo al personal investigador en formacion TESIS2019010015. V.C. and A.H-G. were supported by the SAGA project (RTI2018-100844-B-C31) funded by the Ministerio de Ciencia, Innovacion y Universidades of the Spanish Government. F.F.P. and A.V. were supported by the BOCATS2 (PID2019-104279GB-C21) project funded by MCIN/AEI/10.13039/501100011033 and contributing to WATER:iOS CSIC PTI.</t>
  </si>
  <si>
    <t>0886-6236</t>
  </si>
  <si>
    <t>1944-9224</t>
  </si>
  <si>
    <t>GLOBAL BIOGEOCHEM CY</t>
  </si>
  <si>
    <t>Glob. Biogeochem. Cycle</t>
  </si>
  <si>
    <t>e2022GB007475</t>
  </si>
  <si>
    <t>10.1029/2022GB007475</t>
  </si>
  <si>
    <t>9A4MX</t>
  </si>
  <si>
    <t>WOS:000934034700001</t>
  </si>
  <si>
    <t>Ng, HC; Hawkings, JR; Bertrand, S; Summers, BA; Sieber, M; Conway, TM; Freitas, FS; Ward, JPJ; Pryer, HV; Wadham, JL; Arndt, S; Hendry, KR</t>
  </si>
  <si>
    <t>Ng, Hong Chin; Hawkings, Jon R.; Bertrand, Sebastien; Summers, Brent A.; Sieber, Matthias; Conway, Tim M.; Freitas, Felipe S.; Ward, James P. J.; Pryer, Helena V.; Wadham, Jemma L.; Arndt, Sandra; Hendry, Katharine R.</t>
  </si>
  <si>
    <t>Benthic Dissolved Silicon and Iron Cycling at Glaciated Patagonian Fjord Heads</t>
  </si>
  <si>
    <t>fjord biogeochemistry; sediment nutrient cycling; silicon and iron; stable isotopes; early diagenesis; reaction transport modeling</t>
  </si>
  <si>
    <t>FE ISOTOPE FRACTIONATION; EARLY DIAGENESIS; BIOGENIC OPAL; SI; SEDIMENTS; SEAWATER; IMPACT; SHELF; CONSTRAINTS; DISSOLUTION</t>
  </si>
  <si>
    <t>Glacier meltwater supplies silicon (Si) and iron (Fe) sourced from weathered bedrock to downstream ecosystems. However, the extent to which these nutrients reach the ocean is regulated by the nature of the benthic cycling of dissolved Si and Fe within fjord systems, given the rapid deposition of reactive particulate fractions at fjord heads. Here, we examine the benthic cycling of the two nutrients at four Patagonian fjord heads through geochemical analyses of sediment pore waters, including Si and Fe isotopes (delta Si-30 and delta Fe-56), and reaction-transport modeling for Si. A high diffusive flux of dissolved Fe from the fjord sediments (up to 0.02 mmol m(-2) day(-1)) compared to open ocean sediments (typically &lt;0.001 mmol m(-2) day(-1)) is supported by both reductive and non-reductive dissolution of glacially-sourced reactive Fe phases, as reflected by the range of pore water delta Fe-56 (-2.7 to +0.8 parts per thousand). In contrast, the diffusive flux of dissolved Si from the fjord sediments (0.02-0.05 mmol m(-2) day(-1)) is relatively low (typical ocean values are &gt;0.1 mmol m(-2) day(-1)). High pore water delta Si-30 (up to +3.3 parts per thousand) observed near the Fe(II)-Fe(III) redox boundary is likely associated with the removal of dissolved Si by Fe(III) mineral phases, which, together with high sedimentation rates, contribute to the low diffusive flux of Si at the sampled sites. Our results suggest that early diagenesis promotes the release of dissolved Fe, yet suppresses the release of dissolved Si at glaciated fjord heads, which has significant implications for understanding the downstream transport of these nutrients along fjord systems.</t>
  </si>
  <si>
    <t>[Ng, Hong Chin; Freitas, Felipe S.; Ward, James P. J.; Hendry, Katharine R.] Univ Bristol, Sch Earth Sci, Bristol, England; [Ng, Hong Chin] Univ Bretagne Occidentale, Ifremer, CNRS, Geo Ocean, Plouzane, France; [Hawkings, Jon R.] Univ Penn, Dept Earth &amp; Environm Sci, Philadelphia, PA USA; [Bertrand, Sebastien] Univ Ghent, Renard Ctr Marine Geol, Ghent, Belgium; [Summers, Brent A.; Sieber, Matthias; Conway, Tim M.] Univ S Florida, Coll Marine Sci, St Petersburg, FL USA; [Freitas, Felipe S.; Arndt, Sandra] Univ libre Bruxelles, Dept Geosci, BGeosys, Brussels, Belgium; [Pryer, Helena V.; Wadham, Jemma L.] Univ Bristol, Bristol Glaciol Ctr, Sch Geog Sci, Bristol, England; [Pryer, Helena V.] Univ Cambridge, Dept Earth Sci, Cambridge, England; [Wadham, Jemma L.] UiT Arctic Univ Norway, Ctr Arctic Gas Hydrate Environm &amp; Climate CAGE, Dept Geosci, Tromso, Norway; [Hendry, Katharine R.] British Antarctic Survey, Polar Oceans Team, Cambridge, England</t>
  </si>
  <si>
    <t>University of Bristol; Centre National de la Recherche Scientifique (CNRS); Universite de Bretagne Occidentale; Ifremer; University of Pennsylvania; Ghent University; State University System of Florida; University of South Florida; Universite Libre de Bruxelles; University of Bristol; University of Cambridge; UiT The Arctic University of Tromso; UK Research &amp; Innovation (UKRI); Natural Environment Research Council (NERC); NERC British Antarctic Survey</t>
  </si>
  <si>
    <t>Ng, HC (corresponding author), Univ Bristol, Sch Earth Sci, Bristol, England.;Ng, HC (corresponding author), Univ Bretagne Occidentale, Ifremer, CNRS, Geo Ocean, Plouzane, France.</t>
  </si>
  <si>
    <t>hn9381@bristol.ac.uk</t>
  </si>
  <si>
    <t>Hendry, Katharine R/E-4793-2011; Arndt, Sandra/E-7639-2017; Wadham, Jemma L/G-3138-2014; Bertrand, Sebastien/G-9744-2011</t>
  </si>
  <si>
    <t>Bertrand, Sebastien/0000-0003-0374-4040; Hawkings, Jon/0000-0003-4813-8474; Sieber, Matthias/0000-0001-5510-6126; Ng, Hong Chin/0000-0002-2707-8372</t>
  </si>
  <si>
    <t>NERC-CONICYT project PISCES [NE/P003133/1-PII20150106]; European Commission [793962]; Royal Society Wolfson Merit Award; University of South Florida; European Research Council ERC-ICY-LAB [678371]; UKRI-NERC ChAOS [NE/P006493/1]; Flemish Research Foundation [G0D7916N]; UGent BOF project [01N02216]; Marie Curie Actions (MSCA) [793962] Funding Source: Marie Curie Actions (MSCA); European Research Council (ERC) [678371] Funding Source: European Research Council (ERC)</t>
  </si>
  <si>
    <t>NERC-CONICYT project PISCES; European Commission(European Union (EU)European Commission Joint Research Centre); Royal Society Wolfson Merit Award(Royal Society); University of South Florida; European Research Council ERC-ICY-LAB(European Research Council (ERC)); UKRI-NERC ChAOS; Flemish Research Foundation(FWO); UGent BOF project; Marie Curie Actions (MSCA)(Marie Curie Actions); European Research Council (ERC)(European Research Council (ERC)Spanish Government)</t>
  </si>
  <si>
    <t>This study was supported as part of the NERC-CONICYT project PISCES (NE/P003133/1-PII20150106). Jon Hawkings was supported by a European Commission Horizon 2020. Marie Sklodowska-Curie Actions fellowship ICICLES (#793962). Jemma Wadham was supported by a Royal Society Wolfson Merit Award. Tim Conway was supported by the University of South Florida. Katharine Hendry and Hong Chin Ng were funded by the European Research Council ERC-ICY-LAB (#678371). Felipe Freitas and James Ward were funded by UKRI-NERC ChAOS (NE/P006493/1). Sediment core collection and sediment analysis were partly supported by Flemish Research Foundation project G0D7916N and UGent BOF project 01N02216. We thank the captain and crew of the R/V Sur-Austral for their invaluable assistance in sample collection. We thank Christopher Coath for his help in ensuring smooth operation of MC-ICP-MS for Si isotope analysis at the Bristol Isotope Group. We also thank Rachael Ward for her assistance in sequential extraction analysis of the sediment samples.</t>
  </si>
  <si>
    <t>e2022GB007493</t>
  </si>
  <si>
    <t>10.1029/2022GB007493</t>
  </si>
  <si>
    <t>9A4NB</t>
  </si>
  <si>
    <t>Green Submitted, Green Published, Green Accepted, hybrid</t>
  </si>
  <si>
    <t>WOS:000934035100001</t>
  </si>
  <si>
    <t>Davis, PED; Jenkins, A; Nicholls, KW; Dutrieux, P; Schröder, M; Janout, MA; Hellmer, HH; Templeton, R; McPhail, S</t>
  </si>
  <si>
    <t>Davis, Peter E. D.; Jenkins, Adrian; Nicholls, Keith W.; Dutrieux, Pierre; Schroder, Michael; Janout, Markus A.; Hellmer, Hartmut H.; Templeton, Rob; McPhail, Stephen</t>
  </si>
  <si>
    <t>Observations of Modified Warm Deep Water Beneath Ronne Ice Shelf, Antarctica, From an Autonomous Underwater Vehicle</t>
  </si>
  <si>
    <t>Antarctica; ice shelves; Autosub Long Range</t>
  </si>
  <si>
    <t>WEDDELL SEA; CONTINENTAL-SHELF; TIDAL CURRENTS; HEAT-FLUX; TURBULENCE; CIRCULATION; PARAMETERIZATION; THICKNESS; TRANSPORT; FRONT</t>
  </si>
  <si>
    <t>Filchner-Ronne Ice Shelf (FRIS) is the world's largest ice shelf by volume. It helps regulate Antarctica's contribution to global sea level rise, and water mass transformations within the sub-ice-shelf cavity produce globally important dense water masses. Rates of ice shelf basal melting are relatively low, however, as the production of cold (-1.9 degrees C) and dense High Salinity Shelf Water over the Weddell Sea continental shelf isolates the ice shelf from large-scale inflow of warm water. Nevertheless, a narrow inflow of relatively warm (-1.4 degrees C) Modified Warm Deep Water (MWDW) that hugs the western flank of Berkner Bank is observed to reach Ronne Ice Front, although the processes governing its circulation and fate remain uncertain. Here we present the first observations taken within the ice shelf cavity along this warm water inflow using the Autosub Long Range autonomous underwater vehicle. We observe a core of MWDW with a south-westward velocity of 4 cm s(-1) that reaches at least 18 km into the sub-ice cavity. The hydrographic properties are spatially heterogeneous, giving rise to temporal variability that is driven by tidal advection. The highest rates of turbulent dissipation are associated with the warmest MWDW, with the vertical eddy diffusivity reaching 10(-4) m(2) s(-1) where the water column is fully turbulent. Mixing efficiency is close to the canonical value of 0.2. Modeling studies suggest MWDW may become the dominant water mass beneath FRIS in our changing climate, providing strong motivation to understand more fully the dynamics of this MWDW inflow.</t>
  </si>
  <si>
    <t>[Davis, Peter E. D.; Nicholls, Keith W.; Dutrieux, Pierre] British Antarctic Survey, Nat Environm Res Council, Cambridge, England; [Jenkins, Adrian] Northumbria Univ, Dept Geog &amp; Environm Sci, Fac Engn &amp; Environm, Newcastle Upon Tyne, Tyne &amp; Wear, England; [Schroder, Michael; Janout, Markus A.; Hellmer, Hartmut H.] Helmholtz Ctr Polar &amp; Marine Res, Alfred Wegener Inst, Bremerhaven, Germany; [Templeton, Rob; McPhail, Stephen] Natl Oceanog Ctr, Marine Autonomous &amp; Robot Syst, Southampton, Hants, England</t>
  </si>
  <si>
    <t>UK Research &amp; Innovation (UKRI); Natural Environment Research Council (NERC); NERC British Antarctic Survey; Northumbria University; Helmholtz Association; Alfred Wegener Institute, Helmholtz Centre for Polar &amp; Marine Research; NERC National Oceanography Centre</t>
  </si>
  <si>
    <t>Davis, PED (corresponding author), British Antarctic Survey, Nat Environm Res Council, Cambridge, England.</t>
  </si>
  <si>
    <t>petvis@bas.ac.uk</t>
  </si>
  <si>
    <t>Jenkins, Adrian/IUN-2406-2023; Dutrieux, Pierre/GVS-2890-2022</t>
  </si>
  <si>
    <t>Dutrieux, Pierre/0000-0002-8066-934X; Jenkins, Adrian/0000-0002-9117-0616; Davis, Peter/0000-0002-6471-6310; Janout, Markus/0000-0003-4908-2855; Hellmer, Hartmut/0000-0002-9357-9853</t>
  </si>
  <si>
    <t>e2022JC019103</t>
  </si>
  <si>
    <t>10.1029/2022JC019103</t>
  </si>
  <si>
    <t>6L4YE</t>
  </si>
  <si>
    <t>WOS:000888189500001</t>
  </si>
  <si>
    <t>Ren, XD; Liu, H; Mei, DK; Yang, PX; Zhang, ZY; Freeshah, M; Zhang, XH</t>
  </si>
  <si>
    <t>Ren, Xiaodong; Liu, Hang; Mei, Dengkui; Yang, Pengxin; Zhang, Zhiyu; Freeshah, Mohamed; Zhang, Xiaohong</t>
  </si>
  <si>
    <t>Leveraging the CYGNSS Spaceborne GNSS-R Observations to Detect Ionospheric Irregularities Over the Oceans: Method and Verification</t>
  </si>
  <si>
    <t>ionosphere; GNSS reflectometry (GNSS-R); low-Earth-orbit (LEO); ionospheric irregularities; cyclone global navigation satellite system (CYGNSS)</t>
  </si>
  <si>
    <t>TOTAL ELECTRON-CONTENT; PLASMA DEPLETIONS; TEC DISTURBANCES; MAGNETIC STORM; WEATHER EVENT; REFLECTOMETRY; CLIMATOLOGY; SIGNALS; BUBBLES; CHINA</t>
  </si>
  <si>
    <t>The Global Navigation Satellite System (GNSS) has significantly facilitated the detection of ionospheric irregularities. Nevertheless, the ground-based GNSS stations are inhomogeneously distributed around the world with large gaps, especially in the vast ocean regions. This adversely affects the interpretation of the spatio-temporal variation characteristics of the ionospheric irregularities. In this study, ionospheric irregularities over the regions of the equatorial, and low-latitude ocean during a G4-class strong geomagnetic storm were investigated by utilizing the spaceborne GNSS reflectometry (GNSS-R) technique. We derived and validated the ionospheric regularities index S4(R) from the signal-to-noise ratio measurements of the spaceborne GNSS-R. Meanwhile, we utilized the ionospheric irregularities data from ground-based (GNSS and ionosonde) and space-based (Swarm and FORMOSAT-3/COSMIC) instruments to evaluate and analyze the CYGNSS-derived S4(R). All comparisons and validations conducted within this study illustrate that the spaceborne GNSS-R measurements provide complementary data and realize the timely observation as well as confirmation of the ionospheric irregularities at the same location over the oceans. It is expected to benefit the application of spaceborne GNSS-R in ionospheric irregularities monitoring and applications over the ocean area.</t>
  </si>
  <si>
    <t>[Ren, Xiaodong; Liu, Hang; Mei, Dengkui; Yang, Pengxin; Zhang, Zhiyu; Freeshah, Mohamed; Zhang, Xiaohong] Wuhan Univ, Sch Geodesy &amp; Geomat, Wuhan, Peoples R China; [Zhang, Xiaohong] Wuhan Univ, Chinese Antarctic Ctr Surveying &amp; Mapping, Wuhan, Peoples R China</t>
  </si>
  <si>
    <t>Zhang, XH (corresponding author), Wuhan Univ, Sch Geodesy &amp; Geomat, Wuhan, Peoples R China.;Zhang, XH (corresponding author), Wuhan Univ, Chinese Antarctic Ctr Surveying &amp; Mapping, Wuhan, Peoples R China.</t>
  </si>
  <si>
    <t>xhzhang@sgg.whu.edu.cn</t>
  </si>
  <si>
    <t>Freeshah, Mohamed/ABE-9755-2020; REN, XIAODONG/HJP-2991-2023</t>
  </si>
  <si>
    <t>Freeshah, Mohamed/0000-0003-3539-7450; REN, XIAODONG/0000-0002-3213-0067; liu, hang/0000-0002-3408-3807; yang, pengxin/0000-0002-6772-9758</t>
  </si>
  <si>
    <t>National Natural Science Foundation of China [42174031, 41904026]; Fundamental Research Funds for the Central Universities</t>
  </si>
  <si>
    <t>National Natural Science Foundation of China(National Natural Science Foundation of China (NSFC)); Fundamental Research Funds for the Central Universities(Fundamental Research Funds for the Central Universities)</t>
  </si>
  <si>
    <t>This work was funded by the National Natural Science Foundation of China (42174031, 41904026) and supported by the Fundamental Research Funds for the Central Universities. The authors would like to cordially thank Shuai Yang, Carlos Molina, Adriano Camps, Yifan Zhu, and Zheng Li for their fruitful guidance and advice. The numerical calculations have been done on the supercomputing system in the Supercomputing Center of Wuhan University, Wuhan, China. The authors also gratefully acknowledged the use of Generic Mapping Tool (GMT) and MATrix LABoratory (MATLAB) software.</t>
  </si>
  <si>
    <t>e2022SW003141</t>
  </si>
  <si>
    <t>10.1029/2022SW003141</t>
  </si>
  <si>
    <t>8R7EJ</t>
  </si>
  <si>
    <t>WOS:000928053600004</t>
  </si>
  <si>
    <t>Rainey, RCT</t>
  </si>
  <si>
    <t>Rainey, R. C. T.</t>
  </si>
  <si>
    <t>Long-term changes in the Earth's climate: Milankovitch cycles as an exercise in classical mechanics</t>
  </si>
  <si>
    <t>AMERICAN JOURNAL OF PHYSICS</t>
  </si>
  <si>
    <t>INSOLATION</t>
  </si>
  <si>
    <t>Long-term changes in the tilt of the Earth's axis, relative to the plane of its orbit, are of great significance to long-term climate change, because they control the size of the arctic and Antarctic circles. These Milankovitch cycles have hitherto been calculated by classical perturbation methods or by direct numerical integration of Newton's equations of motion. This paper presents an approximate calculation from simple considerations of angular momentum using similar methods to those used to study the precession of a spinning top. It is an instructive exercise in classical mechanics and gives a simple explanation of the phenomenon in terms of angular momentum. It is shown that the main component of Milankovitch cycles has a period of 41,000 yr and is due to one of the modes of precession of the Earth-Venus system. The other mode of this system produces a component of period 29,500 yr, and a third component of period 54,000 yr results from the influence of the precession of the orbits of Jupiter and Saturn. These results agree closely with several of the numerical simulations in the literature and strongly suggest that some other results in the literature are incorrect. (c) 2022 Author(s). All article content, except where otherwise noted, is licensed under a Creative Commons Attribution (CC BY) license (http://creativecommons.org/licenses/by/4.0/).</t>
  </si>
  <si>
    <t>[Rainey, R. C. T.] Rod Rainey &amp; Associates Ltd, Bath BA1 5SU, Avon, England</t>
  </si>
  <si>
    <t>Rainey, RCT (corresponding author), Rod Rainey &amp; Associates Ltd, Bath BA1 5SU, Avon, England.</t>
  </si>
  <si>
    <t>r.rainey@soton.ac.uk</t>
  </si>
  <si>
    <t>AIP Publishing</t>
  </si>
  <si>
    <t>MELVILLE</t>
  </si>
  <si>
    <t>1305 WALT WHITMAN RD, STE 300, MELVILLE, NY 11747-4501 USA</t>
  </si>
  <si>
    <t>0002-9505</t>
  </si>
  <si>
    <t>1943-2909</t>
  </si>
  <si>
    <t>AM J PHYS</t>
  </si>
  <si>
    <t>Am. J. Phys.</t>
  </si>
  <si>
    <t>10.1119/10.0013563</t>
  </si>
  <si>
    <t>Education, Scientific Disciplines; Physics, Multidisciplinary</t>
  </si>
  <si>
    <t>Education &amp; Educational Research; Physics</t>
  </si>
  <si>
    <t>8Y6ZR</t>
  </si>
  <si>
    <t>WOS:000932844500009</t>
  </si>
  <si>
    <t>Zhang, Q; Roberts, AP; Ge, SL; Liu, YG; Liu, JX; Liu, SC; Tang, X; Wang, HS; Wang, DF; Li, JH; Liu, QS</t>
  </si>
  <si>
    <t>Zhang, Qiang; Roberts, Andrew P. P.; Ge, Shulan; Liu, Yanguang; Liu, Jianxing; Liu, Shuangchi; Tang, Xu; Wang, Haosen; Wang, Dunfan; Li, Jinhua; Liu, Qingsong</t>
  </si>
  <si>
    <t>Interpretation of Anhysteretic Remanent Magnetization Carriers in Magnetofossil-Rich Marine Sediments</t>
  </si>
  <si>
    <t>rock magnetism; magnetic minerals; first-order reversal curve</t>
  </si>
  <si>
    <t>REVERSAL CURVE DIAGRAMS; RELATIVE PALEOINTENSITY RPI; WESTERN EQUATORIAL PACIFIC; DEEP-SEA SEDIMENTS; SOUTH CHINA SEA; GEOMAGNETIC PALEOINTENSITY; MAGNETOTACTIC BACTERIA; GRAIN-SIZE; DETRITAL MAGNETITE; PELAGIC SEDIMENTS</t>
  </si>
  <si>
    <t>The anhysteretic remanent magnetization (ARM) is an important magnetic parameter for quantifying the concentration of fine, mostly sub-micron ferrimagnetic particles in rocks and sediments. A sound understanding of ARM carriers is needed to interpret magnetic and environmental information in sedimentary archives. This is often not achieved for marine sediments, which routinely contain several magnetic mineral components. Here, we analyze marine sediment records over different timescales for four sediment cores from the Eastern Pacific Ocean (Hole 1218A), the Antarctic margin (core P4-1), the Arctic Ocean (core ARC5-ICE4), and the South China Sea (core L07), using coercivity spectra analyses of ARM, first-order reversal curve principal component analysis (FORC-PCA), transmission electron microscopy (TEM), and unmixing of isothermal remanent magnetization (IRM) curves. By combining rock magnetic and TEM results, we find that the ARM is mainly carried by non-interacting single domain (SD) biogenic magnetite (magnetofossils) in the studied sediments over all timescales. Low-coercivity magnetic particles (detrital and fine-grained extracellular magnetite) also contribute to the bulk ARM. Variable magnetofossil chain structures are detected and have a significant influence on ARM data interpretation. Quantitative FORC-PCA endmember analyses based on quantile contours and coercivity distributions provide valuable information on the nature of endmembers and improve ARM data interpretation. We provide an integrated strategy to help reduce interpretational ambiguities related to ARM in future studies.</t>
  </si>
  <si>
    <t>[Zhang, Qiang; Liu, Shuangchi; Tang, Xu; Li, Jinhua] Chinese Acad Sci, Inst Geol &amp; Geophys, State Key Lab Lithospher Evolut, Beijing, Peoples R China; [Roberts, Andrew P. P.] Australian Natl Univ, Res Sch Earth Sci, Canberra, ACT, Australia; [Ge, Shulan; Liu, Yanguang; Liu, Jianxing] MNR, Inst Oceanog 1, Key Lab Marine Geol &amp; Metallogeny, Qingdao, Peoples R China; [Ge, Shulan; Liu, Yanguang; Liu, Jianxing] Pilot Natl Lab Marine Sci &amp; Technol, Lab Marine Geol, Qingdao, Peoples R China; [Wang, Haosen; Wang, Dunfan; Liu, Qingsong] Southern Univ Sci &amp; Technol, Dept Ocean Sci &amp; Engn, Shenzhen, Peoples R China</t>
  </si>
  <si>
    <t>Chinese Academy of Sciences; Institute of Geology &amp; Geophysics, CAS; Australian National University; Laoshan Laboratory; Southern University of Science &amp; Technology</t>
  </si>
  <si>
    <t>Zhang, Q (corresponding author), Chinese Acad Sci, Inst Geol &amp; Geophys, State Key Lab Lithospher Evolut, Beijing, Peoples R China.;Liu, QS (corresponding author), Southern Univ Sci &amp; Technol, Dept Ocean Sci &amp; Engn, Shenzhen, Peoples R China.</t>
  </si>
  <si>
    <t>zqwy163@163.com; zqwy163@163.com</t>
  </si>
  <si>
    <t>yin, yue/JQV-9753-2023; Roberts, Andrew P/E-6422-2010; wang, wei/JBS-7400-2023; LI, Xiang/JBJ-8387-2023; Zhang, Lijuan/KAM-0174-2024; liu, shuangchi/IAQ-6019-2023; zhu, zhu/JDN-0159-2023; Yao, Chen/JVD-6226-2023; zhan, xiao/JEZ-3810-2023; Liu, Yanguang/C-9035-2019</t>
  </si>
  <si>
    <t>Roberts, Andrew P./0000-0003-0566-8117; Tang, Xu/0000-0002-2476-1635; Li, Jinhua/0000-0003-1622-6170; Liu, Yanguang/0000-0002-4524-2930</t>
  </si>
  <si>
    <t>Project on the Impact and Response of Antarctic Seas to Climate Change (IRASCC2020-2022) [01-03-02, 03-02]; National Natural Science Foundation of China [41876070, 42104076, 41920104009]; China National Postdoctoral Program for Innovative Talents [BX20200332]; China Postdoctoral Science Foundation [DP200100765]; Australian Research Council [2020M680026]; Shenzhen Science and Technology Program [KQTD20170810111725321]; Chinese Arctic and Antarctic Administration</t>
  </si>
  <si>
    <t>Project on the Impact and Response of Antarctic Seas to Climate Change (IRASCC2020-2022); National Natural Science Foundation of China(National Natural Science Foundation of China (NSFC)); China National Postdoctoral Program for Innovative Talents; China Postdoctoral Science Foundation(China Postdoctoral Science Foundation); Australian Research Council(Australian Research Council); Shenzhen Science and Technology Program; Chinese Arctic and Antarctic Administration</t>
  </si>
  <si>
    <t>The authors thank Prof. Rixiang Zhu for support, the Associate Editor, Agnes Kontny, and Ramon Egli and Tilo von Dobeneck for insightful reviews that helped to improve the paper, and Tingwei Zhang for assistance. This work was supported financially by the Project on the Impact and Response of Antarctic Seas to Climate Change (IRASCC2020-2022-No.01-03-02, No.03-02), Chinese Arctic and Antarctic Administration, the National Natural Science Foundation of China (41876070, 42104076, 41920104009), the China National Postdoctoral Program for Innovative Talents (BX20200332), the China Postdoctoral Science Foundation (2020M680026) for fellowship funding, the Australian Research Council (grant DP200100765), and the Shenzhen Science and Technology Program (KQTD20170810111725321). The International Ocean Discovery Program provided the samples studied here.</t>
  </si>
  <si>
    <t>10.1029/2022JB024432</t>
  </si>
  <si>
    <t>8R7DX</t>
  </si>
  <si>
    <t>WOS:000928052400021</t>
  </si>
  <si>
    <t>Kalishin, AS; Blagoveshchenskaya, NF; Borisova, TD; Egorov, IM</t>
  </si>
  <si>
    <t>Kalishin, A. S.; Blagoveshchenskaya, N. F.; Borisova, T. D.; Egorov, I. M.</t>
  </si>
  <si>
    <t>Comparison of Spectral Features of Narrowband Stimulated Electromagnetic Emission Excited by an Extraordinary Pump Wave in the High-latitude Ionospheric F Region at Frequencies below and above the F2 Layer X-component Critical Frequency</t>
  </si>
  <si>
    <t>HF pump wave; high-latitude ionosphere; F region; stimulated electromagnetic emission; HF heating facility; aspect-scattered signals; small-scale artificial field-aligned irregularities</t>
  </si>
  <si>
    <t>HF RADIO-WAVES; HIGH-POWER; MODE; SCATTERING; RADIATION</t>
  </si>
  <si>
    <t>The paper presents the results of investigating generation conditions and features of thenarrowband stimulated electromagnetic emission (NSEE) induced by an extraordinary (X-mode) high-frequency (HF) pumping into the high-latitude ionosphere F region. It was shown that NSEE spectralfeatures were recorded at a distance of more than 1100 km from the heating facility. Distinctive features of NSEE discrete spectral lines at the pump frequencies fH below and above the F2 layer X-componentcritical frequency ( f(H) &lt; f(X)F2 and f(H)&gt;= f(X)F2) were analyzed. It was found that the NSEE spectrumcontains the strongly pronounced discrete lines ordered by the electrostatic ion cyclotron frequency forthe atomic oxygen ions (O+). When f(H) &lt; f(X)F2, the multiple downshifted and upshifted spectral compo-nents (Stokes and anti-Stokes modes, respectively) were excited in the NSEE spectra. When f(H)&gt;= f(X)F2,the Stokes modes were only generated. Plausible mechanisms for the NSEE excitation by X-mode HFpump waves are discussed.</t>
  </si>
  <si>
    <t>[Kalishin, A. S.; Blagoveshchenskaya, N. F.; Borisova, T. D.; Egorov, I. M.] Arctic &amp; Antarctic Res Inst, Ul Beringa 38, St Petersburg 199397, Russia</t>
  </si>
  <si>
    <t>Kalishin, AS (corresponding author), Arctic &amp; Antarctic Res Inst, Ul Beringa 38, St Petersburg 199397, Russia.</t>
  </si>
  <si>
    <t>askalishin@aari.ru</t>
  </si>
  <si>
    <t>Egorov, Ivan/E-6768-2019</t>
  </si>
  <si>
    <t>The research was supported by the Russian Science Foundation (grant 22-17-00020, https://rscf.ru/pro-ject/22-17-00020/).</t>
  </si>
  <si>
    <t>10.3103/S1068373922120032</t>
  </si>
  <si>
    <t>8X6ZU</t>
  </si>
  <si>
    <t>WOS:000932160800003</t>
  </si>
  <si>
    <t>Callaghan, CT; Mesaglio, T; Ascher, JS; Brooks, TM; Cabras, AA; Chandler, M; Cornwell, WK; Cristóbal Ríos-Málaver, I; Dankowicz, E; Urfi Dhiya'ulhaq, N; Fuller, RA; Galindo-Leal, C; Grattarola, F; Hewitt, S; Higgins, L; Hitchcock, C; James Hung, KL; Iwane, T; Kahumbu, P; Kendrick, R; Kieschnick, SR; Kunz, G; Lee, CC; Lin, CT; Loarie, S; Norman Medina, M; McGrouther, MA; Miles, L; Modi, S; Nowak, K; Oktaviani, R; Waswala Olewe, BM; Pagé, J; Petrovan, S; saari, c; Seltzer, CE; Seregin, AP; Sullivan, JJ; Sumanapala, AP; Takoukam, A; Widness, J; Willmott, K; Wüster, W; Young, AN</t>
  </si>
  <si>
    <t>Callaghan, Corey T.; Mesaglio, Thomas; Ascher, John S.; Brooks, Thomas M.; Cabras, Analyn A.; Chandler, Mark; Cornwell, William K.; Cristobal Rios-Malaver, Indiana; Dankowicz, Even; Urfi Dhiya'ulhaq, Naufal; Fuller, Richard A.; Galindo-Leal, Carlos; Grattarola, Florencia; Hewitt, Susan; Higgins, Lila; Hitchcock, Colleen; James Hung, Keng-Lou; Iwane, Tony; Kahumbu, Paula; Kendrick, Roger; Kieschnick, Samuel R.; Kunz, Gernot; Lee, Chien C.; Lin, Cheng-Tao; Loarie, Scott; Norman Medina, Milton; McGrouther, Mark A.; Miles, Lera; Modi, Shaunak; Nowak, Katarzyna; Oktaviani, Rahayu; Waswala Olewe, Brian M.; Page, James; Petrovan, Silviu; saari, cassi; Seltzer, Carrie E.; Seregin, Alexey P.; Sullivan, Jon J.; Sumanapala, Amila P.; Takoukam, Aristide; Widness, Jane; Willmott, Keith; Wuester, Wolfgang; Young, Alison N.</t>
  </si>
  <si>
    <t>The benefits of contributing to the citizen science platform iNaturalist as an identifier</t>
  </si>
  <si>
    <t>As the number of observations submitted to the citizen science platform iNaturalist continues to grow, it is increasingly important that these observations can be identified to the finest taxonomic level, maximizing their value for biodiversity research. Here, we explore the benefits of acting as an identifier on iNaturalist.</t>
  </si>
  <si>
    <t>[Callaghan, Corey T.] German Ctr Integrat Biodivers Res iDiv, Leipzig, Germany; [Callaghan, Corey T.] Martin Luther Univ Halle Wittenberg, Inst Biol, Halle, Saale, Germany; [Mesaglio, Thomas] UNSW Sydney, Sch Biol Earth &amp; Environm Sci, Ctr Ecosyst Sci, Sydney, NSW, Australia; [Mesaglio, Thomas; Cornwell, William K.] UNSW Sydney, Sch Biol Earth &amp; Environm Sci, Evolut &amp; Ecol Res Ctr, Sydney, NSW, Australia; [Ascher, John S.] Natl Univ Singapore, Dept Biol Sci, Singapore, Singapore; [Brooks, Thomas M.] Int Union Conservat Nat IUCN, Gland, Switzerland; [Brooks, Thomas M.] Univ Philippines, World Agroforestry Ctr ICRAF, Los Banos, Philippines; [Brooks, Thomas M.] Univ Tasmania, Inst Marine &amp; Antarctic Studies, Hobart, Tas, Australia; [Cabras, Analyn A.; Norman Medina, Milton] Univ Mindanao, Inst Biodivers &amp; Environm, Coleoptera Res Ctr, Davao, Philippines; [Chandler, Mark] Earthwatch Inst, Boston, MA USA; [Cristobal Rios-Malaver, Indiana; Willmott, Keith] Univ Florida, Florida Museum Nat Hist, McGuire Ctr Lepidoptera &amp; Biodivers, Gainesville, FL 32611 USA; [Cristobal Rios-Malaver, Indiana] Inst Invest Recursos Biol Alexander von Humboldt, Villa De Leyva, Boyaca, Colombia; [Dankowicz, Even; Hitchcock, Colleen] Brandeis Univ, Dept Biol, Waltham, MA 02254 USA; [Fuller, Richard A.] Univ Queensland, Sch Biol Sci, Brisbane, Qld, Australia; [Galindo-Leal, Carlos] Comisio Nacl Conocimiento &amp; Biodiversidad, Mexico City, DF, Mexico; [Grattarola, Florencia] Czech Univ Life Sci Prague, Fac Environm Sci, Prague, Czech Republic; [Higgins, Lila] Nat Hist Museum Los Angeles Cty, Los Angeles, CA USA; [James Hung, Keng-Lou] Univ Oklahoma, Oklahoma Biol Survey, Norman, OK 73019 USA; [Iwane, Tony; Loarie, Scott; Seltzer, Carrie E.] Calif Acad Sci, iNaturalist, San Francisco, CA 94118 USA; [Kahumbu, Paula] Wildlife Direct, Nairobi, Kenya; [Kendrick, Roger] C&amp;R Wildlife, Tai Po, Peoples R China; [Kieschnick, Samuel R.] Texas Parks &amp; Wildlife Dept, Dallas, TX USA; [Kunz, Gernot] Karl Franzens Univ Graz, Dept Biol, Univ Pl 2, Graz, Austria; [Lee, Chien C.] Univ Malaysia Sarawak, Inst Biodivers &amp; Environm Conservat, Sarawak, Malaysia; [Lin, Cheng-Tao] Natl Chiayi Univ, Dept Biol Resources, Chiayi, Taiwan; [McGrouther, Mark A.] Australian Museum, Australian Museum Res Inst, Sydney, NSW, Australia; [Miles, Lera] UN Environm Programme World Conservat Monitoring, Cambridge, England; [Modi, Shaunak] Coastal Conservat Fdn, Mumbai, Maharashtra, India; [Nowak, Katarzyna] Univ Warsaw, Bialowieza Geobotan Stn, Fac Biol, Bialowieza, Poland; [Oktaviani, Rahayu] Yayasan Konservasi Ekosistem Alam Nusantara KIARA, Java, Indonesia; [Waswala Olewe, Brian M.] Maasai Mara Univ, Narok, Kenya; [Waswala Olewe, Brian M.] Baruk Yadiym Ecosphere, Nairobi, Kenya; [Waswala Olewe, Brian M.] Kenya Natl Commiss UNESCO, Nairobi, Kenya; [Page, James] Canadian Wildlife Federat, Kanata, ON, Canada; [Petrovan, Silviu] Univ Cambridge, Dept Zool, Conservat Sci Grp, Cambridge, England; [saari, cassi] Chicago Pk Dist, Chicago, IL USA; [Seregin, Alexey P.] Moscow MV Lomonosov State Univ, Moscow, Russia; Lincoln Univ, Dept Pest Management &amp; Conservat, Lincoln, New Zealand; [Sumanapala, Amila P.] Univ Colombo, Dept Zool &amp; Environm Sci, Colombo, Sri Lanka; [Takoukam, Aristide] African Marine Mammal Conservat Org, Dizangue, Littoral, Cameroon; [Widness, Jane] Yale Univ, Dept Anthropol, New Haven, CT 06520 USA; [Wuester, Wolfgang] Bangor Univ, Sch Nat Sci, Mol Ecol &amp; Fisheries Genet Lab, Bangor, Gwynedd, Wales; [Young, Alison N.] Calif Acad Sci, San Francisco, CA 94118 USA</t>
  </si>
  <si>
    <t>Martin Luther University Halle Wittenberg; University of New South Wales Sydney; University of New South Wales Sydney; National University of Singapore; University of the Philippines System; University of the Philippines Los Banos; University of the Philippines Open University; CGIAR; World Agroforestry (ICRAF); University of Tasmania; State University System of Florida; University of Florida; Alliance; International Center for Tropical Agriculture - CIAT; Brandeis University; University of Queensland; Czech University of Life Sciences Prague; University of Oklahoma System; University of Oklahoma - Norman; California Academy of Sciences; University of Graz; University of Malaysia Sarawak; National Chiayi University; Australian Museum; University of Warsaw; University of Cambridge; Lomonosov Moscow State University; Lincoln University - New Zealand; University of Colombo; Yale University; Bangor University; California Academy of Sciences</t>
  </si>
  <si>
    <t>Callaghan, CT (corresponding author), German Ctr Integrat Biodivers Res iDiv, Leipzig, Germany.;Callaghan, CT (corresponding author), Martin Luther Univ Halle Wittenberg, Inst Biol, Halle, Saale, Germany.;Mesaglio, T (corresponding author), UNSW Sydney, Sch Biol Earth &amp; Environm Sci, Ctr Ecosyst Sci, Sydney, NSW, Australia.;Mesaglio, T (corresponding author), UNSW Sydney, Sch Biol Earth &amp; Environm Sci, Evolut &amp; Ecol Res Ctr, Sydney, NSW, Australia.</t>
  </si>
  <si>
    <t>callaghan.corey.t@gmail.com; thomasmesaglio@gmail.com</t>
  </si>
  <si>
    <t>Loarie, Scott R/D-2610-2009; Kendrick, Roger/AAA-1568-2020; Ascher, John/IWE-2562-2023; Wuster, Wolfgang/B-2879-2008; Fuller, Richard/B-7971-2008; Ascher, John S/D-1554-2014; Nowak, Katarzyna/AAT-5468-2021; Miles, Lera/C-7334-2009</t>
  </si>
  <si>
    <t>Kendrick, Roger/0000-0002-1382-1719; Wuster, Wolfgang/0000-0002-4890-4311; Fuller, Richard/0000-0001-9468-9678; Nowak, Katarzyna/0000-0002-4992-7910; Oktaviani, Rahayu/0000-0002-8272-5245; Grattarola, Florencia/0000-0001-8282-5732; Hung, Keng-Lou James/0000-0002-1557-3958; Hitchcock, Colleen/0000-0002-3413-8951; Miles, Lera/0000-0003-0377-5904; Waswala, Brian Marvis Olewe/0000-0001-9604-9746; Willmott, Keith/0000-0002-9228-0219; Callaghan, Corey/0000-0003-0415-2709; Young, Alison/0000-0001-8919-0661; Mesaglio, Thomas/0000-0002-1096-6066</t>
  </si>
  <si>
    <t>e3001843</t>
  </si>
  <si>
    <t>10.1371/journal.pbio.3001843</t>
  </si>
  <si>
    <t>8O8TB</t>
  </si>
  <si>
    <t>WOS:000926103400001</t>
  </si>
  <si>
    <t>Whiteford, A; Horgan, HJ; Leong, WJ; Forbes, M</t>
  </si>
  <si>
    <t>Whiteford, A.; Horgan, H. J.; Leong, W. J.; Forbes, M.</t>
  </si>
  <si>
    <t>Melting and Refreezing in an Ice Shelf Basal Channel at the Grounding Line of the Kamb Ice Stream, West Antarctica</t>
  </si>
  <si>
    <t>ice shelf; basal channel; melt</t>
  </si>
  <si>
    <t>PINE ISLAND GLACIER; CONTINENT-WIDE; FLOW BENEATH; STRAIN RATES; MASS-BALANCE; RADAR; WATER; MODEL; CIRCULATION; PHASE</t>
  </si>
  <si>
    <t>Ice shelves buttress ice streams and glaciers, slowing the rate at which they flow into the ocean. When this buttressing is reduced, either through increased melt or calving, the increased discharge of grounded ice upstream contributes to sea level rise. The thickness, strength, and stability of ice shelves can be influenced by channels in the ice base. Here, we focus on a subglacially sourced basal channel which is observed to have melted up to 50% of the ice shelf thickness. The channel extends 6 km upstream of the previously estimated grounding line of the stagnant Kamb Ice Stream. Using a combination of ground-based observations and remote sensing, we find that the channel is growing upstream over time. Over-snow radar surveying images the shape of the channel, constrains a steep inception, and shows that not all of the basal shape is manifest at the surface. Modern surface lowering at the upstream head of the channel is interpreted as a region of focused melt where a subglacial outlet meets the ocean cavity. We estimate this basal melt to be at least 35 m/a in a narrow (200 m x 1.5 km) zone. Downstream from the melt region, repeat phase sensitive radar observations reveal accretion contributing to the growth of a ledge on the true-right side of the channel. We conclude that the channel is likely formed by a retreating subglacial outlet which enhances basal melt episodically.</t>
  </si>
  <si>
    <t>[Whiteford, A.; Horgan, H. J.] Victoria Univ Wellington, Antarctic Res Ctr, Wellington, New Zealand; [Leong, W. J.] Ohio State Univ, Byrd Polar &amp; Climate Res Ctr, Columbus, OH USA; [Forbes, M.] Univ Otago, Sch Surveying, Dunedin, New Zealand</t>
  </si>
  <si>
    <t>Victoria University Wellington; University System of Ohio; Ohio State University; University of Otago</t>
  </si>
  <si>
    <t>Whiteford, A (corresponding author), Victoria Univ Wellington, Antarctic Res Ctr, Wellington, New Zealand.</t>
  </si>
  <si>
    <t>arranjcw@gmail.com</t>
  </si>
  <si>
    <t>Horgan, Huw/0000-0002-4836-0078; Leong, Wei Ji/0000-0003-2354-1988</t>
  </si>
  <si>
    <t>NZARI Ross Ice Shelf Project; Royal Society of New Zealand Rutherford Discovery Fellowship [RDF-VUW1602]; Aotearoa New Zealand Antarctic Science Platform [ANTA1801]; Antarctic Ice Dynamics Project [ASP02101]</t>
  </si>
  <si>
    <t>NZARI Ross Ice Shelf Project; Royal Society of New Zealand Rutherford Discovery Fellowship(Royal Society of New Zealand); Aotearoa New Zealand Antarctic Science Platform; Antarctic Ice Dynamics Project</t>
  </si>
  <si>
    <t>This research was funded by the Aotearoa New Zealand Antarctic Science Platform (ANTA1801) Antarctic Ice Dynamics Project (ASP02101), and the NZARI Ross Ice Shelf Project. HH and AW were supported by a Royal Society of New Zealand Rutherford Discovery Fellowship (Contract: RDF-VUW1602). The equipment used to collect the low-frequency radar data was lent by Ginny Catania (Jackson School of Geosciences, University of Texas in Austin). Greg Leonnard and Kelly Gragg (School of Surveying, University of Otago) assisted with the radar set-up. Our thanks to Antarctica New Zealand for the field support which was critical to the success of this research. Open access publishing facilitated by Victoria University of Wellington, as part of the Wiley - Victoria University of Wellington agreement via the Council of Australian University Librarians.</t>
  </si>
  <si>
    <t>e2021JF006532</t>
  </si>
  <si>
    <t>10.1029/2021JF006532</t>
  </si>
  <si>
    <t>8R7GA</t>
  </si>
  <si>
    <t>WOS:000928057900001</t>
  </si>
  <si>
    <t>Vollmer, TD; Ito, T; Lynch-Stieglitz, J</t>
  </si>
  <si>
    <t>Vollmer, T. D.; Ito, T.; Lynch-Stieglitz, J.</t>
  </si>
  <si>
    <t>Proxy-Based Preformed Phosphate Estimates Point to Increased Biological Pump Efficiency as Primary Cause of Last Glacial Maximum CO2 Drawdown</t>
  </si>
  <si>
    <t>ATMOSPHERIC CO2; SOUTHERN-OCEAN; SEA-ICE; CARBON SEQUESTRATION; ANTARCTIC OCEAN; NORTH-ATLANTIC; CIRCULATION; CADMIUM; SURFACE; MODEL</t>
  </si>
  <si>
    <t>Upwelling deep waters in the Southern Ocean release biologically sequestered carbon into the atmosphere, contributing to the relatively high atmospheric CO2 levels during interglacial climate periods. Paleoceanographic evidence suggests this CO2 leak was lessened during the last glacial maximum (LGM), potentially due to increased stratification, weaker and equatorward-shifted winds, and/or enhanced biological carbon export. The collective influences of these mechanisms on the ocean's biological pump efficiency and amount of atmospheric CO2 can be quantified by determining preformed phosphate of deep waters. We quantify preformed PO4 (Ppre,AOU) and preformed delta 13C (delta 13Cpre, AOU) of LGM bottom waters using a compilation of published paleo-temperature, nutrient and oxygen estimates from benthic foraminifera. Our results show that preformed phosphate of the Pacific and Indian deep oceans was reduced by about -0.53 +/- 0.13 mu M and suggest that much (64 +/- 28 ppmv) of the Glacial-Interglacial CO2 drawdown resulted from changes in the ocean's biological pump efficiency. Once carbonate compensation is accounted for, this can explain the entire CO2 drawdown (87 +/- 40 ppmv). Preformed delta 13 C shows similar results. The reconstructed LGM Ppre, AOU and oxygen are qualitatively consistent with the changes produced by a suite of numerical sensitivity experiments that roughly simulate three proposed mechanisms for an increase in LGM biological pump efficiency: an increase in biological activity, a decrease in wind-driven upwelling, and an increase in stratification in the Southern Ocean.</t>
  </si>
  <si>
    <t>[Vollmer, T. D.; Ito, T.; Lynch-Stieglitz, J.] Georgia Inst Technol, Sch Earth &amp; Atmospher Sci, Atlanta, GA 30332 USA</t>
  </si>
  <si>
    <t>University System of Georgia; Georgia Institute of Technology</t>
  </si>
  <si>
    <t>Vollmer, TD (corresponding author), Georgia Inst Technol, Sch Earth &amp; Atmospher Sci, Atlanta, GA 30332 USA.</t>
  </si>
  <si>
    <t>tdvollmer@gatech.edu</t>
  </si>
  <si>
    <t>Ito, Takamitsu/F-3856-2010; Lynch-Stieglitz, Jean/J-2277-2018</t>
  </si>
  <si>
    <t>Ito, Takamitsu/0000-0001-9873-099X; Lynch-Stieglitz, Jean/0000-0002-9353-1972</t>
  </si>
  <si>
    <t>U.S. National Science Foundation; [OCE-1851900]</t>
  </si>
  <si>
    <t>U.S. National Science Foundation(National Science Foundation (NSF));</t>
  </si>
  <si>
    <t>Acknowledgments This work was supported by U.S. National Science Foundation Grant OCE-1851900. The authors would like to thank Daniel Sigman, and two additional reviewers whose comments greatly improved this paper.</t>
  </si>
  <si>
    <t>e2021PA004339</t>
  </si>
  <si>
    <t>10.1029/2021PA004339</t>
  </si>
  <si>
    <t>8R7GB</t>
  </si>
  <si>
    <t>WOS:000928058000001</t>
  </si>
  <si>
    <t>Jie, CX; Yusuf, NHM; Najimudin, N; Kqueen, CY; Ling, CMWV</t>
  </si>
  <si>
    <t>Jie, Ching Xin; Yusuf, Noor Hydayaty Md; Najimudin, Nazalan; Kqueen, Cheah Yoke; Ling, Clemente Michael Wong Vui</t>
  </si>
  <si>
    <t>Expression Analysis using Reverse Transcription Quantitative Real-Time PCR (RT-qPCR) Suggests Different Strategies in Parageobacillus caldoxylosilyticus ER4B under Exposure to Cold Shock</t>
  </si>
  <si>
    <t>Cold shock; cold stress response; Parageobacillus caldoxylosilyticus; reverse transcription quantitative real-time PCR (RT-qPCR); thermophilic bacterium</t>
  </si>
  <si>
    <t>LOW-TEMPERATURE; ESCHERICHIA-COLI; GROWTH TEMPERATURE; BACILLUS-SUBTILIS; STRESS-RESPONSE; L-PYROGLUTAMATE; GLUTATHIONE; ADAPTATION; PROTEIN; ENZYME</t>
  </si>
  <si>
    <t>Microorganisms have acquired both common and unique abilities to withstand cold stress on Earth. Many studies on bacterial cold shock have been conducted, however, the majority of the studies were focused on mesophiles and psychrophiles. To date, limited information is available on the response of thermophilic bacteria to cold stress and therefore, it is not known how thermophilic bacteria would respond to different cold shocks. To address this question, the cold shock responses of a thermophilic Parageobacillus caldoxylosilyticus ER4B which has an optimal growth temperature at 64 degrees C were determined using Real-Time PCR (RT-qPCR). When the bacterium was exposed to mild cold shock at 54 degrees C, the expressions of gene encoding for pyruvate kinase and acetolactate synthase were significantly upregulated, suggesting that more pyruvate molecules were produced to synthesize branched-chain amino acids that could alter the fatty acid profile on the cell membrane. Accumulation of pyruvate in the bacterium could also help to scavenge cold-induced reactive oxygen species (ROS). Meanwhile, exposing the bacterium to extreme cold shock at 10 degrees C resulted in significant upregulation of genes encoding for gamma-glutamylcyclotransferase, cold shock protein B and competence protein ComEA. An increase in these enzymes expression indicated more extreme measures including apoptosis and transformation were adopted during extreme cold shock.</t>
  </si>
  <si>
    <t>[Jie, Ching Xin; Yusuf, Noor Hydayaty Md; Ling, Clemente Michael Wong Vui] Univ Malaysia Sabah, Biotechnol Res Inst, Kota Kinabalu 88400, Sabah, Malaysia; [Najimudin, Nazalan] Univ Sains Malaysia, Sch Biol Sci, Bayan Lepas 11900, Penang, Malaysia; [Kqueen, Cheah Yoke] Univ Putra Malaysia, Fac Med &amp; Hlth Sci, Dept Biomed Sci, Upm Serdang 43400, Selangor Darul, Malaysia; [Ling, Clemente Michael Wong Vui] Univ Malaya, Natl Antarctic Res Ctr, Kuala Lumpur 50603, Federal Territo, Malaysia</t>
  </si>
  <si>
    <t>Universiti Malaysia Sabah; Universiti Sains Malaysia; Universiti Putra Malaysia; Universiti Malaya</t>
  </si>
  <si>
    <t>Ling, CMWV (corresponding author), Univ Malaysia Sabah, Biotechnol Res Inst, Kota Kinabalu 88400, Sabah, Malaysia.;Ling, CMWV (corresponding author), Univ Malaya, Natl Antarctic Res Ctr, Kuala Lumpur 50603, Federal Territo, Malaysia.</t>
  </si>
  <si>
    <t>Ministry of Science, Technology, and Innovation (MOSTI), Malaysia, under the Antarctica Flagship Programme [FP1213E036]</t>
  </si>
  <si>
    <t>Ministry of Science, Technology, and Innovation (MOSTI), Malaysia, under the Antarctica Flagship Programme</t>
  </si>
  <si>
    <t>The funding support from the Ministry of Science, Technology, and Innovation (MOSTI), Malaysia, under the Antarctica Flagship Programme (Sub-Project 1: Grant no. FP1213E036) is gratefully acknowledged.</t>
  </si>
  <si>
    <t>UNIV KEBANGSAAN MALAYSIA</t>
  </si>
  <si>
    <t>SELANGOR</t>
  </si>
  <si>
    <t>FACULTY SCIENCE &amp; TECHNOLOGY, BANGI, SELANGOR, 43600, MALAYSIA</t>
  </si>
  <si>
    <t>10.17576/jsm-2022-5111-09</t>
  </si>
  <si>
    <t>7T4DG</t>
  </si>
  <si>
    <t>WOS:000911393800009</t>
  </si>
  <si>
    <t>Amelio, D; Garofalo, F; Brunelli, E; Santovito, G; Pellegrino, D</t>
  </si>
  <si>
    <t>Amelio, Daniela; Garofalo, Filippo; Brunelli, Elvira; Santovito, Gianfranco; Pellegrino, Daniela</t>
  </si>
  <si>
    <t>Absence of Nitrergic Modulation of Starling Response in Haemoglobin-Less Antarctic Fish Chionodraco hamatus</t>
  </si>
  <si>
    <t>nitric oxide; Frank-Starling response; Antarctic teleost; icefish; eNOS</t>
  </si>
  <si>
    <t>NITRIC-OXIDE SYNTHASE; INOTROPIC RESPONSE; ENDOTHELIAL-CELLS; ACTIVATION; EXPRESSION; STRETCH; MUSCLE; HEART; ENOS; NO</t>
  </si>
  <si>
    <t>The Frank-Starling response is an intrinsic heart property that is particularly evident in the fish heart because piscine cardiomyocytes are extremely sensitive to stretch. Several mechanisms and compounds influence the Frank-Starling response, including the free radical nitric oxide produced by nitric oxide synthases in the vascular endothelium and cardiomyocytes of all vertebrates. Besides its role in scavenging nitric oxide, hemoglobin may act as a source and transporter. In this context, the hemoglobin-less Antarctic teleost Chionodraco hamatus (icefish) represents a unique opportunity to investigate the involvement of nitric oxide in the Frank-Starling response. Using an isolated perfused heart preparation, weverified a basal nitrergic tone that is not implicated in the Frank-Starling response. In addition, by comparing nitric oxide synthases expression and activation in C. hamatus and the red-blooded Antarctic teleost Trematomus bernacchii, we found the endothelial isoform of nitric oxide synthase (the primary generator of nitric oxide during shear stress) to be less expressed and activated in the former.</t>
  </si>
  <si>
    <t>[Amelio, Daniela; Garofalo, Filippo; Brunelli, Elvira; Pellegrino, Daniela] Univ Calabria, Dept Biol Ecol &amp; Earth Sci, I-87036 Arcavacata Di Rende, Italy; [Santovito, Gianfranco] Univ Padua, Dept Biol, I-35122 Padua, Italy</t>
  </si>
  <si>
    <t>University of Calabria; University of Padua</t>
  </si>
  <si>
    <t>Pellegrino, D (corresponding author), Univ Calabria, Dept Biol Ecol &amp; Earth Sci, I-87036 Arcavacata Di Rende, Italy.</t>
  </si>
  <si>
    <t>danielapellegrino@unical.it</t>
  </si>
  <si>
    <t>Brunelli, Elvira/AGR-1617-2022; Santovito, Gianfranco/ABB-9484-2021</t>
  </si>
  <si>
    <t>Brunelli, Elvira/0000-0003-3669-1395; Santovito, Gianfranco/0000-0001-8260-7006; Pellegrino, Daniela/0000-0002-9815-5195</t>
  </si>
  <si>
    <t>Italian National Research Program in Antarctica; [PNRA18_00133]</t>
  </si>
  <si>
    <t>Italian National Research Program in Antarctica;</t>
  </si>
  <si>
    <t>All authors were supported by the Italian National Research Program in Antarctica (PNRA18_00133).</t>
  </si>
  <si>
    <t>10.3390/jmse10111705</t>
  </si>
  <si>
    <t>7S5MA</t>
  </si>
  <si>
    <t>WOS:000910796100001</t>
  </si>
  <si>
    <t>Schejter, L; Ríos, P; Cristobo, J; Van Soest, R</t>
  </si>
  <si>
    <t>Schejter, Laura; Rios, Pilar; Cristobo, Javier; Van Soest, Rob</t>
  </si>
  <si>
    <t>On the identity of Dendrilla membranosa (Porifera, Dendroceratida) sense Burton, and the specimens collected in Argentina, SW Atlantic Ocean</t>
  </si>
  <si>
    <t>LATIN AMERICAN JOURNAL OF AQUATIC RESEARCH</t>
  </si>
  <si>
    <t>Dendrilla antarctica; sponges; distribution; Burdwood bank; Tierra del Fuego</t>
  </si>
  <si>
    <t>There has been confusion regarding the specimens identified as Dendrilla membranosa (Pallas, 1766) in Antarctic and subantarctic waters, considering that the original description corresponded to specimens from the Indian Ocean. In this study, we clarified the identification of the specimens collected in Argentinian waters, SW Atlantic Ocean, that should be identified as Dendrilla antarctica Topsent, 1905, updating its distributional range and considering the new records reported in the present study.</t>
  </si>
  <si>
    <t>[Schejter, Laura] Consejo Nacl Invest Cient &amp; Tecn, Inst Nacl Invest &amp; Desarrollo Pesquero INIDEP, Mar Del Plata, Argentina; [Rios, Pilar; Cristobo, Javier] Ctr Oceanog Gijon IEO CSIC, Inst Espanol Oceanog, Gijon, Spain; [Van Soest, Rob] Nat Biodivers Ctr NBC, Leiden, Netherlands</t>
  </si>
  <si>
    <t>Consejo Nacional de Investigaciones Cientificas y Tecnicas (CONICET); National Fisheries Research &amp; Development Institute (INIDEP); Spanish Institute of Oceanography</t>
  </si>
  <si>
    <t>Schejter, L (corresponding author), Consejo Nacl Invest Cient &amp; Tecn, Inst Nacl Invest &amp; Desarrollo Pesquero INIDEP, Mar Del Plata, Argentina.</t>
  </si>
  <si>
    <t>schejter@inidep.edu.ar</t>
  </si>
  <si>
    <t>Rios, Pilar/L-1293-2014</t>
  </si>
  <si>
    <t>Rios, Pilar/0000-0001-9710-9114; van Soest, Rob/0000-0002-4623-0093; Schejter, Laura/0000-0001-5443-4048</t>
  </si>
  <si>
    <t>Marine Protected Area Namuncura/Burdwood bank Law 26875/2013; PICT [2019-4233]</t>
  </si>
  <si>
    <t>Marine Protected Area Namuncura/Burdwood bank Law 26875/2013; PICT(ANPCyT)</t>
  </si>
  <si>
    <t>Laura Schejter wishes to thank members of the scientific staff that helped during sampling procedures onboard the RV Puerto Deseado, particularly Dr. G. Lovrich, General Scientific Coordinator of the activities developed in the MPA Namuncura/Burdwood bank. We also thank the suggestions and comments of the anonymous reviewers that contributed to improving this note's final version. The expedition was supported by the Marine Protected Area Namuncura/Burdwood bank Law 26875/2013, and the study was partially supported by PICT 2019-4233 to LS. MPA Namuncura Contribution N degrees 65 and INIDEP Contribution N degrees 2269. Voucher specimens were deposited in the Museo Argentino de Ciencias Naturales Bernardino Rivadavia (MACN-In), Argentina.</t>
  </si>
  <si>
    <t>UNIV CATOLICA DE VALPARAISO</t>
  </si>
  <si>
    <t>VALPARAISO</t>
  </si>
  <si>
    <t>AV BRASIL 2950, PO BOX 4059, VALPARAISO, CHILE</t>
  </si>
  <si>
    <t>0718-560X</t>
  </si>
  <si>
    <t>LAT AM J AQUAT RES</t>
  </si>
  <si>
    <t>Lat. Am. J. Aquat. Res.</t>
  </si>
  <si>
    <t>10.3856/vol50-issue5-fulltext-2939</t>
  </si>
  <si>
    <t>6R7ZO</t>
  </si>
  <si>
    <t>WOS:000892517200014</t>
  </si>
  <si>
    <t>Machado, S; Feitosa, V; Pillaca-Pullo, O; Lario, L; Sette, L; Pessoa, A; Alves, H</t>
  </si>
  <si>
    <t>Machado, Suellen; Feitosa, Valker; Pillaca-Pullo, Omar; Lario, Luciana; Sette, Lara; Pessoa Jr, Adalberto; Alves, Harley</t>
  </si>
  <si>
    <t>Effects of Oxygen Transference on Protease Production by Rhodotorula mucilaginosa CBMAI 1528 in a Stirred Tank Bioreactor</t>
  </si>
  <si>
    <t>BIOENGINEERING-BASEL</t>
  </si>
  <si>
    <t>extremophilic; psychrophilic; proteinase; proteolytic; bioreactor; oxygen transference</t>
  </si>
  <si>
    <t>Microbial proteases, especially aspartic proteases, are an essential group of enzymes produced from different microorganisms. Microbial proteases have several applications, mainly in the food, beverage, cosmetic, and pharmaceutical industries, due to their efficiency in the processing and in the manufacturing stages. The yeast Rhodotorula mucilaginosa CBMAI 1528 was isolated from the Antarctic environment and was previously reported to have higher extracellular aspartic protease production. In addition, advances in the operational conditions of bioreactors for enzyme production are important to reduce the gap associated with scaling-up processes. This is the first study that evaluates the influence of oxygen transference (k(L)a) on the protease production of R. mucilaginosa yeast. To that end, batch cultures were created in a stirred tank bioreactor using Sabouraud dextrose broth at 25 degrees C for 72 h under k(L)a values from 18 to 135 h(-1). The results show that k(L)a (121 h(-1)) obtained at 500 rpm and 1.5 vvm plays an important role in protease production (124.9 U/mL) and productivity (6.784 U/L.h) as well as biomass (10.4 g/L), mu(max) (0.14 h(-1)) and Y-x/s (0.484 g/g). In conclusion, R. mucilaginosa showed high yield production in aerobic culture with the efficiency of protease expression and secretion influenced by k(L)a. In this sense, our results could be used for further industrial investment.</t>
  </si>
  <si>
    <t>[Machado, Suellen; Alves, Harley] Univ Estadual Paraiba UEPB, Dept Farm, Programa Posgrad Ciencias Farmaceut, BR-58429500 Campina Grande, Brazil; [Machado, Suellen; Feitosa, Valker; Lario, Luciana; Pessoa Jr, Adalberto] Univ Sao Paulo, Dept Tecnol Bioquim Farmaceut, BR-05508000 Sao Paulo, Brazil; [Machado, Suellen] Univ Fed Para UFPA, Fac Biomed, Inst Ciencias Biol, BR-66077830 Belem, Brazil; [Feitosa, Valker] Univ Fed Vicosa UFV, Dept Med &amp; Enfermagem, BR-36570900 Vicosa, Brazil; [Pillaca-Pullo, Omar] Univ Privada Norbert Wiener, Ctr Invest Biodivers Salud, Lima 15046, Peru; [Lario, Luciana] Pontificia Univ Catolica Argentina UCA, Fac Quim &amp; Ingn Rosario, Inst Ingn Ambiental Quim &amp; Biotecnol Aplicada INGE, RA-2000 Rosario, Argentina; [Sette, Lara] Univ Estadual Paulista Julio Mesquita Filho UNESP, Dept Biol Geral &amp; Aplicada, BR-13506900 Rio Claro, Brazil</t>
  </si>
  <si>
    <t>Universidade Estadual da Paraiba; Universidade de Sao Paulo; Universidade Federal do Para; Universidad Norbert Wiener; Pontificia Universidad Catolica Argentina; Universidade Estadual Paulista</t>
  </si>
  <si>
    <t>Machado, S (corresponding author), Univ Estadual Paraiba UEPB, Dept Farm, Programa Posgrad Ciencias Farmaceut, BR-58429500 Campina Grande, Brazil.;Machado, S (corresponding author), Univ Sao Paulo, Dept Tecnol Bioquim Farmaceut, BR-05508000 Sao Paulo, Brazil.;Machado, S (corresponding author), Univ Fed Para UFPA, Fac Biomed, Inst Ciencias Biol, BR-66077830 Belem, Brazil.</t>
  </si>
  <si>
    <t>suellen_feitosa_@hotmail.com</t>
  </si>
  <si>
    <t>Sette, Lara Durães/C-8298-2013; Da Silva Alves, Harley/AAK-8008-2020; Pessoa-Junior, Adalberto/B-7963-2012</t>
  </si>
  <si>
    <t>Sette, Lara Durães/0000-0002-5980-3786; Da Silva Alves, Harley/0000-0002-7734-6857; Pessoa-Junior, Adalberto/0000-0002-5268-8690; Emilliany Feitosa Machado, Suellen/0000-0001-5608-1768</t>
  </si>
  <si>
    <t>Coordinating the Improvement of Brazilian Higher Education Personnel (CAPES, Brazil) [2012/23726-4, 2013/19486-0, 2016/07957-7, 2010/17033-0]; Sao Paulo Research Foundation (FAPESP); Universidad Privada Norbert Wiener, Lima, Peru</t>
  </si>
  <si>
    <t>Coordinating the Improvement of Brazilian Higher Education Personnel (CAPES, Brazil); Sao Paulo Research Foundation (FAPESP)(Fundacao de Amparo a Pesquisa do Estado de Sao Paulo (FAPESP)); Universidad Privada Norbert Wiener, Lima, Peru</t>
  </si>
  <si>
    <t>We gratefully acknowledge the financial support of the Coordinating the Improvement of Brazilian Higher Education Personnel (CAPES, Brazil) through the Academic Cooperation Program (PROCAD UEPB-USP) and grants #2010/17033-0, #2012/23726-4, #2013/19486-0, and #2016/07957-7, Sao Paulo Research Foundation (FAPESP). The APC was funded by Universidad Privada Norbert Wiener, Lima, Peru.</t>
  </si>
  <si>
    <t>2306-5354</t>
  </si>
  <si>
    <t>Bioengineering-Basel</t>
  </si>
  <si>
    <t>10.3390/bioengineering9110694</t>
  </si>
  <si>
    <t>Biotechnology &amp; Applied Microbiology; Engineering, Biomedical</t>
  </si>
  <si>
    <t>Biotechnology &amp; Applied Microbiology; Engineering</t>
  </si>
  <si>
    <t>6U9HR</t>
  </si>
  <si>
    <t>WOS:000894671900001</t>
  </si>
  <si>
    <t>Lee, GLY; Zakaria, NN; Futamata, H; Suzuki, K; Zulkharnain, A; Shaharuddin, NA; Convey, P; Zahri, KNM; Ahmad, SA</t>
  </si>
  <si>
    <t>Lee, Gillian Li Yin; Zakaria, Nur Nadhirah; Futamata, Hiroyuki; Suzuki, Kenshi; Zulkharnain, Azham; Shaharuddin, Noor Azmi; Convey, Peter; Zahri, Khadijah Nabilah Mohd; Ahmad, Siti Aqlima</t>
  </si>
  <si>
    <t>Metabolic Pathway of Phenol Degradation of a Cold-Adapted Antarctic Bacteria, Arthrobacter sp.</t>
  </si>
  <si>
    <t>CATALYSTS</t>
  </si>
  <si>
    <t>phenol; metabolites; whole genome sequencing; xenobiotics</t>
  </si>
  <si>
    <t>COMPLETE GENOME SEQUENCE; SHOCK PROTEIN-A; CATECHOL 1,2-DIOXYGENASE; ESCHERICHIA-COLI; RAPID ANNOTATION; BIODEGRADATION; EXPRESSION; GENES; BENZOATE; CATABOLISM</t>
  </si>
  <si>
    <t>Phenol is an important pollutant widely discharged as a component of hydrocarbon fuels, but its degradation in cold regions is challenging due to the harsh environmental conditions. To date, there is little information available concerning the capability for phenol biodegradation by indigenous Antarctic bacteria. In this study, enzyme activities and genes encoding phenol degradative enzymes identified using whole genome sequencing (WGS) were investigated to determine the pathway(s) of phenol degradation of Arthrobacter sp. strains AQ5-05 and AQ5-06, originally isolated from Antarctica. Complete phenol degradative genes involved only in the ortho-cleavage were detected in both strains. This was validated using assays of the enzymes catechol 1,2-dioxygenase and catechol 2,3-dioxygenase, which indicated the activity of only catechol 1,2-dioxygenase in both strains, in agreement with the results from the WGS. Both strains were psychrotolerant with the optimum temperature for phenol degradation, being between 10 and 15 degrees C. This study suggests the potential use of cold-adapted bacteria in the bioremediation of phenol pollution in cold environments.</t>
  </si>
  <si>
    <t>[Lee, Gillian Li Yin; Zakaria, Nur Nadhirah; Shaharuddin, Noor Azmi; Zahri, Khadijah Nabilah Mohd; Ahmad, Siti Aqlima] Univ Putra Malaysia, Fac Biotechnol &amp; Biomol Sci, Dept Biochem, Serdang 43400, Selangor, Malaysia; [Futamata, Hiroyuki] Shizuoka Univ, Grad Sch Sci &amp; Technol, Naka ku, Hamamatsu 4328561, Japan; [Futamata, Hiroyuki; Suzuki, Kenshi] Shizuoka Univ, Res Inst Green Sci &amp; Technol, Suruga ku, Shizuoka 4228529, Japan; [Zulkharnain, Azham] Shibaura Inst Technol, Coll Syst Engn &amp; Sci, Dept Biosci &amp; Engn, 307 Fukasaku,Minuma ku, Saitama 3378570, Japan; [Convey, Peter] British Antarctic Survey, NERC, High Cross,Madingley Rd, Cambridge CB3 0ET, England; [Convey, Peter] Univ Johannesburg, Dept Zool, POB 524, ZA-2006 Auckland Pk, South Africa</t>
  </si>
  <si>
    <t>Universiti Putra Malaysia; Shizuoka University; Shizuoka University; Shibaura Institute of Technology; UK Research &amp; Innovation (UKRI); Natural Environment Research Council (NERC); NERC British Antarctic Survey; University of Johannesburg</t>
  </si>
  <si>
    <t>Ahmad, SA (corresponding author), Univ Putra Malaysia, Fac Biotechnol &amp; Biomol Sci, Dept Biochem, Serdang 43400, Selangor, Malaysia.</t>
  </si>
  <si>
    <t>aqlima@upm.edu.my</t>
  </si>
  <si>
    <t>Convey, Peter/AAV-5728-2020; Zahri, Khadijah Nabilah Mohd/AEQ-4594-2022</t>
  </si>
  <si>
    <t>Convey, Peter/0000-0001-8497-9903; Zulkharnain, Azham/0000-0001-9173-8171; Zahri, Khadijah/0009-0000-2963-3109; Ahmad, Siti Aqlima/0000-0002-7625-3704</t>
  </si>
  <si>
    <t>Matching Grants PUTRA; YPASM Berth Support [UPM-YPASM 9300430]; PUTRA-IPS; PUTRA-Berimpak [9631800]; NERC [9660000]</t>
  </si>
  <si>
    <t>Matching Grants PUTRA; YPASM Berth Support; PUTRA-IPS; PUTRA-Berimpak; NERC(UK Research &amp; Innovation (UKRI)Natural Environment Research Council (NERC))</t>
  </si>
  <si>
    <t>This work was supported by the Matching Grants PUTRA (UPM-YPASM 9300430), YPASM Berth Support, PUTRA-IPS (9631800), and PUTRA-Berimpak (9660000). P. Convey is supported by NERC core funding for the British Antarctic Survey's Biodiversity, Evolution and Adaptation Team.</t>
  </si>
  <si>
    <t>2073-4344</t>
  </si>
  <si>
    <t>Catalysts</t>
  </si>
  <si>
    <t>10.3390/catal12111422</t>
  </si>
  <si>
    <t>Chemistry, Physical</t>
  </si>
  <si>
    <t>6V7RX</t>
  </si>
  <si>
    <t>WOS:000895241100001</t>
  </si>
  <si>
    <t>Chebykina, E; Polyakov, V; Abakumov, E; Petrov, A</t>
  </si>
  <si>
    <t>Chebykina, Ekaterina; Polyakov, Vyacheslav; Abakumov, Evgeny; Petrov, Alexey</t>
  </si>
  <si>
    <t>Wildfire Effects on Cryosols in Central Yakutia Region, Russia</t>
  </si>
  <si>
    <t>wildfire; succession; pale-yellow soils; burned soils; soil pollution index; trace elements; electrical resistivity sounding</t>
  </si>
  <si>
    <t>PYROGENIC CHANGES; PRESCRIBED FIRE; ORGANIC-CARBON; MIDDLE-TAIGA; FOREST-FIRE; SOIL; TRANSFORMATION; INFILTRATION; RESISTIVITY; PARAMETERS</t>
  </si>
  <si>
    <t>Forest fires are one of the most significant types of disturbance on a global scale, affecting biodiversity and biogeochemical cycles and playing an important role in atmospheric chemistry and the global carbon cycle. According to a remote monitoring information system, forest fires in Yakutia were the largest wildfires in the world in 2021. In this regard, mature pale-yellow soils unaffected by fire were investigated in comparison with the same soils that were strongly affected by surface fire in 2021 in the area surrounding Yakutsk, Yakutia region. Data obtained showed an intensive morphological transformation of the topsoil layers, increase of total organic matter and slight increase of pH, and apparent decrease of basal respiration and content of microbial biomass. A slight accumulation of Zn and Ni in soils due to wildfires was recorded, as well as alteration in the distributions of heavy metals in the soil profile. Moreover, an electric resistivity study was carried out during field studies. An influence of forest fire on the electrical resistivity value was not reliably found, but the vertical electrical resistivity sounding provided precise data regarding the degree of soil-permafrost layer homogeneity and/or heterogeneity.</t>
  </si>
  <si>
    <t>[Chebykina, Ekaterina; Polyakov, Vyacheslav; Abakumov, Evgeny] St Petersburg State Univ, Fac Biol, Dept Appl Ecol, St Petersburg 199178, Russia; [Polyakov, Vyacheslav] Arctic &amp; Antarctic Res Inst, Beringa 38, St Petersburg 199397, Russia; [Petrov, Alexey] North Eastern Fed Univ Yakutsk, Lab Permafrost Soils, 58 Belinsky St, Yakutsk 677027, Russia</t>
  </si>
  <si>
    <t>Saint Petersburg State University; Arctic &amp; Antarctic Research Institute; North-Eastern Federal University in Yakutsk</t>
  </si>
  <si>
    <t>Chebykina, E (corresponding author), St Petersburg State Univ, Fac Biol, Dept Appl Ecol, St Petersburg 199178, Russia.</t>
  </si>
  <si>
    <t>e.chebykina@spbu.ru</t>
  </si>
  <si>
    <t>Abakumov, Evgeny/AAO-8580-2020; Abakumov, e_abakumov@mail.ru/ADJ-1297-2022; Petrov, Alexey/O-4500-2017; Chebykina (Maksimova), Ekaterina/O-8872-2014; Polyakov, Vyacheslav/H-5483-2016</t>
  </si>
  <si>
    <t>Abakumov, Evgeny/0000-0002-5248-9018; Abakumov, e_abakumov@mail.ru/0000-0002-5248-9018; Petrov, Alexey/0000-0002-1432-3455; Chebykina (Maksimova), Ekaterina/0000-0002-2449-2180; Polyakov, Vyacheslav/0000-0001-6171-3221</t>
  </si>
  <si>
    <t>10.3390/atmos13111889</t>
  </si>
  <si>
    <t>6U8IS</t>
  </si>
  <si>
    <t>WOS:000894606300001</t>
  </si>
  <si>
    <t>Kodolányi, J; Hoppe, P; Vollmer, C; Berndt, J; Müller, M</t>
  </si>
  <si>
    <t>Kodolanyi, Janos; Hoppe, Peter; Vollmer, Christian; Berndt, Jasper; Mueller, Maren</t>
  </si>
  <si>
    <t>The Early Solar System Abundance of Iron-60: New Constraints from Chondritic Silicates</t>
  </si>
  <si>
    <t>AL-26-MG-26 SYSTEMATICS; FE-60-NI-60 SYSTEMATICS; CHONDRULE FORMATION; FE-60; DIFFERENTIATION; PLANETESIMALS; DURATION; NANOSIMS; DISTINCT; RECORDS</t>
  </si>
  <si>
    <t>The abundance of iron-60 in the early solar system is important for planetary evolution models, and has been hotly debated. To put further constraints on the initial Fe-60/Fe-56 ratio of the solar system, here we present new iron-nickel isotope data, measured in situ by NanoSIMS, for 14 silicate chondrules from three carbonaceous and three unequilibrated ordinary chondrites. NanoSIMS measurements were performed at high spatial resolution (200-300 nm primary beam diameter), to avoid inclusion of unwanted phases in the analysis volume. The average initial Fe-60/Fe-56 ratios that can be estimated from our pooled chondrule data are 2.1 (+/- 1.3) x 10(-7) and 0.8 (+/- 1.0) x 10(-7) for carbonaceous and ordinary chondrites, respectively (1 sigma uncertainties). The estimated average initial Fe-60/Fe-56 ratio of all analyzed chondrules is 1.0 (+/- 0.7) x 10(-7). These results are inconsistent with initial Fe-60/Fe-56 ratios &gt;2.4 x 10(-7) (2 sigma upper limit of our entire data set) reported in the literature for some chondrule silicates based on in situ isotope data, and agree better with our previously published in situ data on chondritic troilites (0.10 +/- 0.15 x 10(-7)), as well as with Fe-60/Fe-56 ratios estimated from isotope data of bulk meteorites and chondrules (0.10-0.75 x 10(-7)). Our isotope data hint at a possible difference between the initial Fe-60/Fe-56 ratios of the early solar system's two major isotope reservoirs, with the carbonaceous chondritic reservoir having higher iron-60 abundance than the non-carbonaceous reservoir. Nevertheless, in light of similar hints in the literature, this possibility deserves further investigation.</t>
  </si>
  <si>
    <t>[Kodolanyi, Janos; Hoppe, Peter] Max Planck Inst Chem, Hahn Meitner Weg 1, D-55128 Mainz, Germany; [Vollmer, Christian; Berndt, Jasper] Westfalische Wilhelms Univ Munster, Inst Mineral, Corrensstr 24, D-48149 Munster, Germany; [Mueller, Maren] Max Planck Inst Polymer Res, Ackermannweg 10, D-55128 Mainz, Germany</t>
  </si>
  <si>
    <t>Max Planck Society; University of Munster; Max Planck Society</t>
  </si>
  <si>
    <t>Kodolányi, J (corresponding author), Max Planck Inst Chem, Hahn Meitner Weg 1, D-55128 Mainz, Germany.</t>
  </si>
  <si>
    <t>janos.kodolanyi@gmail.com</t>
  </si>
  <si>
    <t>Hoppe, Peter/B-3032-2015</t>
  </si>
  <si>
    <t>Hoppe, Peter/0000-0003-3681-050X; Kodolanyi, Janos/0000-0001-5710-0537; Vollmer, Christian/0000-0002-7768-7651</t>
  </si>
  <si>
    <t>German Research Foundation (DFG) Special Priority Program 1833 [HO2163/3-1, VO1816/4-1]; NSF; NASA; ThermoFisher TEM Themis by the DFG via the Major Research Instrumentation Program [INST 211/719-1]</t>
  </si>
  <si>
    <t>German Research Foundation (DFG) Special Priority Program 1833(German Research Foundation (DFG)); NSF(National Science Foundation (NSF)); NASA(National Aeronautics &amp; Space Administration (NASA)); ThermoFisher TEM Themis by the DFG via the Major Research Instrumentation Program</t>
  </si>
  <si>
    <t>We thank Elmar Groener and Philipp Schuhmann for technical support on NanoSIMS and Thomas Stephan for his help with linear regression calculations. Our project was financially supported by the German Research Foundation (DFG) Special Priority Program 1833 (grant Nos.: HO2163/3-1, VO1816/4-1). Thin sections of QUE 97008, MET 00526, MET 00426, ALHA77307, and DOM 08006 were provided by the Antarctic Search for Meteorites (ANSMET) program. US Antarctic meteorite samples are recovered by the ANSMET program which has been funded by NSF and NASA, and characterized and curated by the Department of Mineral Sciences of the Smithsonian Institution and Astromaterials Curation Office at NASA Johnson Space Center. We thank Knut Metzler (WWU) for lending a thin section of NWA 8276. We also acknowledge funding of the ThermoFisher TEM Themis by the DFG via the Major Research Instrumentation Program under INST 211/719-1. Helpful comments of an anonymous reviewer are very much appreciated.</t>
  </si>
  <si>
    <t>NOV 1</t>
  </si>
  <si>
    <t>10.3847/1538-4357/ac8b85</t>
  </si>
  <si>
    <t>6N9CQ</t>
  </si>
  <si>
    <t>WOS:000889846900001</t>
  </si>
  <si>
    <t>Shi, J; Yan, JP; Wang, SS; Zhao, SH; Zhang, MM; Xu, SQ; Lin, Q; Yang, H</t>
  </si>
  <si>
    <t>Shi, Jun; Yan, Jinpei; Wang, Shanshan; Zhao, Shuhui; Zhang, Miming; Xu, Suqing; Lin, Qi; Yang, Hang</t>
  </si>
  <si>
    <t>Determinant of Sea Salt Aerosol Emission in the Southern Hemisphere in Summer Time</t>
  </si>
  <si>
    <t>sea salt aerosols; methane sulfonic acid (MSA); nss-SO42-; Southern Hemisphere</t>
  </si>
  <si>
    <t>OPTICAL-PROPERTIES; DIMETHYL SULFIDE; BOUNDARY-LAYER; WIND-SPEED; OCEAN; SULFATE; METHANESULFONATE; DEPENDENCE; DEPOSITION; STABILITY</t>
  </si>
  <si>
    <t>High-time resolution (1h) aerosol composition measurements were performed in the Southern Hemisphere during February 2018-April 2018. Na+ was the most abundant water-soluble ion (WSI) species, accounting for 67% of the total WSIs. The highest Na+ levels were observed in low-middle latitudes (20-40 degrees S) with an average concentration of 2.69 +/- 2.16 mu g m(-3). This was 2-3 times greater than in other regions. Low temperature (T) and strong short-term variations of wind speed (WS) were associated with relatively low Na+ concentrations in high-middle latitudes (40-60 degrees S), where there was a strong mean WS (9.1 m s(-1)). When WS &lt; 7 m s(-1), Na+ concentrations were low in all T ranges. Temperature and Na+ concentrations were moderately positively correlated when 10 &lt;= WS &lt; 13 m s(-1) and WS &gt;= 13 m s(-1) (R-2 = 0.48 and 0.34, respectively). Na+ concentrations were very low when relative humidity (RH) &lt; 60% and significantly increased when RH was between 70% and 90%. However, Na+ concentrations under high RH (90%-100%) were not higher than those with RH between 70% and 90%, implying that a number of fine particles will increase their mass and convert to coarse particles and lead to a greater gravity sedimentation in high RH. Close to the Antarctic, Na+ concentrations decreased significantly under high WS levels, suggesting that sea ice cover reduces the production of sea salt aerosols (SSAs). What's more, air mass trajectory and the source of air mass also had an effect on the concentrations of SSAs. The results presented here extend the knowledge of the impact of sea salt on atmospheric aerosols above the Southern Hemisphere Ocean.</t>
  </si>
  <si>
    <t>[Shi, Jun; Yan, Jinpei; Wang, Shanshan; Zhao, Shuhui; Zhang, Miming; Xu, Suqing; Lin, Qi; Yang, Hang] Minist Nat Resources, Ke Lab Global Change &amp; Marine Atmospher Chem, Xiamen, Peoples R China; [Shi, Jun; Yan, Jinpei; Wang, Shanshan; Zhao, Shuhui; Zhang, Miming; Xu, Suqing; Lin, Qi; Yang, Hang] Minist Nat Resources, Inst Oceanog 3, Xiamen, Peoples R China</t>
  </si>
  <si>
    <t>Ministry of Natural Resources of the People's Republic of China; Ministry of Natural Resources of the People's Republic of China; Third Institute of Oceanography, Ministry of Natural Resources</t>
  </si>
  <si>
    <t>Yan, JP (corresponding author), Minist Nat Resources, Ke Lab Global Change &amp; Marine Atmospher Chem, Xiamen, Peoples R China.;Yan, JP (corresponding author), Minist Nat Resources, Inst Oceanog 3, Xiamen, Peoples R China.</t>
  </si>
  <si>
    <t>jpyan@tio.org.cn</t>
  </si>
  <si>
    <t>Wang, Shan-Shan/S-8186-2019</t>
  </si>
  <si>
    <t>Zhang, Miming/0000-0001-5848-3672; Yan, Jin Pei/0000-0002-1273-9422; Xu, Suqing/0000-0002-8198-0631</t>
  </si>
  <si>
    <t>e2022EA002529</t>
  </si>
  <si>
    <t>10.1029/2022EA002529</t>
  </si>
  <si>
    <t>6N3RZ</t>
  </si>
  <si>
    <t>WOS:000889478000001</t>
  </si>
  <si>
    <t>Hawco, NJ; Tagliabue, A; Twining, BS</t>
  </si>
  <si>
    <t>Hawco, Nicholas J.; Tagliabue, Alessandro; Twining, Benjamin S.</t>
  </si>
  <si>
    <t>Manganese Limitation of Phytoplankton Physiology and Productivity in the Southern Ocean</t>
  </si>
  <si>
    <t>diatoms; photosynthesis; carbon export; subantarctic; trace metals; nutrient limitation</t>
  </si>
  <si>
    <t>CELLULAR MANGANESE; ATLANTIC SECTOR; GROWTH-RATE; NUTRIENT-LIMITATION; IRON FERTILIZATION; USE EFFICIENCIES; COASTAL; MODEL; LIGHT; ZINC</t>
  </si>
  <si>
    <t>Although iron and light are understood to regulate the Southern Ocean biological carbon pump, observations have also indicated a possible role for manganese. Low concentrations in Southern Ocean surface waters suggest manganese limitation is possible, but its spatial extent remains poorly constrained and direct manganese limitation of the marine carbon cycle has been neglected by ocean models. Here, using available observations, we develop a new global biogeochemical model and find that phytoplankton in over half of the Southern Ocean cannot attain maximal growth rates because of manganese deficiency. Manganese limitation is most extensive in austral spring and depends on phytoplankton traits related to the size of photosynthetic antennae and the inhibition of manganese uptake by high zinc concentrations in Antarctic waters. Importantly, manganese limitation expands under the increased iron supply of past glacial periods, reducing the response of the biological carbon pump. Overall, these model experiments describe a mosaic of controls on Southern Ocean productivity that emerge from the interplay of light, iron, manganese and zinc, shaping the evolution of Antarctic phytoplankton since the opening of the Drake Passage.</t>
  </si>
  <si>
    <t>[Hawco, Nicholas J.] Univ Hawaii Manoa, Dept Oceanog, Honolulu, HI 96822 USA; [Tagliabue, Alessandro] Univ Liverpool, Sch Environm Sci, Liverpool, Merseyside, England; [Twining, Benjamin S.] Bigelow Lab Ocean Sci, East Boothbay, ME USA</t>
  </si>
  <si>
    <t>University of Hawaii System; University of Hawaii Manoa; University of Liverpool; Bigelow Laboratory for Ocean Sciences</t>
  </si>
  <si>
    <t>Hawco, NJ (corresponding author), Univ Hawaii Manoa, Dept Oceanog, Honolulu, HI 96822 USA.;Tagliabue, A (corresponding author), Univ Liverpool, Sch Environm Sci, Liverpool, Merseyside, England.</t>
  </si>
  <si>
    <t>hawco@hawaii.edu; a.tagliabue@liverpool.ac.uk</t>
  </si>
  <si>
    <t>Hawco, Nicholas/GSE-4005-2022</t>
  </si>
  <si>
    <t>Twining, Benjamin/0000-0002-1365-9192; Tagliabue, Alessandro/0000-0002-3572-3634; Hawco, Nicholas/0000-0002-5897-0830</t>
  </si>
  <si>
    <t>e2022GB007382</t>
  </si>
  <si>
    <t>10.1029/2022GB007382</t>
  </si>
  <si>
    <t>6L9QC</t>
  </si>
  <si>
    <t>WOS:000888512800001</t>
  </si>
  <si>
    <t>Paznukhov, VV; Sopin, AA; Galushko, VG; Kashcheyev, AS; Koloskov, AV; Yampolski, YM; Zalizovski, AV</t>
  </si>
  <si>
    <t>Paznukhov, V. V.; Sopin, A. A.; Galushko, V. G.; Kashcheyev, A. S.; Koloskov, A., V; Yampolski, Y. M.; Zalizovski, A., V</t>
  </si>
  <si>
    <t>Occurrence and Characteristics of Traveling Ionospheric Disturbances in the Antarctic Peninsula Region</t>
  </si>
  <si>
    <t>ionosphere; TIDs; Antarctica</t>
  </si>
  <si>
    <t>GRAVITY-WAVE PROPAGATION; ATMOSPHERE; GENERATION; TIDS; IRREGULARITIES; DIAGNOSTICS; AMPLITUDE; EVENTS; MODEL; WINDS</t>
  </si>
  <si>
    <t>A statistical picture of the occurrence and characteristics of Traveling Ionospheric Disturbances (TIDs) over the Antarctic Peninsula is established using Global Navigation Satellite System Total Electron Content and High Frequency sounding observations. The measured parameters of the majority of the disturbances allow classifying them as medium scale TIDs (MSTIDs). Overall, the observed climatology of ionospheric disturbances in the Antarctic Peninsula region varies significantly with the season and makes it possible to differentiate two major types of the disturbances: winter daytime and summer nighttime, based on their occurrence periods and characteristics. During the Antarctic summer period, the disturbances are present mainly during the nighttime and morning hours, when the background plasma density is at maximum (due to Weddell Sea Anomaly). These disturbances predominantly propagate northwestward and their occurrence probability is well correlated with the sporadic E layer observations, suggesting that these are electrified MSTIDs. During the winter, the TID events are almost exclusively observed during the daytime. The propagation direction of the disturbances during the daytime shows a strong correlation with the background neutral wind direction in the thermosphere. A possible mechanism for this effect is wind filtering of the Atmospheric Gravity Waves originating in the troposphere, which indicates that their source is in the lower atmosphere. The periods of the TIDs also significantly differ between the seasons. Wintertime TIDs have noticeably shorter periods (10-50 min) than those observed during other parts of the year (30-140 min), which also likely reflects the fact that the two types of TIDs are generated by different physical mechanisms.</t>
  </si>
  <si>
    <t>[Paznukhov, V. V.] Boston Coll, Inst Sci Res, Chestnut Hill, MA 02167 USA; [Sopin, A. A.; Galushko, V. G.; Koloskov, A., V; Yampolski, Y. M.; Zalizovski, A., V] Natl Acad Sci, Inst Radio Astron, Kharkiv, Ukraine; [Sopin, A. A.; Koloskov, A., V; Zalizovski, A., V] Minist Educ &amp; Sci Ukraine, State Inst Natl Antartic Sci Ctr, Kiev, Ukraine; [Galushko, V. G.; Zalizovski, A., V] Polish Acad Sci, Space Res Ctr, Warsaw, Poland; [Kashcheyev, A. S.; Koloskov, A., V] Univ New Brunswick, Phys Dept, Fredericton, NB, Canada</t>
  </si>
  <si>
    <t>Boston College; National Academy of Sciences Ukraine; Institute of Radio Astronomy of the National Academy of Sciences of Ukraine; Ministry of Education &amp; Science of Ukraine; Centrum Badan Kosmicznych, Polish Academy of Sciences; Polish Academy of Sciences; Space Research Centre of the Polish Academy of Sciences; University of New Brunswick</t>
  </si>
  <si>
    <t>Paznukhov, VV (corresponding author), Boston Coll, Inst Sci Res, Chestnut Hill, MA 02167 USA.</t>
  </si>
  <si>
    <t>vadym.paznukhov@bc.edu</t>
  </si>
  <si>
    <t>Koloskov, Oleksandr/ABB-4631-2020; Zalizovski, Andriy/HII-4602-2022; yampolskiy, yuriy m/ABA-8387-2020; Galushko, Volodymyr G/F-6354-2019</t>
  </si>
  <si>
    <t>Koloskov, Oleksandr/0000-0001-8921-3851; Zalizovski, Andriy/0000-0002-6271-0126; Paznukhov, Vadym/0000-0001-6967-5629; Yampolski, Yuri/0000-0002-6142-5753</t>
  </si>
  <si>
    <t>e2022JA030895</t>
  </si>
  <si>
    <t>10.1029/2022JA030895</t>
  </si>
  <si>
    <t>6N3RD</t>
  </si>
  <si>
    <t>WOS:000889475700001</t>
  </si>
  <si>
    <t>van de Wal, RSW; Nicholls, RJ; Behar, D; McInnes, K; Stammer, D; Lowe, JA; Church, JA; DeConto, R; Fettweis, X; Goelzer, H; Haasnoot, M; Haigh, ID; Hinkel, J; Horton, BP; James, TS; Jenkins, A; LeCozannet, G; Levermann, A; Lipscomb, WH; Marzeion, B; Pattyn, F; Payne, AJ; Pfeffer, WT; Price, SF; Seroussi, H; Sun, S; Veatch, W; White, K</t>
  </si>
  <si>
    <t>van de Wal, R. S. W.; Nicholls, R. J.; Behar, D.; McInnes, K.; Stammer, D.; Lowe, J. A.; Church, J. A.; DeConto, R.; Fettweis, X.; Goelzer, H.; Haasnoot, M.; Haigh, I. D.; Hinkel, J.; Horton, B. P.; James, T. S.; Jenkins, A.; LeCozannet, G.; Levermann, A.; Lipscomb, W. H.; Marzeion, B.; Pattyn, F.; Payne, A. J.; Pfeffer, W. T.; Price, S. F.; Seroussi, H.; Sun, S.; Veatch, W.; White, K.</t>
  </si>
  <si>
    <t>A High-End Estimate of Sea Level Rise for Practitioners</t>
  </si>
  <si>
    <t>high-end sea level rise</t>
  </si>
  <si>
    <t>GREENLAND ICE-SHEET; SURFACE MASS-BALANCE; MODEL INTERCOMPARISON PROJECT; BASAL MELT RATES; DECISION-ANALYSIS; CLIMATE-CHANGE; STABILITY; GLACIERS; SHELVES; DRIVEN</t>
  </si>
  <si>
    <t>Sea level rise (SLR) is a long-lasting consequence of climate change because global anthropogenic warming takes centuries to millennia to equilibrate for the deep ocean and ice sheets. SLR projections based on climate models support policy analysis, risk assessment and adaptation planning today, despite their large uncertainties. The central range of the SLR distribution is estimated by process-based models. However, risk-averse practitioners often require information about plausible future conditions that lie in the tails of the SLR distribution, which are poorly defined by existing models. Here, a community effort combining scientists and practitioners builds on a framework of discussing physical evidence to quantify high-end global SLR for practitioners. The approach is complementary to the IPCC AR6 report and provides further physically plausible high-end scenarios. High-end estimates for the different SLR components are developed for two climate scenarios at two timescales. For global warming of +2 degrees C in 2100 (RCP2.6/SSP1-2.6) relative to pre-industrial values our high-end global SLR estimates are up to 0.9 m in 2100 and 2.5 m in 2300. Similarly, for a (RCP8.5/SSP5-8.5), we estimate up to 1.6 m in 2100 and up to 10.4 m in 2300. The large and growing differences between the scenarios beyond 2100 emphasize the long-term benefits of mitigation. However, even a modest 2 degrees C warming may cause multi-meter SLR on centennial time scales with profound consequences for coastal areas. Earlier high-end assessments focused on instability mechanisms in Antarctica, while here we emphasize the importance of the timing of ice shelf collapse around Antarctica. This is highly uncertain due to low understanding of the driving processes. Hence both process understanding and emission scenario control high-end SLR.</t>
  </si>
  <si>
    <t>[van de Wal, R. S. W.] Univ Utrecht, Inst Marine &amp; Atmospher Res Utrecht, Utrecht, Netherlands; [van de Wal, R. S. W.] Univ Utrecht, Dept Phys Geog, Utrecht, Netherlands; [Nicholls, R. J.] Univ East Anglia, Tyndall Ctr Climate Change Res, Norwich, Norfolk, England; [Behar, D.] San Francisco Publ Util Commiss, San Francisco, CA USA; [McInnes, K.; Church, J. A.] UNSW Australia, Climate Change Res Ctr, Sydney, NSW, Australia; [Stammer, D.] Univ Hamburg, Ctr Erdsyst Forsch &amp; Nachhaltigkeit, Hamburg, Germany; [Lowe, J. A.] Met Off Hadley Ctr, Exeter, Devon, England; [Lowe, J. A.] Univ Leeds, Priestley Ctr, Leeds, W Yorkshire, England; [Church, J. A.] Univ Tasmania, Australian Ctr Excellence Antarctic Sci ACEAS, Hobart, Tas, Australia; [DeConto, R.] Univ Massachusetts, Dept Geosci, Amherst, MA 01003 USA; [Fettweis, X.] Univ Liege, Dept Geog, SPHERES Res Unit, Liege, Belgium; [Goelzer, H.] NORCE Norwegian Res Ctr, Bjerknes Ctr Climate Res, Bergen, Norway; [Haasnoot, M.] Deltares, Delft, Netherlands; [Haigh, I. D.] Univ Southampton, Natl Oceanog Ctr, Sch Ocean &amp; Earth Sci, Southampton, Hants, England; [Hinkel, J.] Global Climate Forum, Adaptat &amp; Social Learning, Berlin, Germany; [Horton, B. P.] Nanyang Technol Univ, Earth Observ Singapore, Singapore, Singapore; [Horton, B. P.] Nanyang Technol Univ, Asian Sch Environm, Singapore, Singapore; [James, T. S.] Geol Survey Canada, Nat Resources Canada, Sidney, BC, Canada; [Jenkins, A.] Northumbria Univ, Dept Geog &amp; Environm Sci, Newcastle Upon Tyne, Tyne &amp; Wear, England; [LeCozannet, G.; Sun, S.] Bur Rech Geol &amp; Minieres, Coastal Risks &amp; Climate Change Unit, Risks &amp; Prevent Div, Orleans, France; [Levermann, A.] Potsdam Inst Climate Impact Res, Potsdam, Germany; [Levermann, A.] Columbia Univ, LDEO, New York, NY USA; [Levermann, A.] Univ Potsdam, Phys Inst, Potsdam, Germany; [Lipscomb, W. H.] Natl Ctr Atmospher Res, Climate &amp; Global Dynam Lab, POB 3000, Boulder, CO 80307 USA; [Marzeion, B.] Univ Bremen, Inst Geog, Bremen, Germany; [Marzeion, B.] Univ Bremen, MARUM Ctr Marine Environm Sci, Bremen, Germany; [Pattyn, F.] Univ Libre Bruxelles, Lab Glaciol, Brussels, Belgium; [Payne, A. J.] Univ Bristol, Sch Geog Sci, Bristol, Avon, England; [Pfeffer, W. T.] Univ Colorado, INSTAAR, Boulder, CO 80309 USA; [Pfeffer, W. T.] Univ Colorado, Dept Civil Environm Architectural Engn, Boulder, CO 80309 USA; [Price, S. F.] Los Alamos Natl Lab, Theoret Div, Los Alamos, NM USA; [Seroussi, H.] Dartmouth Coll, Thayer Sch Engn, Hanover, NH 03755 USA; [Veatch, W.] US Army Corps Engineers, Washington, DC USA; [White, K.] US Dept Def, Off Deputy Assistant Secretary Def Environm &amp; Ene, Washington, DC 20305 USA</t>
  </si>
  <si>
    <t>Utrecht University; Utrecht University; University of East Anglia; University of New South Wales Sydney; University of Hamburg; Met Office - UK; Hadley Centre; University of Leeds; University of Tasmania; University of Massachusetts System; University of Massachusetts Amherst; University of Liege; Norwegian Research Centre (NORCE); Bjerknes Centre for Climate Research; Deltares; University of Southampton; NERC National Oceanography Centre; Nanyang Technological University; Nanyang Technological University; Natural Resources Canada; Lands &amp; Minerals Sector - Natural Resources Canada; Geological Survey of Canada; Northumbria University; Bureau de Recherches Geologiques et Minieres (BRGM); Potsdam Institut fur Klimafolgenforschung; Columbia University; University of Potsdam; National Center Atmospheric Research (NCAR) - USA; University of Bremen; University of Bremen; Universite Libre de Bruxelles; University of Bristol; University of Colorado System; University of Colorado Boulder; University of Colorado System; University of Colorado Boulder; United States Department of Energy (DOE); Los Alamos National Laboratory; Dartmouth College; United States Department of Defense; United States Army; U.S. Army Corps of Engineers; United States Department of Defense</t>
  </si>
  <si>
    <t>van de Wal, RSW (corresponding author), Univ Utrecht, Inst Marine &amp; Atmospher Res Utrecht, Utrecht, Netherlands.;van de Wal, RSW (corresponding author), Univ Utrecht, Dept Phys Geog, Utrecht, Netherlands.</t>
  </si>
  <si>
    <t>r.s.w.vandewal@uu.nl</t>
  </si>
  <si>
    <t>van de wal, roderik/D-1705-2011; Goelzer, Heiko/M-2367-2016; Church, John A/A-1541-2012; McInnes, Kathleen Lynne/A-7787-2012; Haasnoot, Marjolijn/H-4827-2012; James, Thomas/D-9301-2013; Levermann, Anders/G-4666-2011; Jenkins, Adrian/IUN-2406-2023; Haigh, Ivan D/A-6575-2010; Nicholls, Robert James/G-3898-2010; Price, Stephen/E-1568-2013; payne, antony/A-8916-2008</t>
  </si>
  <si>
    <t>van de wal, roderik/0000-0003-2543-3892; Goelzer, Heiko/0000-0002-5878-9599; Church, John A/0000-0002-7037-8194; James, Thomas/0000-0001-7321-047X; Levermann, Anders/0000-0003-4432-4704; Nicholls, Robert James/0000-0002-9715-1109; Jenkins, Adrian/0000-0002-9117-0616; Price, Stephen/0000-0001-6878-2553; payne, antony/0000-0001-8825-8425; Fettweis, Xavier/0000-0002-4140-3813</t>
  </si>
  <si>
    <t>e2022EF002751</t>
  </si>
  <si>
    <t>10.1029/2022EF002751</t>
  </si>
  <si>
    <t>6L5CL</t>
  </si>
  <si>
    <t>WOS:000888200600001</t>
  </si>
  <si>
    <t>Della Penna, A; Llort, J; Moreau, S; Patel, R; Kloser, R; Gaube, P; Strutton, P; Boyd, PW</t>
  </si>
  <si>
    <t>Della Penna, Alice; Llort, Joan; Moreau, Sebastien; Patel, Ramkrushnbhai; Kloser, Rudy; Gaube, Peter; Strutton, Peter; Boyd, Philip W.</t>
  </si>
  <si>
    <t>The Impact of a Southern Ocean Cyclonic Eddy on Mesopelagic Micronekton</t>
  </si>
  <si>
    <t>mesoscale; eddies; mesopelagic; Southern Ocean; micronekton; acoustics</t>
  </si>
  <si>
    <t>DEEP-SCATTERING LAYER; MESOSCALE EDDIES; MARINE PREDATORS; ELEPHANT SEALS; CARBON EXPORT; KING PENGUINS; FISHES; ZOOPLANKTON; TRANSPORT; PATTERNS</t>
  </si>
  <si>
    <t>Mesoscale eddies shape the foraging ecology of predators such as marine mammals and seabirds. A growing number of animal tracking studies show that predators alter their swimming, diving, and foraging behavior within mesoscale eddies. However, little is known about how Southern Ocean eddies influence the distribution of mesopelagic micronekton (fish, squid, and crustaceans), which are major prey items of megafauna. Studies in other oceanic regions have found that eddies can influence the abundance and community composition of micronekton. Here, we analyze acoustic observations from a 14-day survey of a cyclonic mesoscale eddy, its surrounding waters, and the Polar Frontal Zone (PFZ) waters where the eddy formed. We report and interpret spatial patterns of acoustic backscatter at 18 and 75 kHz, proxies indicating combined changes in species, size, and abundance of micronekton. We find that the vertical distribution of acoustic backscatter matched the underwater light conditions characteristic of the eddy core, periphery, and surrounding waters, at scales smaller than 10 km. The median water-column integrated acoustic backscatter values in the eddy core were only half of those measured in the Sub-Antarctic Zone waters surrounding the eddy, but similar to those measured in the PFZ, where the eddy originated 27 days prior. These results suggest that, as for physical and chemical tracers, the eddy maintained its biological characteristics from its source waters creating a unique habitat compared to its surroundings.</t>
  </si>
  <si>
    <t>[Della Penna, Alice] Univ Auckland, Inst Marine Sci, Auckland, New Zealand; [Della Penna, Alice] Univ Auckland, Sch Biol Sci, Auckland, New Zealand; [Llort, Joan] Barcelona Supercomp Ctr, Barcelona, Spain; [Moreau, Sebastien] Norwegian Polar Res Inst, Fram Ctr, Tromso, Norway; [Patel, Ramkrushnbhai; Strutton, Peter; Boyd, Philip W.] Univ Tasmania UTas, Inst Marine &amp; Antarctic Studies IMAS, Hobart, Tas, Australia; [Patel, Ramkrushnbhai; Strutton, Peter] Univ Tasmania, Australian Res Council Ctr Excellence Climate Ext, Hobart, Tas, Australia; [Kloser, Rudy] CSIRO Oceans &amp; Atmosphere, Hobart, Tas, Australia; [Gaube, Peter] Univ Washington, Appl Phys Lab, Seattle, WA 98105 USA</t>
  </si>
  <si>
    <t>University of Auckland; University of Auckland; Universitat Politecnica de Catalunya; Barcelona Supercomputer Center (BSC-CNS); Norwegian Polar Institute; University of Tasmania; University of Tasmania; Commonwealth Scientific &amp; Industrial Research Organisation (CSIRO); University of Washington; University of Washington Seattle</t>
  </si>
  <si>
    <t>Della Penna, A (corresponding author), Univ Auckland, Inst Marine Sci, Auckland, New Zealand.;Della Penna, A (corresponding author), Univ Auckland, Sch Biol Sci, Auckland, New Zealand.</t>
  </si>
  <si>
    <t>alice.dellapenna@gmail.com</t>
  </si>
  <si>
    <t>Kloser, Rudy J/A-1464-2012; Strutton, Peter/C-4466-2011; Boyd, Philip/J-7624-2014; Llort, Joan/O-2162-2017</t>
  </si>
  <si>
    <t>Moreau, Sebastien/0000-0001-9446-812X; Gaube, Peter/0000-0002-3282-5803; Strutton, Peter/0000-0002-2395-9471; Boyd, Philip/0000-0001-7850-1911; Llort, Joan/0000-0003-1490-4521</t>
  </si>
  <si>
    <t>e2022JC018893</t>
  </si>
  <si>
    <t>10.1029/2022JC018893</t>
  </si>
  <si>
    <t>6M0SJ</t>
  </si>
  <si>
    <t>WOS:000888587400001</t>
  </si>
  <si>
    <t>Mashifane, TB; Bourbonnais, A; Fawcett, SE</t>
  </si>
  <si>
    <t>Mashifane, T. B.; Bourbonnais, A.; Fawcett, S. E.</t>
  </si>
  <si>
    <t>Nitrous Oxide Dynamics in the Southern Benguela Upwelling System</t>
  </si>
  <si>
    <t>nitrous oxide; southern Benguela upwelling system; coastal upwelling; greenhouse gases; EBUS</t>
  </si>
  <si>
    <t>OXYGEN MINIMUM ZONE; AIR-SEA FLUXES; ST-HELENA BAY; GREENHOUSE GASES; N2O EMISSIONS; TO-AIR; SHELF; DENITRIFICATION; SEDIMENTS; ECOSYSTEM</t>
  </si>
  <si>
    <t>St Helena Bay in the southern Benguela upwelling system (SBUS) is characterized by seasonal upwelling, water mass and nutrient retention, and persistent cyclonic circulation that limits oxygen exchange, creating ideal conditions for subsurface N2O production and subsequent ventilation at the ocean-atmosphere interface. However, due to a paucity of observations, little is known about N2O dynamics in the SBUS. Here we use a coupled physical-biogeochemical model and new observations to investigate the magnitude and seasonality of the N2O source and ocean-atmosphere flux terms along a transect from St Helena Bay into offshore waters. Both the model and observations indicate that significant N2O production occurs at depth in nearshore waters, with Delta N2O concentrations (i.e., the difference between the simulated or observed concentration of N2O and the equilibrium value) exceeding 14 mu mol m(-3). Equatorward advection of this N2O occurs at a maximum rate of 4.50 mu mol N2O m(-2) s(-1) in the upper 200 m. By contrast, the SBUS poleward undercurrent hosts low N2O concentrations on the shelf slope. Modeled fluxes range from -0.02 to 0.2 nmol m(-2) s(-1), consistent with reports from other upwelling systems. The ocean-atmosphere N2O flux reaches 0.21 g N m(-2) yr(-1) in nearshore St Helena Bay, and follows a distinct seasonal cycle driven by Delta N2O disequilibrium in winter and prevailing south-easterly winds and associated upwelling in spring and summer. We calculate a mean N2O flux for the whole SBUS of 4 +/- 2 x 10(-3) Tg N yr(-1), representing 0.1% of the estimated global ocean annual flux.</t>
  </si>
  <si>
    <t>[Mashifane, T. B.; Fawcett, S. E.] Univ Cape Town, Dept Oceanog, Cape Town, South Africa; [Mashifane, T. B.; Fawcett, S. E.] Univ Cape Town, Marine &amp; Antarctic Res Ctr Innovat &amp; Sustainabil, Cape Town, South Africa; [Mashifane, T. B.] CSIR, Southern Ocean Carbon Climate Observ SOCCO, Cape Town, South Africa; [Bourbonnais, A.] Univ South Carolina, Sch Earth Ocean &amp; Environm, Columbia, SC 29208 USA</t>
  </si>
  <si>
    <t>University of Cape Town; University of Cape Town; Council for Scientific &amp; Industrial Research (CSIR) - South Africa; University of South Carolina System; University of South Carolina Columbia</t>
  </si>
  <si>
    <t>Mashifane, TB (corresponding author), Univ Cape Town, Dept Oceanog, Cape Town, South Africa.;Mashifane, TB (corresponding author), Univ Cape Town, Marine &amp; Antarctic Res Ctr Innovat &amp; Sustainabil, Cape Town, South Africa.;Mashifane, TB (corresponding author), CSIR, Southern Ocean Carbon Climate Observ SOCCO, Cape Town, South Africa.</t>
  </si>
  <si>
    <t>thulwaneng@gmail.com</t>
  </si>
  <si>
    <t>Mashifane, Thulwaneng/0000-0001-6805-1398; Bourbonnais, Annie/0000-0001-7247-5230; Fawcett, Sarah/0000-0002-0878-6496</t>
  </si>
  <si>
    <t>e2022JC019129</t>
  </si>
  <si>
    <t>10.1029/2022JC019129</t>
  </si>
  <si>
    <t>6M0SN</t>
  </si>
  <si>
    <t>WOS:000888588100001</t>
  </si>
  <si>
    <t>Megann, A; Chanut, J; Storkey, D</t>
  </si>
  <si>
    <t>Megann, Alex; Chanut, Jerome; Storkey, David</t>
  </si>
  <si>
    <t>Assessment of the z∼ Time-Filtered Arbitrary Lagrangian-Eulerian Coordinate in a Global Eddy-Permitting Ocean Model</t>
  </si>
  <si>
    <t>global ocean model; numerical mixing; vertical coordinates; reduction of biases</t>
  </si>
  <si>
    <t>CIRCULATION MODEL; NUMERICAL-MODEL; ATLANTIC-OCEAN; CLIMATE MODEL; ADVECTION; DIFFUSION; NORTH; REPRESENTATION; OSCILLATIONS; SIMULATION</t>
  </si>
  <si>
    <t>A recognized deficiency of ocean models with a constant-depth vertical coordinate is for truncation errors in the vertical advection scheme to result in spurious numerical mixing of tracers, which can be substantially stronger than that prescribed by the model's mixing scheme. The z(similar to) vertical coordinate allows vertical levels to displace in a Lagrangian fashion on time scales shorter than a few days, but reverts to fixed levels on longer timescales, and is intended to reduce numerical mixing from transient vertical motions such as internal waves and tides. An assessment of z(similar to) in a 1/4 degrees global implementation of the Nucleus for European Modeling of the Ocean model is presented. It is shown that, in the presence of near-inertial gravity waves in the North Atlantic, z(similar to) significantly reduces Eulerian vertical velocities with respect to those in a simulation with the default z* vertical coordinate; that the vertical coordinate approaches an isopycnal, or adiabatic, surface on short timescales; and that both tendencies are enhanced when the z(similar to) timescale parameters are lengthened with respect to the default settings. Analysis based on density transformation rates shows that numerical mixing is consistently reduced by of order 10% as the z(similar to) timescales are lengthened. The realism of the model simulation with different timescale parameters is assessed in the global domain, and it is shown that drifts in temperature and salinity, and the spindown in z* of the Antarctic Circumpolar Current, are reduced with z(similar to), without incurring significant drawbacks in other metrics such as the strength of the overturning circulation or sea ice cover.</t>
  </si>
  <si>
    <t>[Megann, Alex] Natl Oceanog Ctr, Southampton, Hants, England; [Chanut, Jerome] Mercator Ocean Int, Toulouse, France; [Storkey, David] Met Off, Exeter, Devon, England</t>
  </si>
  <si>
    <t>NERC National Oceanography Centre; Met Office - UK</t>
  </si>
  <si>
    <t>Megann, A (corresponding author), Natl Oceanog Ctr, Southampton, Hants, England.</t>
  </si>
  <si>
    <t>apm@noc.ac.uk</t>
  </si>
  <si>
    <t>e2022MS003056</t>
  </si>
  <si>
    <t>10.1029/2022MS003056</t>
  </si>
  <si>
    <t>6L4VJ</t>
  </si>
  <si>
    <t>WOS:000888181600001</t>
  </si>
  <si>
    <t>Oelerich, R; Heywood, KJ; Damerell, GM; Thompson, AF</t>
  </si>
  <si>
    <t>Oelerich, Ria; Heywood, Karen J.; Damerell, Gillian M.; Thompson, Andrew F.</t>
  </si>
  <si>
    <t>Wind-Induced Variability of Warm Water on the Southern Bellingshausen Sea Continental Shelf</t>
  </si>
  <si>
    <t>Bellingshausen Sea; heat transport; frontal jet; cold water formation; Amundsen Sea Low</t>
  </si>
  <si>
    <t>CIRCUMPOLAR DEEP-WATER; WEST ANTARCTIC PENINSULA; PINE ISLAND GLACIER; AMUNDSEN SEA; CIRCULATION; TRANSPORT; SENSITIVITY; INFLOW; TOPOGRAPHY; EMBAYMENT</t>
  </si>
  <si>
    <t>The Bellingshausen Sea hosts heat transport onto the continental shelf, potentially enhancing ice shelf basal melt. Here, we use the GLORYS12V1 1993-2018 reanalysis to identify physical processes that set seasonal and interannual variability of water mass properties in the Eltanin and Latady Bays on the southern Bellingshausen Sea continental shelf. Annual means of potential temperature from 300 m to the seabed reveal interannual variability and allow separation into warm and cold regimes. The Amundsen Sea Low (ASL) is more intense and extends further east during the warm regime than the cold regime. In the warm regime, a wind-induced reduction of sea ice concentration near the coast increases surface heat loss, convection, and formation of cold dense water in winter, associated with a decrease in heat content of the southern Bellingshausen Sea over time and a net northward heat transport. In contrast, in the cold regime, increased sea ice concentration reduces surface heat loss and thus formation of cold, dense water. Combined with an increase in heat content over time and a net southward heat transport, this results in a warming of the southern Bellingshausen Sea. This suggests that variability in the deep water temperature in the southern Bellingshausen Sea is primarily due to local surface heat fluxes above the shelf. The variability of surface heat fluxes is related to the variability of the ASL and its influence on sea ice extent and local formation of cold, dense water in winter.</t>
  </si>
  <si>
    <t>[Oelerich, Ria; Heywood, Karen J.; Damerell, Gillian M.] Univ East Anglia, Ctr Ocean &amp; Atmospher Sci, Sch Environm Sci, Norwich, Norfolk, England; [Thompson, Andrew F.] CALTECH, Environm Sci &amp; Engn, Pasadena, CA USA</t>
  </si>
  <si>
    <t>University of East Anglia; California Institute of Technology</t>
  </si>
  <si>
    <t>Oelerich, R (corresponding author), Univ East Anglia, Ctr Ocean &amp; Atmospher Sci, Sch Environm Sci, Norwich, Norfolk, England.</t>
  </si>
  <si>
    <t>riaoelerich@gmail.com</t>
  </si>
  <si>
    <t>; Heywood, Karen/L-1757-2016</t>
  </si>
  <si>
    <t>Damerell, Gillian/0000-0001-5808-0822; O., Ria/0000-0002-0014-0877; Heywood, Karen/0000-0001-9859-0026</t>
  </si>
  <si>
    <t>e2022JC018636</t>
  </si>
  <si>
    <t>10.1029/2022JC018636</t>
  </si>
  <si>
    <t>6L5MC</t>
  </si>
  <si>
    <t>WOS:000888227900001</t>
  </si>
  <si>
    <t>Thomson, NR; Clilverd, MA; Rodger, CJ</t>
  </si>
  <si>
    <t>Thomson, Neil R.; Clilverd, Mark A.; Rodger, Craig J.</t>
  </si>
  <si>
    <t>Ionospheric D Region: VLF-Measured Electron Densities Compared With Rocket-Based FIRI-2018 Model</t>
  </si>
  <si>
    <t>VLF-derived and FIRI-2018 rocket-derived; electron number densities; D-region height and sharpness; solar zenith angle; galactic cosmic rays; geocoronal Lyman-alpha</t>
  </si>
  <si>
    <t>Ground-based very low frequency (VLF) radio propagation in the Earth-ionosphere waveguide has enabled extensive electron number densities in the D region of the Earth's ionosphere to be determined, by day typically below heights of 70-80 km and by night in the height range similar to 75-90 km. Many rocket-based electron density measurements have also been reported in the literature from similar to 60 km upwards using current probes, and radio propagation at a few MHz between the rocket and ground. Recently these rocket measurements have been summarized, and supplemented with D region production-loss modeling, giving rise to a near global model named FIRI-2018 (Faraday-International Reference Ionosphere) which provides electron number densities as functions of height, latitude (&lt;60 degrees), solar zenith angle and F10.7 cm solar flux. These rocket-based electron density values are here compared with corresponding values from VLF measurements, by day at a low-latitude (similar to 20 degrees) and a high mid-latitude (similar to 55 degrees), and by night mainly at mid-latitudes. At night the average agreement (over 75-90 km) is remarkably good. By day, at low latitude the agreement is also fairly good (in the common height range similar to 60-75 km), with the changes with solar zenith angle being moderately comparable. For daytime high mid-latitudes, the agreement is less satisfactory, particularly at the lowest common altitudes, with the VLF measurements showing the expected effects of cosmic rays much more than the rocket-based values. Overall, we find that the D region description in the FIRI-2018 model is a significant advance on the earlier International Reference Ionosphere (IRI-2016) model.</t>
  </si>
  <si>
    <t>[Thomson, Neil R.; Rodger, Craig J.] Univ Otago, Phys Dept, Dunedin, New Zealand; [Clilverd, Mark A.] British Antarctic Survey, UKRI NERC, Cambridge, England</t>
  </si>
  <si>
    <t>University of Otago; UK Research &amp; Innovation (UKRI); Natural Environment Research Council (NERC); NERC British Antarctic Survey</t>
  </si>
  <si>
    <t>Thomson, NR (corresponding author), Univ Otago, Phys Dept, Dunedin, New Zealand.</t>
  </si>
  <si>
    <t>thomsoneil@gmail.com</t>
  </si>
  <si>
    <t>Rodger, Craig J./0000-0002-6770-2707</t>
  </si>
  <si>
    <t>e2022JA030977</t>
  </si>
  <si>
    <t>10.1029/2022JA030977</t>
  </si>
  <si>
    <t>6M0HT</t>
  </si>
  <si>
    <t>WOS:000888559500001</t>
  </si>
  <si>
    <t>Martins, MP; Morais, MAB; Persinoti, GF; Galinari, RH; Yu, L; Yoshimi, Y; Nunes, FBP; Lima, TB; Barbieri, SF; Silveira, JLM; Lombard, V; Terrapon, N; Dupree, P; Henrissat, B; Murakami, MT</t>
  </si>
  <si>
    <t>Martins, Marcele P.; Morais, Mariana A. B.; Persinoti, Gabriela F.; Galinari, Rafael H.; Yu, Li; Yoshimi, Yoshihisa; Nunes, Fernanda B. Passos; Lima, Tatiani B.; Barbieri, Shayla F.; Silveira, Joana L. M.; Lombard, Vincent; Terrapon, Nicolas; Dupree, Paul; Henrissat, Bernard; Murakami, Mario T.</t>
  </si>
  <si>
    <t>Glycoside hydrolase subfamily GH5_57 features a highly redesigned catalytic interface to process complex hetero-β-mannans</t>
  </si>
  <si>
    <t>ACTA CRYSTALLOGRAPHICA SECTION D-STRUCTURAL BIOLOGY</t>
  </si>
  <si>
    <t>glycoside hydrolase GH5 family; capybara gut microbiome; heteromannans; crystal structure; endo-beta-mannanases</t>
  </si>
  <si>
    <t>CRYSTAL-STRUCTURE; X-RAY; BIOCHEMICAL-CHARACTERIZATION; ENZYMATIC CHARACTERIZATION; BIOLOGICAL MACROMOLECULES; 3-DIMENSIONAL STRUCTURE; SUBSTRATE-SPECIFICITY; ANTARCTIC SPRINGTAIL; SOLUTION SCATTERING; HIGH-RESOLUTION</t>
  </si>
  <si>
    <t>Glycoside hydrolase family 5 (GH5) harbors diverse substrate specificities and modes of action, exhibiting notable molecular adaptations to cope with the stereochemical complexity imposed by glycosides and carbohydrates such as cellulose, xyloglucan, mixed-linkage beta-glucan, laminarin, (hetero)xylan, (hetero)mannan, galactan, chitosan, N-glycan, rutin and hesperidin. GH5 has been divided into subfamilies, many with higher functional specificity, several of which have not been characterized to date and some that have yet to be discovered with the exploration of sequence/taxonomic diversity. In this work, the current GH5 subfamily inventory is expanded with the discovery of the GH5_57 subfamily by describing an endo-beta-mannanase (CapGH5_57) from an uncultured Bacteroidales bacterium recovered from the capybara gut microbiota. Biochemical characterization showed that CapGH5_57 is active on glucomannan, releasing oligosaccharides with a degree of polymerization from 2 to 6, indicating it to be an endo-beta-mannanase. The crystal structure, which was solved using single-wavelength anomalous diffraction, revealed a massively redesigned catalytic interface compared with GH5 mannanases. The typical aromatic platforms and the characteristic alpha-helix-containing beta 6-alpha 6 loop in the positive-subsite region of GH5_7 mannanases are absent in CapGH5_57, generating a large and open catalytic interface that might favor the binding of branched substrates. Supporting this, CapGH5_57 contains a tryptophan residue adjacent and perpendicular to the cleavage site, indicative of an anchoring site for a substrate with a substitution at the -1 glycosyl moiety. Taken together, these results suggest that despite presenting endo activity on glucomannan, CapGH5_57 may have a new type of substituted heteromannan as its natural substrate. This work demonstrates the still great potential for discoveries regarding the mechanistic and functional diversity of this large and polyspecific GH family by unveiling a novel catalytic interface sculpted to recognize complex heteromannans, which led to the establishment of the GH5_57 subfamily.</t>
  </si>
  <si>
    <t>[Martins, Marcele P.; Morais, Mariana A. B.; Persinoti, Gabriela F.; Lima, Tatiani B.; Murakami, Mario T.] Brazilian Ctr Res Energy &amp; Mat, Brazilian Biorenewables Natl Lab, Campinas, SP, Brazil; [Martins, Marcele P.] Univ Estadual Campinas, Inst Biol, Grad Program Funct &amp; Mol Biol, Campinas, SP, Brazil; [Galinari, Rafael H.] Univ Estadual Campinas, Grad Program Genet, Campinas, SP, Brazil; [Galinari, Rafael H.; Yu, Li; Yoshimi, Yoshihisa; Dupree, Paul] Univ Cambridge, Dept Biochem, Cambridge, England; [Nunes, Fernanda B. Passos] Univ Sao Paulo, Sch Vet Med &amp; Anim Sci, Sao Paulo, Brazil; [Barbieri, Shayla F.; Silveira, Joana L. M.] Univ Fed Parana, Sect Biol Sci, Postgrad Program Biochem Sci, Curitiba, Parana, Brazil; [Lombard, Vincent; Terrapon, Nicolas] Aix Marseille Univ, Architecture &amp; Fonct Macromol Biol, USC INRAE 1408, UMR CNRS 7257, Marseille, France; [Henrissat, Bernard] Tech Univ Denmark, Dept Biotechnol &amp; Biomed DTU Bioengn, DK-2800 Lyngby, Denmark; [Henrissat, Bernard] King Abdulaziz Univ, Dept Biol Sci, Jeddah, Saudi Arabia</t>
  </si>
  <si>
    <t>Universidade Estadual de Campinas; Universidade de Sao Paulo; Universidade Estadual de Campinas; University of Cambridge; Universidade de Sao Paulo; Universidade Federal do Parana; INRAE; Aix-Marseille Universite; Technical University of Denmark; King Abdulaziz University</t>
  </si>
  <si>
    <t>Morais, MAB; Murakami, MT (corresponding author), Brazilian Ctr Res Energy &amp; Mat, Brazilian Biorenewables Natl Lab, Campinas, SP, Brazil.</t>
  </si>
  <si>
    <t>mariana.morais@lnbr.cnpem.br; mario.murakami@lnbr.cnpem.br</t>
  </si>
  <si>
    <t>Martins, Marcele/H-2053-2017; Lima, Tatiani Brenelli/A-3454-2017; Terrapon, Nicolas/AAA-9033-2019</t>
  </si>
  <si>
    <t>Martins, Marcele/0000-0002-5015-7116; Terrapon, Nicolas/0000-0002-3693-6017</t>
  </si>
  <si>
    <t>Conselho Nacional de Desenvolvimento Cientifico e Tecnologico (CNPq) [306135/2016-7, 439195/2016-0, 142332/2017-8]</t>
  </si>
  <si>
    <t>Conselho Nacional de Desenvolvimento Cientifico e Tecnologico (CNPq)(Conselho Nacional de Desenvolvimento Cientifico e Tecnologico (CNPQ))</t>
  </si>
  <si>
    <t>This research was supported by grants from Conselho Nacional de Desenvolvimento Cientifico e Tecnologico (CNPq): grant No. 306135/2016-7 to MTM, grant No. 439195/2016-0 to GFP and PhD fellowship 142332/2017-8 to MPM.</t>
  </si>
  <si>
    <t>INT UNION CRYSTALLOGRAPHY</t>
  </si>
  <si>
    <t>CHESTER</t>
  </si>
  <si>
    <t>2 ABBEY SQ, CHESTER, CH1 2HU, ENGLAND</t>
  </si>
  <si>
    <t>2059-7983</t>
  </si>
  <si>
    <t>ACTA CRYSTALLOGR D</t>
  </si>
  <si>
    <t>Acta Crystallogr. Sect. D-Struct. Biol.</t>
  </si>
  <si>
    <t>10.1107/S2059798322009561</t>
  </si>
  <si>
    <t>Biochemical Research Methods; Biochemistry &amp; Molecular Biology; Biophysics; Crystallography</t>
  </si>
  <si>
    <t>Biochemistry &amp; Molecular Biology; Biophysics; Crystallography</t>
  </si>
  <si>
    <t>6I1IS</t>
  </si>
  <si>
    <t>WOS:000885880300007</t>
  </si>
  <si>
    <t>Bertini, L; Proietti, S; Fongaro, B; Holfeld, A; Picotti, P; Falconieri, GS; Bizzarri, E; Capaldi, G; de Laureto, PP; Caruso, C</t>
  </si>
  <si>
    <t>Bertini, Laura; Proietti, Silvia; Fongaro, Benedetta; Holfeld, Ales; Picotti, Paola; Falconieri, Gaia Salvatore; Bizzarri, Elisabetta; Capaldi, Gloria; de Laureto, Patrizia Polverino; Caruso, Carla</t>
  </si>
  <si>
    <t>Environmental Signals Act as a Driving Force for Metabolic and Defense Responses in the Antarctic Plant Colobanthus quitensis</t>
  </si>
  <si>
    <t>PLANTS-BASEL</t>
  </si>
  <si>
    <t>Colobanthus quitensis; differential proteomic analysis; environmental signals; enzymatic activity; gene expression analysis; MS/MS analysis; response to stress</t>
  </si>
  <si>
    <t>CHLOROPLAST PROTEIN IMPORT; STRESS; GENES; EXPRESSION; TOLERANCE; SALT; TEMPERATURE; RESISTANCE; RESOURCES; DATABASE</t>
  </si>
  <si>
    <t>During evolution, plants have faced countless stresses of both biotic and abiotic nature developing very effective mechanisms able to perceive and counteract adverse signals. The biggest challenge is the ability to fine-tune the trade-off between plant growth and stress resistance. The Antarctic plant Colobanthus quitensis has managed to survive the adverse environmental conditions of the white continent and can be considered a wonderful example of adaptation to prohibitive conditions for millions of other plant species. Due to the progressive environmental change that the Antarctic Peninsula has undergone over time, a more comprehensive overview of the metabolic features of C. quitensis becomes particularly interesting to assess its ability to respond to environmental stresses. To this end, a differential proteomic approach was used to study the response of C. quitensis to different environmental cues. Many differentially expressed proteins were identified highlighting the rewiring of metabolic pathways as well as defense responses. Finally, a different modulation of oxidative stress response between different environmental sites was observed. The data collected in this paper add knowledge on the impact of environmental stimuli on plant metabolism and stress response by providing useful information on the trade-off between plant growth and defense mechanisms.</t>
  </si>
  <si>
    <t>[Bertini, Laura; Proietti, Silvia; Falconieri, Gaia Salvatore; Bizzarri, Elisabetta; Capaldi, Gloria; Caruso, Carla] Univ Tuscia, Dept Ecol &amp; Biol Sci, I-01100 Viterbo, Italy; [Fongaro, Benedetta; de Laureto, Patrizia Polverino] Univ Padua, Dept Pharmaceut &amp; Pharmacol Sci, I-35100 Padua, Italy; [Holfeld, Ales; Picotti, Paola] Swiss Fed Inst Technol, Dept Biol, Inst Mol Syst Biol, CH-8093 Zurich, Switzerland</t>
  </si>
  <si>
    <t>Tuscia University; University of Padua; Swiss Federal Institutes of Technology Domain; ETH Zurich</t>
  </si>
  <si>
    <t>Caruso, C (corresponding author), Univ Tuscia, Dept Ecol &amp; Biol Sci, I-01100 Viterbo, Italy.;de Laureto, PP (corresponding author), Univ Padua, Dept Pharmaceut &amp; Pharmacol Sci, I-35100 Padua, Italy.</t>
  </si>
  <si>
    <t>patrizia.polverinodelaureto@unipd.it; caruso@unitus.it</t>
  </si>
  <si>
    <t>Picotti, Paola/0000-0002-4109-3552; Falconieri, Gaia Salvatore/0000-0003-1923-1688; Holfeld, Ales/0000-0003-0775-8634; Caruso, Carla/0000-0002-2482-8254; Fongaro, Benedetta/0000-0003-0275-0190; Polverino de Laureto, Patrizia/0000-0002-0367-6781</t>
  </si>
  <si>
    <t>Ministry of University and Scientific Research (MUR) [PNRA16_00068]</t>
  </si>
  <si>
    <t>Ministry of University and Scientific Research (MUR)(Ministry of Education, Universities and Research (MIUR))</t>
  </si>
  <si>
    <t>This research was funded by Ministry of University and Scientific Research (MUR), in the framework of the PNRA (National Program for Antarctic Research), grant number PNRA16_00068.</t>
  </si>
  <si>
    <t>2223-7747</t>
  </si>
  <si>
    <t>Plants-Basel</t>
  </si>
  <si>
    <t>10.3390/plants11223176</t>
  </si>
  <si>
    <t>6K6UG</t>
  </si>
  <si>
    <t>WOS:000887633800001</t>
  </si>
  <si>
    <t>Herman, K; Montanares, M; Bravo, L; Plenzler, J</t>
  </si>
  <si>
    <t>Herman, Krzysztof; Montanares, Mauricio; Bravo, Leon; Plenzler, Joanna</t>
  </si>
  <si>
    <t>Sensor Actuator Network for In Situ Studies of Antarctic Plants Physiology</t>
  </si>
  <si>
    <t>sensor networks; thermal actuators; antarctic plans; IoT</t>
  </si>
  <si>
    <t>VASCULAR PLANTS; COLOBANTHUS-QUITENSIS; LEAVES</t>
  </si>
  <si>
    <t>This article documents a custom sensor-actuator network designed and implemented as a part of experimental setup, where a long-term phenological response of antarctic plants is studied. The first part of our work presents the context of the study, reports experimental methods used in antarctic plant field studies, and characterizes the environmental conditions and logistics facilities available on the measurement spot. After contextualization of the research, we present, in detail, both the network itself and some results obtained during the Antarctic summer seasons between 2019 and 2022 on the King George Island, South Shetlands. The results collected with our network and correlated with selected data registered with a reference automatic meteorological station reveal the thermal plants response. The groups of plants individuals, which were actively warmed using thermal actuators, show the nighttime temperature difference, in reference to the air temperature, of 5 degrees C, which complements the daytime difference caused by the passive method of open top chamber (OTC) used in previous studies carried out in the same localization.</t>
  </si>
  <si>
    <t>[Herman, Krzysztof] Univ Bio Bio, Dept Elect &amp; Elect Engn, Concepcion 4051381, Chile; [Montanares, Mauricio] Univ Concepcion, Dept Elect Engn, Concepcion 4070386, Chile; [Bravo, Leon] Univ Frontier, Sci &amp; Technol Bioresource Nucleus, Soil Interact &amp; Nat Resources Biotechnol, Temuco 4811230, Chile; [Plenzler, Joanna] Polish Acad Sci, Inst Biochem &amp; Biophys, PL-02106 Warsaw, Poland</t>
  </si>
  <si>
    <t>Universidad del Bio-Bio; Universidad de Concepcion; Polish Academy of Sciences; Institute of Biochemistry &amp; Biophysics - Polish Academy of Sciences</t>
  </si>
  <si>
    <t>Herman, K (corresponding author), Univ Bio Bio, Dept Elect &amp; Elect Engn, Concepcion 4051381, Chile.</t>
  </si>
  <si>
    <t>kherman@ubiobio.cl</t>
  </si>
  <si>
    <t>Bravo, León/AAO-8437-2020</t>
  </si>
  <si>
    <t>Bravo, León/0000-0003-4705-4842; Plenzler, Joanna/0000-0002-0566-0062; Herman, Krzysztof/0000-0002-2798-8421</t>
  </si>
  <si>
    <t>Chilean Antarctic Institute INACH regular grant [RT_18_18]; University of the Bio Bio Innovation grant [INN I+D 19-04]</t>
  </si>
  <si>
    <t>Chilean Antarctic Institute INACH regular grant; University of the Bio Bio Innovation grant</t>
  </si>
  <si>
    <t>This research was funded by the Chilean Antarctic Institute INACH regular grant No. RT_18_18 and University of the Bio Bio Innovation grant No. INN I+D 19-04.</t>
  </si>
  <si>
    <t>10.3390/s22228944</t>
  </si>
  <si>
    <t>6K8RN</t>
  </si>
  <si>
    <t>WOS:000887762000001</t>
  </si>
  <si>
    <t>Torres-Benítez, A; Ortega-Valencia, JE; Sanchez, M; Divakar, PK; Simirgiotis, MJ; Gómez-Serranillos, MP</t>
  </si>
  <si>
    <t>Torres-Benitez, Alfredo; Erick Ortega-Valencia, Jose; Sanchez, Marta; Divakar, Pradeep Kumar; Simirgiotis, Mario J.; Pilar Gomez-Serranillos, Maria</t>
  </si>
  <si>
    <t>Metabolomic Profiling, Antioxidant and Enzyme Inhibition Properties and Molecular Docking Analysis of Antarctic Lichens</t>
  </si>
  <si>
    <t>Lecania; Pseudephebe; Sphaerophorus; bioactive compounds; antioxidant; enzyme inhibition; Antarctica; neuroprotective potential</t>
  </si>
  <si>
    <t>BIOLOGICAL-ACTIVITIES; SPECIFICITY; METABOLITES; ASSAY; ACID</t>
  </si>
  <si>
    <t>The lichen species Lecania brialmontii, Pseudephebe pubescens, and Sphaerophorus globosus are part of the prominent lichenoflora of the Antarctic territory. In this work, we report the metabolomic identification of ethanolic extracts of these species, their antioxidant and cholinesterase enzyme inhibitory activity, and conduct a molecular docking analysis with typical compounds. Eighteen compounds were identified by UHPLC-ESI-QTOF-MS in L. brialmontii, 18 compounds in P. pubescens, and 14 compounds in S. globosus. The content of phenolic compounds was variable among the species, ranging from 0.279 to 2.821 mg AG/g, and all three species showed high inhibition potential on the cholinesterase enzymes. Molecular docking showed important interactions between AChE and BChE with the selected compounds. This study evidences the chemical fingerprint of three species of the order Lecanorales that support the continuation of the study of other biological activities and their potential for medical research.</t>
  </si>
  <si>
    <t>[Torres-Benitez, Alfredo; Simirgiotis, Mario J.] Univ Austral Chile, Fac Ciencias, Inst Farm, Campus Isla Teja, Valdivia 5090000, Chile; [Erick Ortega-Valencia, Jose] Inst Tecnol Tlalnepantla, Tecnol Nacl Mexico, Av Inst Tecnol,S-N Col La Comunidad, Tlalnepantla De Baz 54070, Mexico; [Sanchez, Marta; Divakar, Pradeep Kumar; Pilar Gomez-Serranillos, Maria] Univ Complutense Madrid, Fac Farm, Dept Farmacol Farmacognosia &amp; Bot, Plaza Ramon y Cajal S-N, E-28040 Madrid, Spain</t>
  </si>
  <si>
    <t>Universidad Austral de Chile; Complutense University of Madrid</t>
  </si>
  <si>
    <t>Simirgiotis, MJ (corresponding author), Univ Austral Chile, Fac Ciencias, Inst Farm, Campus Isla Teja, Valdivia 5090000, Chile.;Gómez-Serranillos, MP (corresponding author), Univ Complutense Madrid, Fac Farm, Dept Farmacol Farmacognosia &amp; Bot, Plaza Ramon y Cajal S-N, E-28040 Madrid, Spain.</t>
  </si>
  <si>
    <t>mario.simirgiotis@uach.cl; pserra@ucm.es</t>
  </si>
  <si>
    <t>Divakar, Pradeep/E-5603-2014; Simirgiotis Aguero, Mario/P-3871-2017</t>
  </si>
  <si>
    <t>Divakar, Pradeep/0000-0002-0300-0124; Simirgiotis Aguero, Mario/0000-0003-4552-3123; Torres-Benitez, Alfredo Jose/0000-0002-0881-8187; Sanchez Gomez-Serranillos, Marta/0000-0002-5050-9505; Gomez-Serranillos, M. Pilar/0000-0002-9178-3420</t>
  </si>
  <si>
    <t>Instituto Antartico Chileno [INACH RT 16-17]</t>
  </si>
  <si>
    <t>Instituto Antartico Chileno</t>
  </si>
  <si>
    <t>This research received funds from Instituto Antartico Chileno (grant INACH RT 16-17 toM.J.S.).</t>
  </si>
  <si>
    <t>10.3390/molecules27228086</t>
  </si>
  <si>
    <t>6K3CC</t>
  </si>
  <si>
    <t>WOS:000887383700001</t>
  </si>
  <si>
    <t>Quillfeldt, P; Bange, A; Boutet, A; Orben, RA; Baylis, AMM</t>
  </si>
  <si>
    <t>Quillfeldt, Petra; Bange, Andreas; Boutet, Aude; Orben, Rachael A.; Baylis, Alastair M. M.</t>
  </si>
  <si>
    <t>Breeding Thin-Billed Prions Use Marine Habitats Ranging from Inshore to Distant Antarctic Waters</t>
  </si>
  <si>
    <t>seabird tracking; GPS; foraging areas; marine habitats</t>
  </si>
  <si>
    <t>PACHYPTILA-BELCHERI; OCEANOGRAPHIC FEATURES; FEEDING ECOLOGY; FORAGING AREAS; SEABIRD; SEGREGATION; FOOD; VARIABILITY; CEPHALOPODS; PATTERNS</t>
  </si>
  <si>
    <t>Simple Summary Thin-billed Prions are small seabirds with large foraging ranges. Thin-billed prions from the Falkland Islands were tracked with Global Positioning System (GPS) dataloggers during the breeding season. During incubation trips, Thin-billed Prions travelled distances of approx. 2000 km, and foraged on the Patagonian Shelf or in Polar Front waters. During chick-rearing, Thin-billed Prions undertook trips of variable duration (one to 11 days), and foraged more locally, including in inshore waters. Birds from two colonies used spatially segregated foraging areas. Pelagic seabirds cover large distances efficiently and thus may reach a variety of marine habitats during breeding. Previous studies using stable isotope data and geolocators suggested that Thin-billed Prions breeding in the Falkland Islands in the Southwest Atlantic may forage in temperate waters over the Patagonian Shelf or cross the Drake Passage to forage in Antarctic waters south of the Polar Front. We deployed miniature GPS dataloggers to track Thin-billed prions in the Falkland Islands during incubation (3 seasons) and chick-rearing (2 seasons). Thin-billed Prions had a wide distribution during incubation, covering latitudes between 43 and 60 degrees S, with trip lengths of ca. 2000 km over seven days, on average. Thin-billed Prions from two nearby sites (60 km apart) were spatially segregated in their incubation trips, with New Island Thin-billed Prions foraging over the Patagonian Shelf, compared to Thin-billed Prions from Bird Island, that foraged in the region of the Polar Front. During chick-rearing, Thin-billed Prions from New Island undertook both long trips to the Patagonian Shelf and south of the Polar Front (30% of trips were 5-11 days), and short trips (70% of trips were 1-4 days) when they foraged more locally, including in inshore waters around the Falkland Islands. Females carried out more trips to distant sites. Thus, Thin-billed showed a high flexibility in foraging areas, habitats and foraging trip durations, which enable them to benefit from both, temperate and Antarctic environments.</t>
  </si>
  <si>
    <t>[Quillfeldt, Petra; Bange, Andreas; Boutet, Aude] Justus Liebig Univ Giessen, Dept Anim Ecol &amp; Systemat, Heinrich Buff Ring 26, D-35392 Giessen, Germany; [Orben, Rachael A.] Oregon State Univ, Hatfield Marine Sci Ctr, Dept Fisheries Wildlife &amp; Conservat Sci, Newport, OR 97365 USA; [Baylis, Alastair M. M.] South Atlantic Environm Res Inst, Stanley FIQQ 1ZZ, Falkland Island</t>
  </si>
  <si>
    <t>Justus Liebig University Giessen; Oregon State University</t>
  </si>
  <si>
    <t>Quillfeldt, P (corresponding author), Justus Liebig Univ Giessen, Dept Anim Ecol &amp; Systemat, Heinrich Buff Ring 26, D-35392 Giessen, Germany.</t>
  </si>
  <si>
    <t>petra.quillfeldt@bio.uni-giessen.de</t>
  </si>
  <si>
    <t>Baylis, Alastair/H-9471-2019; Orben, Rachael A./H-9460-2019; Quillfeldt, Petra/A-9549-2009</t>
  </si>
  <si>
    <t>Baylis, Alastair/0000-0002-5167-0472; Orben, Rachael A./0000-0002-0802-407X; Boutet, Aude/0000-0003-2658-2849; Quillfeldt, Petra/0000-0002-4450-8688</t>
  </si>
  <si>
    <t>Deutsche Forschungsgemeinschaft (DFG) [SPP1154, Qu148/18]; Darwin Initiative funding [DPLUS139]; Falkland Islands Government Environmental Studies Budget</t>
  </si>
  <si>
    <t>Deutsche Forschungsgemeinschaft (DFG)(German Research Foundation (DFG)); Darwin Initiative funding; Falkland Islands Government Environmental Studies Budget</t>
  </si>
  <si>
    <t>Fieldwork on New Island was supported by the Deutsche Forschungsgemeinschaft (DFG) in the framework of the priority programme SPP1154 Antarctic Research with comparative investigations in Arctic ice areas (Grant No. Qu148/18). Fieldwork on Bird Island was supported by Darwin Initiative funding (DPLUS139) and Falkland Islands Government Environmental Studies Budget.</t>
  </si>
  <si>
    <t>10.3390/ani12223131</t>
  </si>
  <si>
    <t>6J7RV</t>
  </si>
  <si>
    <t>WOS:000887018900001</t>
  </si>
  <si>
    <t>Rudraswami, NG; Pandey, M; Fernandes, D; Carrillo-Sánchez, JD; Feng, W; Plane, JMC; Singh, VP</t>
  </si>
  <si>
    <t>Rudraswami, N. G.; Pandey, M.; Fernandes, D.; Carrillo-Sanchez, J. D.; Feng, W.; Plane, J. M. C.; Singh, V. P.</t>
  </si>
  <si>
    <t>Oxygen Ablation during Atmospheric Entry: Its Influence on the Isotopic Composition of Micrometeorites</t>
  </si>
  <si>
    <t>COSMIC DUST PARTICLES; ACCRETION RATE; ANTARCTIC MICROMETEORITES; EXTRATERRESTRIAL DUST; SOLAR NEBULA; CARBONACEOUS CHONDRITES; ELEMENTAL COMPOSITION; TRACE-ELEMENT; TAGISH LAKE; PARENT BODY</t>
  </si>
  <si>
    <t>Micrometeorites (MMs) offer glimpses of the diverse nature of parent bodies that accreted during the first few million years after the formation of the proto-Sun. The present work explores this by evaluating the ablation of oxygen from MMs during atmospheric entry, and the resulting effect on the oxygen isotopic composition. A Chemical ABlation MODel (CABMOD) combined with the measured oxygen isotope composition of MMs, shows that at temperatures below 2000 K a relatively small percentage (similar to 0%-5%) of oxygen ablates; the temperature is nevertheless sufficient to induce diffusion among the different silicate phases of MMs. The large delta O-18 composition found within different MM types with low oxygen ablation indicates that exchange with atmospheric oxygen is insignificant during entry. Therefore, to explain the large delta O-18 values existing in heated MMs, where oxygen ablation is less than a few percent, we propose that these particles are from distinct C-type asteroids that have undergone nebular gas exchange and/or aqueously altered in their parent bodies. This is supported by the evidence from unmelted MMs that have not exchanged oxygen during atmospheric entry or undergone ablation, but have large delta O-18 values. However, the oxygen isotope composition of different types of cosmic spherules does not appear to vary systematically with temperature and could be due to the heterogeneity of their precursors. This investigation overall provides insights into the oxygen ablation of the particles during atmospheric entry, oxygen isotopic alteration, and the reservoirs of the diverse extraterrestrial objects that prevailed in the early solar system.</t>
  </si>
  <si>
    <t>[Rudraswami, N. G.; Pandey, M.; Fernandes, D.; Singh, V. P.] CSIR, Natl Inst Oceanog, Panaji 403004, Goa, India; [Carrillo-Sanchez, J. D.; Feng, W.; Plane, J. M. C.] Univ Leeds, Sch Chem, Leeds LS2 9JT, W Yorkshire, England; [Carrillo-Sanchez, J. D.] Catholic Univ Amer, Dept Phys, Washington, DC 20064 USA; [Carrillo-Sanchez, J. D.] NASA, ITM Phys Lab, Goddard Space Flight Ctr, Code 675, Greenbelt, MD 20771 USA; [Feng, W.] Univ Leeds, Natl Ctr Atmospher Sci, Leeds LS2 9PH, W Yorkshire, England</t>
  </si>
  <si>
    <t>Council of Scientific &amp; Industrial Research (CSIR) - India; CSIR - National Institute of Oceanography (NIO); University of Leeds; Catholic University of America; National Aeronautics &amp; Space Administration (NASA); NASA Goddard Space Flight Center; University of Leeds; UK Research &amp; Innovation (UKRI); Natural Environment Research Council (NERC); NERC National Centre for Atmospheric Science</t>
  </si>
  <si>
    <t>Rudraswami, NG (corresponding author), CSIR, Natl Inst Oceanog, Panaji 403004, Goa, India.</t>
  </si>
  <si>
    <t>rudra@nio.org</t>
  </si>
  <si>
    <t>Plane, John/C-7444-2015</t>
  </si>
  <si>
    <t>Plane, John/0000-0003-3648-6893; Feng, Wuhu/0000-0002-9907-9120; SINGH, VIJAY PRATAP/0000-0002-9209-2381; N G, Rudraswami/0000-0002-3375-9860; Carrillo Sanchez, Juan Diego/0000-0001-8230-4048</t>
  </si>
  <si>
    <t>ISRO-Respond project [GAP3332, GAP2175]; European Research Council [291332-CODITA]</t>
  </si>
  <si>
    <t>ISRO-Respond project; European Research Council(European Research Council (ERC))</t>
  </si>
  <si>
    <t>This work is funded by ISRO-Respond project GAP3332 (ISRO-Respond) and GAP2175 (MOES-PMN). J.D.C.S., W.F., and J.M.P.C. were supported by the European Research Council (project 291332-CODITA). This is NIO's contribution number: 6973.</t>
  </si>
  <si>
    <t>10.3847/1538-4357/ac9059</t>
  </si>
  <si>
    <t>6I2BK</t>
  </si>
  <si>
    <t>WOS:000885934100001</t>
  </si>
  <si>
    <t>Villacorta-Rath, C; Green, BS; Gardner, C; Murphy, NP; Souza, CA; Strugnell, JM</t>
  </si>
  <si>
    <t>Villacorta-Rath, Cecilia; Green, Bridget S.; Gardner, Caleb; Murphy, Nick P.; Souza, Carla A.; Strugnell, Jan M.</t>
  </si>
  <si>
    <t>Disentangling genetic from environmental effects on phenotypic variability of southern rock lobster (Jasus edwardsii) postlarvae</t>
  </si>
  <si>
    <t>dispersal history; phenotypic variability; pueruli; recruitment; size-at-settlement</t>
  </si>
  <si>
    <t>LOCAL ADAPTATION; LARVAL; SETTLEMENT; RECRUITMENT; EVOLUTION; FISHERY; PACKAGE; CONNECTIVITY; PERFORMANCE; PATCHINESS</t>
  </si>
  <si>
    <t>Environmental conditions experienced during the larval dispersal of marine organisms can determine the size-at-settlement of recruits. It is, therefore, not uncommon that larvae undergoing different dispersal histories would exhibit phenotypic variability at recruitment. Here, we investigated morphological differences in recently settled southern rock lobster (Jasus edwardsii) recruits, known as pueruli, along a latitudinal and temporal gradient on the east coast of Tasmania, Australia. We further explored whether natural selection could be driving morphological variation. We used double digest restriction site-associated DNA sequencing (ddRADseq) to assess differences in the genetic structure of recently settled recruits on the east coast of Tasmania over 3 months of peak settlement during 2012 (August-October). Phenotypic differences in pueruli between sites and months of settlement were observed, with significantly smaller individuals found at the northernmost site. Also, there was a lack of overall genetic divergence; however, significant differences in pairwise F-ST values between settlement months were observed at the southernmost study site, located at an area of confluence of ocean currents. Specifically, individuals settling into the southernmost earlier in the season were genetically different from those settling later. The lack of overall genetic divergence in the presence of phenotypic variation indicates that larval environmental history during the dispersal of J. edwardsii could be a possible driver of the resulting phenotype of settlers.</t>
  </si>
  <si>
    <t>[Villacorta-Rath, Cecilia] James Cook Univ, Ctr Trop Water &amp; Aquat Ecosyst Res TropWATER, Bldg 145,James Cook Dr, Townsville, Qld 4811, Australia; [Villacorta-Rath, Cecilia; Green, Bridget S.; Gardner, Caleb] Univ Tasmania, Inst Marine &amp; Antarctic Studies, Hobart, Tas, Australia; [Murphy, Nick P.; Souza, Carla A.; Strugnell, Jan M.] La Trobe Univ, Dept Ecol Environm &amp; Evolut, Bundoora, Vic, Australia; [Strugnell, Jan M.] James Cook Univ, Ctr Sustainable Trop Fisheries &amp; Aquaculture, Townsville, Qld, Australia</t>
  </si>
  <si>
    <t>James Cook University; University of Tasmania; La Trobe University; James Cook University</t>
  </si>
  <si>
    <t>Villacorta-Rath, C (corresponding author), James Cook Univ, Ctr Trop Water &amp; Aquat Ecosyst Res TropWATER, Bldg 145,James Cook Dr, Townsville, Qld 4811, Australia.</t>
  </si>
  <si>
    <t>cecilia.villacortarath@jcu.edu.au</t>
  </si>
  <si>
    <t>Strugnell, Jan M/P-9921-2016; Villacorta-Rath, Cecilia/G-8819-2013; Gardner, Caleb/I-7086-2013</t>
  </si>
  <si>
    <t>Strugnell, Jan/0000-0003-2994-637X; Anjos-Souza, Carla/0000-0003-0671-7275; Villacorta-Rath, Cecilia/0000-0002-1060-5447; Murphy, Nick/0000-0002-0907-4642; Gardner, Caleb/0000-0003-0324-4337</t>
  </si>
  <si>
    <t>Australian Research Council [DP150101491, LP120200164]; Australian Research Council [LP120200164] Funding Source: Australian Research Council</t>
  </si>
  <si>
    <t>Australian Research Council(Australian Research Council); Australian Research Council(Australian Research Council)</t>
  </si>
  <si>
    <t>Australian Research Council, Grant/Award Number: DP150101491 and LP120200164</t>
  </si>
  <si>
    <t>e9519</t>
  </si>
  <si>
    <t>10.1002/ece3.9519</t>
  </si>
  <si>
    <t>6F8HN</t>
  </si>
  <si>
    <t>WOS:000884299600001</t>
  </si>
  <si>
    <t>Cvetkovska, M; Vakulenko, G; Smith, DR; Zhang, X; Hüner, NPA</t>
  </si>
  <si>
    <t>Cvetkovska, Marina; Vakulenko, Galyna; Smith, David R.; Zhang, Xi; Huner, Norman P. A.</t>
  </si>
  <si>
    <t>Temperature stress in psychrophilic green microalgae: Minireview</t>
  </si>
  <si>
    <t>PHYSIOLOGIA PLANTARUM</t>
  </si>
  <si>
    <t>HEAT-SHOCK RESPONSE; CHLAMYDOMONAS-RAUDENSIS; UWO 241; PHOTOSYNTHETIC APPARATUS; ICE COVER; ADAPTATION; ALGA; ACCLIMATION; ANTARCTICA; EXPRESSION</t>
  </si>
  <si>
    <t>Photosynthetic algae are the main primary producers in polar regions, form the basis of polar food webs, and are responsible for a significant portion of global carbon fixation. Many cold-water algae are psychrophiles that thrive in the cold but cannot grow at moderate temperatures (&gt;= 20 degrees C). Polar regions are at risk of rapid warming caused by climate change, and the sensitivity of psychrophilic algae to rising temperatures makes them, and the ecosystems they inhabit, particularly vulnerable. Recent research on the Antarctic psychrophile Chlamydomonas priscuii, an emerging algal model, has revealed unique adaptations to life in the permanent cold. Additionally, genome sequencing of C. priscuii and its relative Chlamydomonas sp. ICE-L has given rise to a plethora of computational tools that can help elucidate the genetic basis of psychrophily. This minireview summarizes new advances in characterizing the heat stress responses in psychrophilic algae and examines their extraordinary sensitivity to temperature increases. Further research in this field will help determine the impact of climate change on psychrophiles from threatened polar environments.</t>
  </si>
  <si>
    <t>[Cvetkovska, Marina; Vakulenko, Galyna] Univ Ottawa, Dept Biol, 30 Marie Curie Pr, Ottawa, ON K1N 6N5, Canada; [Smith, David R.; Huner, Norman P. A.] Univ Western Ontario, Dept Biol, London, ON N6A 5B7, Canada; [Zhang, Xi] Dalhousie Univ, Inst Comparat Genom, Dept Biochem &amp; Mol Biol, Halifax, NS, Canada</t>
  </si>
  <si>
    <t>University of Ottawa; Western University (University of Western Ontario); Dalhousie University</t>
  </si>
  <si>
    <t>Cvetkovska, M (corresponding author), Univ Ottawa, Dept Biol, 30 Marie Curie Pr, Ottawa, ON K1N 6N5, Canada.;Hüner, NPA (corresponding author), Univ Western Ontario, Dept Biol, London, ON N6A 5B7, Canada.</t>
  </si>
  <si>
    <t>mcvetkov@uottawa.ca; nhuner@uwo.ca</t>
  </si>
  <si>
    <t>Smith, David Roy/L-7910-2015</t>
  </si>
  <si>
    <t>Smith, David Roy/0000-0001-9560-5210</t>
  </si>
  <si>
    <t>Natural Sciences and Engineering Research Council of Canada</t>
  </si>
  <si>
    <t>Natural Sciences and Engineering Research Council of Canada(Natural Sciences and Engineering Research Council of Canada (NSERC)CGIAR)</t>
  </si>
  <si>
    <t>0031-9317</t>
  </si>
  <si>
    <t>1399-3054</t>
  </si>
  <si>
    <t>PHYSIOL PLANTARUM</t>
  </si>
  <si>
    <t>Physiol. Plant.</t>
  </si>
  <si>
    <t>e13811</t>
  </si>
  <si>
    <t>10.1111/ppl.13811</t>
  </si>
  <si>
    <t>6G3GI</t>
  </si>
  <si>
    <t>WOS:000884643600001</t>
  </si>
  <si>
    <t>Bakiu, R; Pacchini, S; Piva, E; Schumann, S; Tolomeo, AM; Ferro, D; Irato, P; Santovito, G</t>
  </si>
  <si>
    <t>Bakiu, Rigers; Pacchini, Sara; Piva, Elisabetta; Schumann, Sophia; Tolomeo, Anna Maria; Ferro, Diana; Irato, Paola; Santovito, Gianfranco</t>
  </si>
  <si>
    <t>Metallothionein Expression as a Physiological Response against Metal Toxicity in the Striped Rockcod Trematomus hansoni</t>
  </si>
  <si>
    <t>Antarctica; antioxidants; cadmium; copper; fish; metallothioneins</t>
  </si>
  <si>
    <t>ANTIOXIDANT RESPONSES; OXIDATIVE STRESS; GENE-EXPRESSION; FREE-RADICALS; TRACE-METALS; FISH; CADMIUM; COPPER; GLUTATHIONE; ZINC</t>
  </si>
  <si>
    <t>Metal bioaccumulation and metallothionein (MT) expression were investigated in the gills and liver of the red-blooded Antarctic teleost Trematomus hansoni to evaluate the possibility for this species to face, with adequate physiological responses, an increase of copper and cadmium concentrations in its tissues. Specimens of this Antarctic fish were collected from Terra Nova Bay (Ross Sea) and used for a metal exposure experiment in controlled laboratory conditions. The two treatments led to a significant accumulation of both metals and increased gene transcription only for the MT-1. The biosynthesis of MTs was verified especially in specimens exposed to Cd, but most of these proteins were soon oxidized, probably because they were involved in cell protection against oxidative stress risk by scavenging reactive oxygen species. The obtained data highlighted the phenotypic plasticity of T. hansoni, a species that evolved in an environment characterized by naturally high concentrations of Cu and Cd, and maybe the possibility for the Antarctic fish to face the challenges of a world that is becoming more toxic every day.</t>
  </si>
  <si>
    <t>[Bakiu, Rigers] Agr Univ Tirana, Dept Fisheries &amp; Aquaculture, Tirana 1000, Albania; [Pacchini, Sara; Piva, Elisabetta; Irato, Paola; Santovito, Gianfranco] Univ Padua, Dept Biol, Via U Bassi 58-B, I-35131 Padua, Italy; [Tolomeo, Anna Maria] Univ Padua, Dept Cardiac Thorac &amp; Vasc Sci &amp; Publ Hlth, I-35128 Padua, Italy; [Ferro, Diana] Univ Missouri Kansas City, Dept Pediat, Kansas City, MO 64108 USA</t>
  </si>
  <si>
    <t>University of Padua; University of Padua; University of Missouri System; University of Missouri Kansas City</t>
  </si>
  <si>
    <t>Santovito, G (corresponding author), Univ Padua, Dept Biol, Via U Bassi 58-B, I-35131 Padua, Italy.</t>
  </si>
  <si>
    <t>gianfranco.santovito@unipd.it</t>
  </si>
  <si>
    <t>Piva, Elisabetta/JNR-7048-2023; Bakiu, Rigers/AFC-7827-2022; Santovito, Gianfranco/ABB-9484-2021; Pacchini, Sara/JVZ-1594-2024; Ferro, Diana/HKM-9570-2023; Tolomeo, Anna Maria/AAA-2275-2022</t>
  </si>
  <si>
    <t>Piva, Elisabetta/0009-0002-9005-256X; Bakiu, Rigers/0000-0002-9613-4606; Santovito, Gianfranco/0000-0001-8260-7006; Pacchini, Sara/0000-0001-5430-2301; Ferro, Diana/0000-0003-1774-7509; Tolomeo, Anna Maria/0000-0001-5077-0845; IRATO, PAOLA/0000-0002-8066-0775; Schumann, Sophia/0000-0001-7468-9013</t>
  </si>
  <si>
    <t>Italian National Program for Antarctic Research (PNRA) [PNRA16_00099]</t>
  </si>
  <si>
    <t>Italian National Program for Antarctic Research (PNRA)</t>
  </si>
  <si>
    <t>This research was supported by the Italian National Program for Antarctic Research (PNRA). Project identification code: PNRA16_00099.</t>
  </si>
  <si>
    <t>10.3390/ijms232112799</t>
  </si>
  <si>
    <t>6C7BV</t>
  </si>
  <si>
    <t>WOS:000882165700001</t>
  </si>
  <si>
    <t>Xia, YF; Du, Y</t>
  </si>
  <si>
    <t>Xia, Yifan; Du, Yan</t>
  </si>
  <si>
    <t>Middepth Zonal Velocity in the Southern Tropical Indian Ocean: Striation-Like Structures and Their Dynamics</t>
  </si>
  <si>
    <t>Instability; Nonlinear dynamics; Ocean circulation; Potential vorticity</t>
  </si>
  <si>
    <t>PACIFIC; JETS; CURRENTS; COUNTERCURRENT; VARIABILITY; CIRCULATION; STABILITY</t>
  </si>
  <si>
    <t>In this study, the upper-ocean absolute geostrophic currents in the southern Indian Ocean are constructed using Argo temperature and salinity data from the middepth (1000 m) zonal velocity derived from the Argo float trajectory. The results reveal alternating quasi-zonal striation-like structures of middepth zonal velocity in the equatorial and southern tropical Indian Ocean. Specifically, the eastward time-mean flows are located at the equator and 2 degrees, 5 degrees, 8 degrees, 13 degrees, 16 degrees, 18 degrees-19 degrees, and 21 degrees-22 degrees S, with a meridional scale of similar to 300 km. The generation mechanisms of the striation-like zonal velocity structure differ between the near-equatorial and off-equatorial regions. The triad of baroclinic Rossby wave instability plays a significant role in near-equatorial striations. In the south, the high potential vorticity (PV) of Antarctic intermediate water and low PV of southern Indian Ocean Subantarctic Mode Water lead to strong baroclinic instability, which increases the eddy kinetic energy in the middepth layer, thus contributing to a turbulent PV gradient. The convergence/divergence of the eddy PV flux generates the quasi-zonal striations. The meridional scale of the striations is controlled by the most unstable wavelength of baroclinic instability, which explains the observations. Significance StatementThe middepth zonal velocity resembles a system of eastward/westward jets with a considerably smaller width than the larger-scale ocean surface circulation. Such a phenomenon always occurs in a turbulent ocean that presents eddy or eddy-mean flow interactions. This study used float observations to reveal a robust middepth zonal velocity in the southern tropical Indian Ocean, where the width of the eastward time-mean flows is approximately 300 km. Smaller eddies drive the zonal currents with a smaller width, and the energy of the eddies is released from the unstable vertical structure at middepths. This study provides new insights into the generation mechanism of small-width zonal current structures in the deep ocean.</t>
  </si>
  <si>
    <t>[Xia, Yifan; Du, Yan] Chinese Acad Sci, South China Sea Inst Oceanol, State Key Lab Trop Oceanog, Guangzhou, Peoples R China; [Du, Yan] Southern Marine Sci &amp; Engn Guangdong Lab, Guangzhou, Peoples R China; [Du, Yan] Univ Chinese Acad Sci, Beijing, Peoples R China</t>
  </si>
  <si>
    <t>Chinese Academy of Sciences; South China Sea Institute of Oceanology, CAS; Southern Marine Science &amp; Engineering Guangdong Laboratory; Southern Marine Science &amp; Engineering Guangdong Laboratory (Guangzhou); Chinese Academy of Sciences; University of Chinese Academy of Sciences, CAS</t>
  </si>
  <si>
    <t>Du, Y (corresponding author), Chinese Acad Sci, South China Sea Inst Oceanol, State Key Lab Trop Oceanog, Guangzhou, Peoples R China.;Du, Y (corresponding author), Southern Marine Sci &amp; Engn Guangdong Lab, Guangzhou, Peoples R China.;Du, Y (corresponding author), Univ Chinese Acad Sci, Beijing, Peoples R China.</t>
  </si>
  <si>
    <t>DU, Yan/C-4496-2013; DU, YAN/HZI-1091-2023</t>
  </si>
  <si>
    <t>DU, Yan/0000-0002-7842-0801;</t>
  </si>
  <si>
    <t>National Natural Science Foundation of China [42090042, 42106023]; Chinese Academy of Sciences [XDA15020901, ZDRW-XH-2019-2, ISEE2021PY02, ISEE2021ZD01]; Independent Research Project Program of the State Key Laboratory of Tropical Oceanography [LTOZZ2203]; Key Special Project for Introduced Talents Team of Southern Marine Science and Engineering Guangdong Laboratory (Guangzhou) [GML2019ZD0303]; High-Performance Computing Division of the South China Sea Institute of Oceanology</t>
  </si>
  <si>
    <t>National Natural Science Foundation of China(National Natural Science Foundation of China (NSFC)); Chinese Academy of Sciences(Chinese Academy of Sciences); Independent Research Project Program of the State Key Laboratory of Tropical Oceanography; Key Special Project for Introduced Talents Team of Southern Marine Science and Engineering Guangdong Laboratory (Guangzhou); High-Performance Computing Division of the South China Sea Institute of Oceanology</t>
  </si>
  <si>
    <t>We thank two anonymous reviewers for their constructive comments. This work was supported by the National Natural Science Foundation of China (42090042 and 42106023), Chinese Academy of Sciences (XDA15020901, ZDRW-XH-2019-2, ISEE2021PY02, and ISEE2021ZD01), Independent Research Project Program of the State Key Laboratory of Tropical Oceanography (LTOZZ2203), and Key Special Project for Introduced Talents Team of Southern Marine Science and Engineering Guangdong Laboratory (Guangzhou) (GML2019ZD0303). The numerical computation was supported by the High-Performance Computing Division of the South China Sea Institute of Oceanology.</t>
  </si>
  <si>
    <t>10.1175/JPO-D-21-0222.1</t>
  </si>
  <si>
    <t>6G0SS</t>
  </si>
  <si>
    <t>WOS:000884471500014</t>
  </si>
  <si>
    <t>Li, Z; Groeskamp, S; Cerovecki, I; England, MH</t>
  </si>
  <si>
    <t>Li, Zhi; Groeskamp, Sjoerd; Cerovecki, Ivana; England, Matthew H. H.</t>
  </si>
  <si>
    <t>The Origin and Fate of Antarctic Intermediate Water in the Southern Ocean</t>
  </si>
  <si>
    <t>Southern Ocean; Diapycnal mixing; Ekman pumping; transport; Upwelling; downwelling; Intermediate waters; Isopycnal mixing</t>
  </si>
  <si>
    <t>AIR-SEA FLUXES; MODE WATER; MASS TRANSFORMATION; CIRCULATION; VARIABILITY; SUBDUCTION; SURFACE; PACIFIC; EXCHANGE; FRAMEWORK</t>
  </si>
  <si>
    <t>Using observationally based hydrographic and eddy diffusivity datasets, a volume budget analysis is performed to identify the main mechanisms governing the spatial and seasonal variability of Antarctic Intermediate Water (AAIW) within the density range gamma(n) = (27.25-27.7) kg m(-3) in the Southern Ocean. The subduction rates and water mass transformation rates by mesoscale and small-scale turbulent mixing are estimated. First, Ekman pumping upwells the dense variety of AAIW into the mixed layer south of the Polar Front, which can be advected northward by Ekman transport into the subduction regions of lighter-variety AAIW and Subantarctic Mode Water (SAMW). The subduction of light AAIW occurs mainly by lateral advection in the southeast Pacific and Drake Passage as well as eddy-induced flow between the Subantarctic and Polar Fronts. The circumpolar-integrated total subduction yields from -5 to 19 Sv (1 Sv equivalent to 10(6) m(3) s(-1)) of AAIW volume loss. Second, the diapycnal transport from subducted SAMW into the AAIW layer is predominantly by mesoscale mixing (2-13 Sv) near the Subantarctic Front and vertical mixing in the South Pacific, while AAIW is further replenished by transformation from Upper Circumpolar Deep Water by vertical mixing (1-10 Sv). Last, 3-14 Sv of AAIW are exported out of the Southern Ocean. Our results suggest that the distribution of AAIW is set by its formation due to subduction and mixing, and its circulation eastward along the ACC and northward into the subtropical gyres. The volume budget analysis reveals strong seasonal variability in the rate of subduction, vertical mixing, and volume transport driving volume change within the AAIW layer. The nonzero volume budget residual suggests that more observations are needed to better constrain the estimate of geostrophic flow and mesoscale and small-scale mixing diffusivities.</t>
  </si>
  <si>
    <t>[Li, Zhi; England, Matthew H. H.] Univ New South Wales, Climate Change Res Ctr, Sydney, NSW, Australia; [Li, Zhi; England, Matthew H. H.] Univ New South Wales, Australian Ctr Excellence Antarctic Sci, Sydney, NSW, Australia; [Groeskamp, Sjoerd] NIOZ Royal Netherlands Inst Sea Res, Dept Ocean Syst c, Den Burg, Texel, Netherlands; [Cerovecki, Ivana] Univ Calif, Scripps Inst Oceanog, La Jolla, CA USA</t>
  </si>
  <si>
    <t>University of New South Wales Sydney; University of New South Wales Sydney; Utrecht University; Royal Netherlands Institute for Sea Research (NIOZ); University of California System; University of California San Diego; Scripps Institution of Oceanography</t>
  </si>
  <si>
    <t>Li, Z (corresponding author), Univ New South Wales, Climate Change Res Ctr, Sydney, NSW, Australia.;Li, Z (corresponding author), Univ New South Wales, Australian Ctr Excellence Antarctic Sci, Sydney, NSW, Australia.</t>
  </si>
  <si>
    <t>zhi.li4@unsw.edu.au</t>
  </si>
  <si>
    <t>England, Matthew/A-7539-2011</t>
  </si>
  <si>
    <t>England, Matthew/0000-0001-9696-2930; Li, Zhi/0000-0002-0166-9289</t>
  </si>
  <si>
    <t>Foundation of China Scholarship Council [201806330075]; Climate Change Research Centre (CCRC), University of New South Wales; Centre for Southern Hemisphere Ocean Research (CSHOR), a joint research centre between QNLM, CSIRO, UNSW and UTAS; ARC Australian Centre for Excellence in Antarctic Science [SR200100008]; National Science Foundation [OCE-1658001]; NASA [80NSSC19K1115]; CSHOR</t>
  </si>
  <si>
    <t>Foundation of China Scholarship Council(China Scholarship Council); Climate Change Research Centre (CCRC), University of New South Wales; Centre for Southern Hemisphere Ocean Research (CSHOR), a joint research centre between QNLM, CSIRO, UNSW and UTAS; ARC Australian Centre for Excellence in Antarctic Science(Australian Research Council); National Science Foundation(National Science Foundation (NSF)); NASA(National Aeronautics &amp; Space Administration (NASA)); CSHOR</t>
  </si>
  <si>
    <t>Z.L. receives support from the Foundation of China Scholarship Council (201806330075), Climate Change Research Centre (CCRC), University of New South Wales, and the Centre for Southern Hemisphere Ocean Research (CSHOR), a joint research centre between QNLM, CSIRO, UNSW and UTAS. This study was supported by the ARC Australian Centre for Excellence in Antarctic Science (ACEAS; ARC Grant SR200100008). M.H.E. was also suppported by CSHOR. I.C. received support from National Science Foundation Award OCE-1658001 and NASA grant number 80NSSC19K1115. We thank two anonymous reviewers for their insightful comments that helped to improve this paper.</t>
  </si>
  <si>
    <t>10.1175/JPO-D-21-0221.1</t>
  </si>
  <si>
    <t>WOS:000884471500017</t>
  </si>
  <si>
    <t>Buatthaisong, N; Ruffolo, D; Sáiz, A; Banglieng, C; Mitthumsiri, W; Nutaro, T; Nuntiyakul, W</t>
  </si>
  <si>
    <t>Buatthaisong, Nutthawara; Ruffolo, David; Saiz, Alejandro; Banglieng, Chanoknan; Mitthumsiri, Warit; Nutaro, Tanin; Nuntiyakul, Waraporn</t>
  </si>
  <si>
    <t>Extended Cosmic Ray Decreases with Strong Anisotropy after Passage of Interplanetary Shocks</t>
  </si>
  <si>
    <t>SOLAR MODULATION; FORBUSH DECREASE; PRECURSORS; DRIFT; PARTICLES; TRANSPORT; GRADIENT; PERIOD; BURST</t>
  </si>
  <si>
    <t>The passage of an interplanetary shock and/or interplanetary coronal mass ejection often causes a rapid decrease in the Galactic cosmic-ray (GCR) flux, known as a Forbush decrease, followed by a recovery of the flux over some days. These local effects are of short duration and strongly rigidity dependent, with higher-rigidity particles exhibiting much weaker effects. In contrast, we present data for two events in which the cosmic-ray flux gradually decreased for about 1 week after shock passage, then recovering over the following week, with the highest anisotropy levels observed throughout Solar Cycle 24. These extended decreases have a weak rigidity dependence and are much more prominent in observations at higher cutoff rigidity, where the initial Forbush decrease is not clearly detected and other variations are generally weak, as we demonstrate using data from the Princess Sirindhorn Neutron Monitor at Doi Inthanon, Thailand with a cutoff rigidity of about 17 GV. We propose that these extended decrease events were initiated upon the passage of an interplanetary shock that inhibited the inflow of GCRs along the interplanetary magnetic field, possibly due to magnetic mirroring at the shock. We also discuss the general behavior of GCR anisotropy as observed at this high cutoff rigidity.</t>
  </si>
  <si>
    <t>[Buatthaisong, Nutthawara; Ruffolo, David; Saiz, Alejandro; Mitthumsiri, Warit] Mahidol Univ, Fac Sci, Dept Phys, Bangkok 10400, Thailand; [Banglieng, Chanoknan] Rajamangala Univ Technol Thanyaburi, Fac Sci &amp; Technol, Div Phys, Pathum Thani 12110, Thailand; [Nutaro, Tanin] Ubon Ratchathani Univ, Fac Sci, Dept Phys, Ubon Ratchathani 34190, Thailand; [Nuntiyakul, Waraporn] Chiang Mai Univ, Fac Sci, Dept Phys &amp; Mat Sci, Chiang Mai 50200, Thailand</t>
  </si>
  <si>
    <t>Mahidol University; Rajamangala University of Technology Thanyaburi; Ubon Ratchathani University; Chiang Mai University</t>
  </si>
  <si>
    <t>Ruffolo, D (corresponding author), Mahidol Univ, Fac Sci, Dept Phys, Bangkok 10400, Thailand.</t>
  </si>
  <si>
    <t>david.ruf@mahidol.ac.th</t>
  </si>
  <si>
    <t>; Saiz, Alejandro/F-7367-2010</t>
  </si>
  <si>
    <t>Ruffolo, David/0000-0003-3414-9666; Buatthaisong, Nutthawara/0000-0002-2111-9962; Nuntiyakul, Waraporn/0000-0002-1664-5845; Saiz, Alejandro/0000-0001-7771-4341; Banglieng, Chanoknan/0000-0002-4862-2015</t>
  </si>
  <si>
    <t>Development and Promotion of Science and Technology Talents Project (DPST); National Astronomical Research Institute of Thailand; Mawson Neutron Monitor from the Australian Antarctic Program [RTA6280002]; Thailand Science Research and Innovation; Achara Seripienlert</t>
  </si>
  <si>
    <t>Development and Promotion of Science and Technology Talents Project (DPST); National Astronomical Research Institute of Thailand; Mawson Neutron Monitor from the Australian Antarctic Program; Thailand Science Research and Innovation; Achara Seripienlert</t>
  </si>
  <si>
    <t>N.B. would like to express her sincere gratitude to the Development and Promotion of Science and Technology Talents Project (DPST) for the scholarship and all the opportunities. PSNM maintenance was also supported by Achara Seripienlert and the National Astronomical Research Institute of Thailand. We acknowledge logistical support to operate the Mawson Neutron Monitor from the Australian Antarctic Program and support via grant RTA6280002 from Thailand Science Research and Innovation.</t>
  </si>
  <si>
    <t>10.3847/1538-4357/ac96ea</t>
  </si>
  <si>
    <t>6F0OP</t>
  </si>
  <si>
    <t>WOS:000883770100001</t>
  </si>
  <si>
    <t>Ottaviani, A; Iacovelli, F; Welsch, J; Della Rocca, BM; Desideri, A; Falconi, M; Calcul, L; Baker, BJ; Fiorani, P</t>
  </si>
  <si>
    <t>Ottaviani, Alessio; Iacovelli, Federico; Welsch, Joshua; Della Rocca, Blasco Morozzo; Desideri, Alessandro; Falconi, Mattia; Calcul, Laurent; Baker, Bill J.; Fiorani, Paola</t>
  </si>
  <si>
    <t>Dimethylmyricacene: An In Vitro and In Silico Study of a Semisynthetic Non-Camptothecin Derivative Compound, Targeting Human DNA Topoisomerase 1B</t>
  </si>
  <si>
    <t>CELLS</t>
  </si>
  <si>
    <t>human topoisomerase 1B; dimethylmyricacene; natural compound inhibition</t>
  </si>
  <si>
    <t>ANTITUMOR-ACTIVITY; NATURAL COMPOUND; INHIBITORS; MECHANISM; IB; RELAXATION; DYNAMICS; CLEAVAGE; DOMAIN</t>
  </si>
  <si>
    <t>Human topoisomerase 1B regulates the topological state of supercoiled DNA enabling all fundamental cell processes. This enzyme, which is the unique molecular target of the natural anticancer compound camptothecin, acts by nicking one DNA strand and forming a transient protein-DNA covalent complex. The interaction of human topoisomerase 1B and dimethylmyricacene, a compound prepared semisynthetically from myricanol extracted from Myrica cerifera root bark, was investigated using enzymatic activity assays and molecular docking procedures. Dimethylmyricacene was shown to inhibit both the cleavage and the religation steps of the enzymatic reaction, and cell viability of A-253, FaDu, MCF-7, HeLa and HCT-116 tumor cell lines.</t>
  </si>
  <si>
    <t>[Ottaviani, Alessio; Iacovelli, Federico; Della Rocca, Blasco Morozzo; Desideri, Alessandro; Falconi, Mattia; Fiorani, Paola] Univ Roma Tor Vergata, Dept Biol, I-00133 Rome, Italy; [Ottaviani, Alessio] Bambino Gesu Childrens Hosp IRCCS, Dept Oncohematol Gene &amp; Cell Therapy, I-00146 Rome, Italy; [Welsch, Joshua; Calcul, Laurent; Baker, Bill J.] Univ S Florida, Dept Chem, Tampa, FL 33620 USA; [Fiorani, Paola] CNR, Natl Res Council, Inst Translat Pharmacol, I-00133 Rome, Italy</t>
  </si>
  <si>
    <t>University of Rome Tor Vergata; IRCCS Bambino Gesu; State University System of Florida; University of South Florida; Consiglio Nazionale delle Ricerche (CNR); Istituto di Farmacologia Traslazionale (IFT-CNR)</t>
  </si>
  <si>
    <t>Ottaviani, A (corresponding author), Univ Roma Tor Vergata, Dept Biol, I-00133 Rome, Italy.;Ottaviani, A (corresponding author), Bambino Gesu Childrens Hosp IRCCS, Dept Oncohematol Gene &amp; Cell Therapy, I-00146 Rome, Italy.</t>
  </si>
  <si>
    <t>alessio.ottaviani@uniroma2.it</t>
  </si>
  <si>
    <t>Falconi, Mattia/B-9621-2013; Baker, Bill/N-4312-2019; Ottaviani, Alessio/K-7240-2018</t>
  </si>
  <si>
    <t>Falconi, Mattia/0000-0002-3990-4758; desideri, alessandro/0000-0003-1541-4217; Ottaviani, Alessio/0000-0002-4796-3184; Iacovelli, Federico/0000-0001-7511-6575; FIORANI, Paola/0000-0001-5409-2789</t>
  </si>
  <si>
    <t>PNRA (The Italian Program for Antarctic Research) - Ministry of Education, Universities and Research [PNRA18_00005D]</t>
  </si>
  <si>
    <t>PNRA (The Italian Program for Antarctic Research) - Ministry of Education, Universities and Research</t>
  </si>
  <si>
    <t>This research and A.O. were supported by PNRA (The Italian Program for Antarctic Research) awarded by the Ministry of Education, Universities and Research: PNRA18_00005D.</t>
  </si>
  <si>
    <t>2073-4409</t>
  </si>
  <si>
    <t>CELLS-BASEL</t>
  </si>
  <si>
    <t>Cells</t>
  </si>
  <si>
    <t>10.3390/cells11213486</t>
  </si>
  <si>
    <t>6F5EF</t>
  </si>
  <si>
    <t>WOS:000884083200001</t>
  </si>
  <si>
    <t>Krishnan, A; Alias, Z; Convey, P; González-Aravena, M; Smykla, J; Rizman-Idid, M; Alias, SA</t>
  </si>
  <si>
    <t>Krishnan, Abiramy; Alias, Zazali; Convey, Peter; Gonzalez-Aravena, Marcelo; Smykla, Jerzy; Rizman-Idid, Mohammed; Alias, Siti Aisyah</t>
  </si>
  <si>
    <t>Temperature and pH Profiling of Extracellular Amylase from Antarctic and Arctic Soil Microfungi</t>
  </si>
  <si>
    <t>FERMENTATION-BASEL</t>
  </si>
  <si>
    <t>alpha-amylase; enzyme; Antarctic; Arctic; temperature; pH</t>
  </si>
  <si>
    <t>PSYCHROPHILIC ALPHA-AMYLASE; GEOMYCES-PANNORUM; COLD-ADAPTATION; PURIFICATION; FUNGI; ENZYMES; TERRESTRIAL; MARINE; GLUCOAMYLASE; PREDICTION</t>
  </si>
  <si>
    <t>While diversity studies and screening for enzyme activities are important elements of understanding fungal roles in the soil ecosystem, extracting and purifying the target enzyme from the fungal cellular system is also required to characterize the enzyme. This is, in particular, necessary before developing the enzyme for industrial-scale production. In the present study, partially purified alpha-amylase was obtained from strains of Pseudogymnoascus sp. obtained from Antarctic and Arctic locations. Partially purified alpha-amylases from these polar fungi exhibited very similar characteristics, including being active at 15 degrees C, although having a small difference in optimum pH. Both fungal taxa are good candidates for the potential application of cold-active enzymes in biotechnological industries, and further purification and characterization steps are now required. The alpha-amylases from polar fungi are attractive in terms of industrial development because they are active at lower temperatures and acidic pH, thus potentially creating energy and cost savings. Furthermore, they prevent the production of maltulose, which is an undesirable by-product often formed under alkaline conditions. Psychrophilic amylases from the polar Pseudogymnoascus sp. investigated in the present study could provide a valuable future contribution to biotechnological applications.</t>
  </si>
  <si>
    <t>[Krishnan, Abiramy; Alias, Siti Aisyah] Univ Malaya, Natl Antarctic Res Ctr, Kuala Lumpur 50603, Malaysia; [Krishnan, Abiramy; Alias, Zazali] Univ Malaya, Inst Biol Sci, Kuala Lumpur 50603, Malaysia; [Convey, Peter] British Antarctic Survey, Cambridge CB3 0ET, England; [Convey, Peter] Univ Johannesburg, Dept Zool, POB 524, ZA-2006 Johannesburg, South Africa; [Gonzalez-Aravena, Marcelo] Inst Antartico Chileno, Plaza Munoz Gamero, Punta Arenas 1055, Chile; [Smykla, Jerzy] Polish Acad Sci, Inst Nat Conservat, Mickiewicza 33, PL-31120 Krakow, Poland; [Rizman-Idid, Mohammed; Alias, Siti Aisyah] Univ Malaya, Inst Ocean &amp; Earth Sci, Kuala Lumpur 50603, Malaysia</t>
  </si>
  <si>
    <t>Universiti Malaya; Universiti Malaya; UK Research &amp; Innovation (UKRI); Natural Environment Research Council (NERC); NERC British Antarctic Survey; University of Johannesburg; Polish Academy of Sciences; Universiti Malaya</t>
  </si>
  <si>
    <t>Alias, SA (corresponding author), Univ Malaya, Natl Antarctic Res Ctr, Kuala Lumpur 50603, Malaysia.;Alias, SA (corresponding author), Univ Malaya, Inst Ocean &amp; Earth Sci, Kuala Lumpur 50603, Malaysia.</t>
  </si>
  <si>
    <t>saa@um.edu.my</t>
  </si>
  <si>
    <t>Convey, Peter/AAV-5728-2020; Idid, Mohammed Rizman/AAS-3753-2021; ALIAS, ZAZALI/C-1144-2010; FASc, SITI AISYAH A. HJ ALIAS/B-9785-2010; IDID, MOHAMMED RIZMAN/B-9058-2010; Smykla, Jerzy/N-3288-2014</t>
  </si>
  <si>
    <t>Convey, Peter/0000-0001-8497-9903; Idid, Mohammed Rizman/0000-0002-2231-2502; FASc, SITI AISYAH A. HJ ALIAS/0000-0002-6759-5745; IDID, MOHAMMED RIZMAN/0000-0002-2231-2502; Krishnan, Abiramy/0000-0002-0824-7935; Smykla, Jerzy/0000-0001-8228-6695</t>
  </si>
  <si>
    <t>Yayasan Penyelidikan Antartika Sultan Mizan (YPASM), University Malaya [PG041-2013A, RP007-2012A]; Ministry of Science Technology and Innovation (MOSTI) [GA006-2014FL]; NERC</t>
  </si>
  <si>
    <t>Yayasan Penyelidikan Antartika Sultan Mizan (YPASM), University Malaya; Ministry of Science Technology and Innovation (MOSTI)(Ministry of Energy, Science, Technology, Environment and Climate Change (MESTECC), Malaysia); NERC(UK Research &amp; Innovation (UKRI)Natural Environment Research Council (NERC))</t>
  </si>
  <si>
    <t>This research was funded by Yayasan Penyelidikan Antartika Sultan Mizan (YPASM), University Malaya, grant numbers PG041-2013A &amp; RP007-2012A and Ministry of Science Technology and Innovation (MOSTI) grant number GA006-2014FL. PC is supported by NERC core funding to the BAS `Biodiversity, Evolution and Adaptation' Team.</t>
  </si>
  <si>
    <t>2311-5637</t>
  </si>
  <si>
    <t>FERMENTATION</t>
  </si>
  <si>
    <t>10.3390/fermentation8110601</t>
  </si>
  <si>
    <t>6E7PX</t>
  </si>
  <si>
    <t>WOS:000883569100001</t>
  </si>
  <si>
    <t>Dischereit, A; Wangensteen, OS; Præbel, K; Auel, H; Havermans, C</t>
  </si>
  <si>
    <t>Dischereit, Annkathrin; Wangensteen, Owen S.; Praebel, Kim; Auel, Holger; Havermans, Charlotte</t>
  </si>
  <si>
    <t>Using DNA Metabarcoding to Characterize the Prey Spectrum of Two Co-Occurring Themisto Amphipods in the Rapidly Changing Atlantic-Arctic Gateway Fram Strait</t>
  </si>
  <si>
    <t>diet analyses; Hyperiidae; Themisto libellula; Themisto abyssorum; Arctic Ocean; atlantification; cytochrome c oxidase subunit I; DNA metabarcoding; gelatinous zooplankton</t>
  </si>
  <si>
    <t>SYMPAGIC MACRO-FAUNA; SEA-ICE LOSS; ZOOPLANKTON; ABYSSORUM; OCEAN; CHOICE; SYSTEM; WATERS; NORTH</t>
  </si>
  <si>
    <t>The two congeneric hyperiids Themisto libellula and T. abyssorum provide an important trophic link between lower and higher trophic levels in the rapidly changing Arctic marine ecosystem. These amphipods are characterized by distinct hydrographic affinities and are hence anticipated to be impacted differently by environmental changes, with major consequences for the Arctic food web. In this study, we applied DNA metabarcoding to the stomach contents of these Themisto species, to comprehensively reveal their prey spectra at an unprecedented-high-taxonomic-resolution and assess the regional variation in their diet across the Fram Strait. Both species feed on a wide variety of prey but their diet strongly differed in the investigated summer season, showing overlap for only a few prey taxa, such as calanoid copepods. The spatially structured prey field of T. libellula clearly differentiated it from T. abyssorum, of which the diet was mainly dominated by chaetognaths. Our approach also allowed the detection of previously overlooked prey in the diet of T. libellula, such as fish species and gelatinous zooplankton. We discuss the reasons for the differences in prey spectra and which consequences these may have in the light of ongoing environmental changes.</t>
  </si>
  <si>
    <t>[Dischereit, Annkathrin; Havermans, Charlotte] Helmholtz Ctr Polar &amp; Marine Res, Alfred Wegener Inst, Funct Ecol, Helmholtz Young Investigator Grp ARJEL, D-27570 Bremerhaven, Germany; [Dischereit, Annkathrin; Auel, Holger; Havermans, Charlotte] Univ Bremen, FB2, BreMarE Bremen Marine Ecol, D-28334 Bremen, Germany; [Wangensteen, Owen S.; Praebel, Kim] UiT Arctic Univ Norway, Norwegian Coll Fishery Sci, Fac Biosci Fisheries &amp; Econ, N-9019 Tromso, Norway; [Wangensteen, Owen S.] Univ Barcelona, Dept Evolutionary Biol Ecol &amp; Environm Sci, Barcelona 08007, Spain; [Wangensteen, Owen S.] Univ Barcelona, Biodivers Res Inst IRBIO, Barcelona 08007, Spain</t>
  </si>
  <si>
    <t>Helmholtz Association; Alfred Wegener Institute, Helmholtz Centre for Polar &amp; Marine Research; University of Bremen; UiT The Arctic University of Tromso; University of Barcelona; University of Barcelona</t>
  </si>
  <si>
    <t>Dischereit, A (corresponding author), Helmholtz Ctr Polar &amp; Marine Res, Alfred Wegener Inst, Funct Ecol, Helmholtz Young Investigator Grp ARJEL, D-27570 Bremerhaven, Germany.;Dischereit, A (corresponding author), Univ Bremen, FB2, BreMarE Bremen Marine Ecol, D-28334 Bremen, Germany.</t>
  </si>
  <si>
    <t>annkathrin.dischereit@awi.de</t>
  </si>
  <si>
    <t>Wangensteen, Owen S./E-3559-2018; Praebel, Kim/A-2844-2014</t>
  </si>
  <si>
    <t>Wangensteen, Owen S./0000-0001-5593-348X; Praebel, Kim/0000-0002-0681-1854; Dischereit, Annkathrin/0000-0002-6158-0825; Havermans, Charlotte/0000-0002-1126-4074</t>
  </si>
  <si>
    <t>Helmholtz Society [VH-NG-1400]; AlfredWegener Institute Helmholtz Centre for Polar and Marine Research [VH-NG-1400]; Deutsche Forschungsgemeinschaft (DFG) [SPP 1158, HA 7627/1-1]; UiT-The Arctic University of Norway; AMICA [AWI PS100 07, AWI PS107 10]</t>
  </si>
  <si>
    <t>Helmholtz Society(Helmholtz Association); AlfredWegener Institute Helmholtz Centre for Polar and Marine Research; Deutsche Forschungsgemeinschaft (DFG)(German Research Foundation (DFG)); UiT-The Arctic University of Norway; AMICA</t>
  </si>
  <si>
    <t>This study was conducted in the framework of the Helmholtz Young Investigator Group ARJEL-Arctic Jellies with the project number VH-NG-1400, funded by the Helmholtz Society and the AlfredWegener Institute Helmholtz Centre for Polar and Marine Research. This work was partly supported by the Deutsche Forschungsgemeinschaft (DFG) in the framework of the priority programme Antarctic Research with comparative investigations in Arctic ice areas SPP 1158 by the following grant: HA 7627/1-1, to the last author. KP was supported by a strategic funding from UiT-The Arctic University of Norway. Data for this manuscript was produced during the ship time allocated to the R/V Polarstern project AMICA with project ID AWI PS100 07, the R/V Polarstern project AWI PS107 10 and the ship time allocated to the R/V Helmer Hanssen project TUNU.</t>
  </si>
  <si>
    <t>10.3390/genes13112035</t>
  </si>
  <si>
    <t>6F2TM</t>
  </si>
  <si>
    <t>WOS:000883920000001</t>
  </si>
  <si>
    <t>Azzaro, M; Specchiulli, A; Maimone, G; Azzaro, F; Lo Giudice, A; Papale, M; La Ferla, R; Paranhos, R; Cabral, AS; Rappazzo, AC; Renzi, M; Castagno, P; Falco, P; Rivaro, P; Caruso, G</t>
  </si>
  <si>
    <t>Azzaro, Maurizio; Specchiulli, Antonietta; Maimone, Giovanna; Azzaro, Filippo; Lo Giudice, Angelina; Papale, Maria; La Ferla, Rosabruna; Paranhos, Rodolfo; Cabral, Anderson Souza; Rappazzo, Alessandro Ciro; Renzi, Monia; Castagno, Pasquale; Falco, Pierpaolo; Rivaro, Paola; Caruso, Gabriella</t>
  </si>
  <si>
    <t>Trophic and Microbial Patterns in the Ross Sea Area (Antarctica): Spatial Variability during the Summer Season</t>
  </si>
  <si>
    <t>water column; organic matter; optical properties; microbial community abundance and biomass; functional diversity; Ross Sea</t>
  </si>
  <si>
    <t>TARGETED OLIGONUCLEOTIDE PROBES; PARTICULATE ORGANIC-MATTER; NORTHERN VICTORIA LAND; IN-SITU HYBRIDIZATION; FLOW-CYTOMETRY; BACTERIA; COMMUNITY; DYNAMICS; BLOOM; AVAILABILITY</t>
  </si>
  <si>
    <t>In open regions of the Ross Sea, the role of the microbial community in the turnover of organic matter has scarcely been investigated; indeed, very little is known on how microbial distribution and functional diversity respond to environmental conditions and hydrographic structures. During the austral summer of 2017, two pelagic areas of the Ross Sea [the Drygalski Ice Tongue and the nearby Terra Nova Bay polynya (A area), and the continental Shelf Break area near Cape Adare (C area)] were studied at selected depths [surface, Deep Chlorophyll Maximum (DCM), Circumpolar Deep Water (CDW), deep waters]. Trophic properties [nutrient concentrations, particulate (POC), dissolved organic carbon (DOC) and its optically significant fraction (CDOM) were measured, together with the main hydrological variables. Microbial community abundance [total prokaryotes, living, dead, and actively respiring fraction, high- and low nucleic acid cells (HNA and LNA), pico-and nano-eukaryotes, culturable heterotrophic bacteria], composition, and metabolism (as whole community and as isolated bacteria) were also assessed. Through a multidisciplinary dataset, this study highlighted the variable response of microbial abundance, diversity, and metabolism of the microbial community to the changing local environmental conditions of the Ross Sea. Different forces, such as organic matter inputs (mostly of detrital nature) released from the Drygalski glacier in the A area, and a coastal-to-offshore gradient in the C area, coexisted within this extreme ecosystem. This resulted in a significant spatial segregation of the edaphic parameters, and of the microbial community distribution and metabolic activity patterns.</t>
  </si>
  <si>
    <t>[Azzaro, Maurizio; Maimone, Giovanna; Azzaro, Filippo; Lo Giudice, Angelina; Papale, Maria; La Ferla, Rosabruna; Rappazzo, Alessandro Ciro; Caruso, Gabriella] Natl Res Council CNR ISP, Inst Polar Sci, Spianata S Raineri 86, I-98122 Messina, Italy; [Specchiulli, Antonietta; Renzi, Monia] Natl Res Council CNR IRBIM, Inst Biol Resources &amp; Marine Biotechnol, Via Pola 4, I-71010 Foggia, Italy; [Paranhos, Rodolfo; Cabral, Anderson Souza] Fed Univ Rio de Janeiro UFRJ, Inst Biol, Lab Hidrobiol, BR-21941590 Rio De Janeiro, RJ, Brazil; [Cabral, Anderson Souza] Fed Univ Rio de Janeiro UFRJ, Inst Microbiol, Av Carlos Chagas Filho, BR-21941902 Rio De Janeiro, Brazil; [Renzi, Monia] Univ Trieste, Dept Life Sci, Via L Giorgieri 10, I-34127 Trieste, Italy; [Castagno, Pasquale] Univ Messina, Dept Math Sci &amp; Informat, Phys &amp; Earth Sci, Viale Stagno dAlcontres, I-98166 Messina, Italy; [Falco, Pierpaolo] Ancona Polytech Univ, Dept Life &amp; Environm Sci, Via Brecce Bianche, I-60131 Ancona, Italy; [Rivaro, Paola] Univ Genoa, Dept Chem &amp; Ind Chem, Via Dodecaneso 31, I-16146 Genoa, Italy</t>
  </si>
  <si>
    <t>Consiglio Nazionale delle Ricerche (CNR); Istituto di Scienze Polari (ISP-CNR); Consiglio Nazionale delle Ricerche (CNR); Istituto per le Risorse Biologiche Biotecnologie Marine (IRBIM-CNR); University of Trieste; University of Messina; University of Genoa</t>
  </si>
  <si>
    <t>Caruso, G (corresponding author), Natl Res Council CNR ISP, Inst Polar Sci, Spianata S Raineri 86, I-98122 Messina, Italy.</t>
  </si>
  <si>
    <t>Caruso, Gabriella/F-5450-2013; azzaro, Maurizio/AAE-6784-2019; SPECCHIULLI, ANTONIETTA/E-1656-2016</t>
  </si>
  <si>
    <t>Caruso, Gabriella/0000-0002-3819-5486; azzaro, Maurizio/0000-0001-7885-2340; Papale, Maria/0000-0002-6013-4436; SPECCHIULLI, ANTONIETTA/0000-0001-7472-7446; Cabral, Anderson/0000-0002-8997-8309; Falco, Pierpaolo/0000-0002-5130-5440; Castagno, Pasquale/0000-0002-5705-1066; Renzi, Monia/0000-0003-2452-1698</t>
  </si>
  <si>
    <t>Italian National Antarctic Research Programme PNRA [PNRA16_00207-A3]</t>
  </si>
  <si>
    <t>Italian National Antarctic Research Programme PNRA</t>
  </si>
  <si>
    <t>This research was funded by the Italian National Antarctic Research Programme PNRA, grant number PNRA16_00207-A3 CDW Effects on glaciaL mElting and on Bulk of Fe in theWestern Ross Sea (CELEBeR).</t>
  </si>
  <si>
    <t>10.3390/jmse10111666</t>
  </si>
  <si>
    <t>6E7DA</t>
  </si>
  <si>
    <t>WOS:000883535300001</t>
  </si>
  <si>
    <t>Luo, CC; Xiao, F; Gong, L; Lei, JT; Li, WH; Zhang, SK</t>
  </si>
  <si>
    <t>Luo, Chengcheng; Xiao, Feng; Gong, Li; Lei, Jintao; Li, Wenhao; Zhang, Shengkai</t>
  </si>
  <si>
    <t>Comparison of Weighted Mean Temperature in Greenland Calculated by Four Reanalysis Data</t>
  </si>
  <si>
    <t>reanalysis data; radiosonde data; Greenland; weighted mean temperature</t>
  </si>
  <si>
    <t>PRECIPITABLE WATER-VAPOR; ZENITH WET DELAYS; EMPIRICAL-MODEL; GPS METEOROLOGY; ICE THICKNESS; RETRIEVAL; PWV</t>
  </si>
  <si>
    <t>The weighted mean temperature ( Tm) is a critical parameter for precipitable water vapor (PWV) retrieval in global navigation satellite system (GNSS) meteorology. Reanalysis data are an important data source for Tm calculation and Tm empirical model establishment. This study uses radiosonde data to evaluate the accuracy and the spatiotemporal variation of Tm that is derived from four reanalysis data, namely, the release of the fifth-generation accurate global atmospheric reanalysis (ERA5), the modern-era retrospective analysis for research and applications version 2 (MERRA-2), the NCEP/DOE, and the NCEP/NCAR, from 2005 to 2019 in Greenland, due to the paucity of research on the performance of Tm in the polar region that is derived from reanalysis data, particularly on a long temporal scale. The results were as follows: (1) The 15-year mean bias errors (MBEs) and root mean square errors (RMSEs) of Tm that were obtained from the four reanalysis data are 0.267 and 0.691 K for the ERA5, -0.247 and 0.962 K for the MERRA-2, 0.192 and 1.148 K for the NCEP/DOE, and -0.069 and 1.37 K for the NCEP/NCAR. The Tm that was derived from the ERA5 (ERA5 Tm) has the highest accuracy, followed by the MERRA-2 Tm, the NCEP/DOE Tm, and the NCEP/NCAR Tm. (2) In the inter-annual stability of the Tm precision compared with the radiosonde data, the results of the ERA5 are the most stable, followed by the NCEP/DOE Tm, the NCEP/NCAR Tm, and the MERRA-2 Tm. The ERA5 Tm have improved from 2005 to 2019. (3) The Tm accuracy that was computed by the four reanalysis data exhibits significant seasonal variation characteristics in Greenland, as follows: the summer and the autumn accuracy is higher than that in the winter and the spring, which may be related to the variation of the surface temperature (Ts) accuracy. (4) The Tm that was estimated from the four reanalysis data exhibits a consistent spatial distribution, as follows: the Tm is smaller in the middle region of Greenland and is greater at the island's edge. The comparative study of Tm that is obtained from the four reanalysis data can serve as a reference for future research on Tm model development and water vapor retrieval in polar regions by utilizing reanalysis data.</t>
  </si>
  <si>
    <t>[Luo, Chengcheng] Wuhan Univ, Sch Geodesy &amp; Geomat, Wuhan 430079, Peoples R China; [Xiao, Feng; Gong, Li; Zhang, Shengkai] Wuhan Univ, Chinese Antarctic Ctr Surveying &amp; Mapping, Wuhan 430079, Peoples R China; [Lei, Jintao] Hong Kong Polytech Univ, Dept Land Surveying &amp; Geoinformat, Kowloon, Hong Kong, Peoples R China; [Li, Wenhao] Nanjing Tech Univ, Sch Geomat Sci &amp; Technol, Nanjing 211800, Peoples R China</t>
  </si>
  <si>
    <t>Wuhan University; Wuhan University; Hong Kong Polytechnic University; Nanjing Tech University</t>
  </si>
  <si>
    <t>Zhang, SK (corresponding author), Wuhan Univ, Chinese Antarctic Ctr Surveying &amp; Mapping, Wuhan 430079, Peoples R China.</t>
  </si>
  <si>
    <t>zskai@whu.edu.cn</t>
  </si>
  <si>
    <t>LEI, Jintao/HHZ-6471-2022</t>
  </si>
  <si>
    <t>Zhang, Shengkai/0000-0001-7436-2504; Feng, Xiao/0000-0003-3742-9380; Lei, Jintao/0000-0002-4497-5868</t>
  </si>
  <si>
    <t>National Key Research and Development Program of China [2017YFA0603104]; Natural Science Foundation of China [41730102]</t>
  </si>
  <si>
    <t>National Key Research and Development Program of China; Natural Science Foundation of China(National Natural Science Foundation of China (NSFC))</t>
  </si>
  <si>
    <t>This work was supported in part by the National Key Research and Development Program of China under Grant 2017YFA0603104 and in part by the Natural Science Foundation of China under Grant 41730102.</t>
  </si>
  <si>
    <t>10.3390/rs14215431</t>
  </si>
  <si>
    <t>6F3MJ</t>
  </si>
  <si>
    <t>WOS:000883969200001</t>
  </si>
  <si>
    <t>Liu, SH; Li, TT; Zhang, PY; Zhao, LL; Yi, D; Zhang, ZH; Cong, BL</t>
  </si>
  <si>
    <t>Liu, Shenghao; Li, Tingting; Zhang, Pengying; Zhao, Linlin; Yi, Dan; Zhang, Zhaohui; Cong, Bailin</t>
  </si>
  <si>
    <t>Insights into the Jasmonate Signaling in Basal Land Plant Revealed by the Multi-Omics Analysis of an Antarctic Moss Pohlia nutans Treated with OPDA</t>
  </si>
  <si>
    <t>jasmonate; flavonoids; metabolomic profiling; transcriptomic sequencing; bryophytes</t>
  </si>
  <si>
    <t>ABSCISIC-ACID; 12-OXO-PHYTODIENOIC ACID; PHYSCOMITRELLA-PATENS; GENE-EXPRESSION; ARABIDOPSIS; EVOLUTION; GENOME; ACCUMULATION; ADAPTATION; FLAVONOLS</t>
  </si>
  <si>
    <t>12-oxo-phytodienoic acid (OPDA) is a biosynthetic precursor of jasmonic acid and triggers multiple biological processes from plant development to stress responses. However, the OPDA signaling and relevant regulatory networks were largely unknown in basal land plants. Using an integrated multi-omics technique, we investigated the global features in metabolites and transcriptional profiles of an Antarctic moss (Pohlia nu tans) in response to OPDA treatment. We detected 676 metabolites based on the widely targeted metabolomics approach. A total of 82 significantly changed metabolites were observed, including fatty acids, flavonoids, phenolic acids, amino acids and derivatives, and alkaloids. In addition, the transcriptome sequencing was conducted to uncover the global transcriptional profiles. The representative differentially expressed genes were summarized into functions including Ca2+ signaling, abscisic acid signaling, jasmonate signaling, lipid and fatty acid biosynthesis, transcription factors, antioxidant enzymes, and detoxification proteins. The integrated multi-omics analysis revealed that the pathways of jasmonate and ABA signaling, lipid and fatty acid biosynthesis, and flavonoid biosynthesis might dominate the molecular responses to OPDA. Taken together, these observations provide insights into the molecular evolution of jasmonate signaling and the adaptation mechanisms of Antarctic moss to terrestrial habitats.</t>
  </si>
  <si>
    <t>[Liu, Shenghao; Li, Tingting; Zhao, Linlin; Yi, Dan; Zhang, Zhaohui; Cong, Bailin] First Inst Oceanog, Key Lab Marine Ecoenvironm Sci &amp; Technol, Minist Nat Resources, Qingdao 266061, Peoples R China; [Liu, Shenghao; Zhao, Linlin; Zhang, Zhaohui] Pilot Natl Lab Marine Sci &amp; Technol Qingdao, Lab Marine Ecol &amp; Environm Sci, Qingdao 266061, Peoples R China; [Zhang, Pengying] Shandong Univ, Natl Glycoengn Res Ctr, Sch Life Sci, Qingdao 266237, Peoples R China</t>
  </si>
  <si>
    <t>Ministry of Natural Resources of the People's Republic of China; First Institute of Oceanography, Ministry of Natural Resources; Laoshan Laboratory; Shandong University</t>
  </si>
  <si>
    <t>Cong, BL (corresponding author), First Inst Oceanog, Key Lab Marine Ecoenvironm Sci &amp; Technol, Minist Nat Resources, Qingdao 266061, Peoples R China.</t>
  </si>
  <si>
    <t>biolin@fio.org.cn</t>
  </si>
  <si>
    <t>Liu, Shenghao/ISU-3076-2023</t>
  </si>
  <si>
    <t>Liu, Shenghao/0000-0002-1449-3526</t>
  </si>
  <si>
    <t>National Natural Science Foundation of China [41976225]; Natural Science Foundation of Shandong Province [ZR2022MC075]</t>
  </si>
  <si>
    <t>National Natural Science Foundation of China(National Natural Science Foundation of China (NSFC)); Natural Science Foundation of Shandong Province(Natural Science Foundation of Shandong Province)</t>
  </si>
  <si>
    <t>This research was funded by the National Natural Science Foundation of China (41976225), and the Natural Science Foundation of Shandong Province (ZR2022MC075).</t>
  </si>
  <si>
    <t>1661-6596</t>
  </si>
  <si>
    <t>10.3390/ijms232113507</t>
  </si>
  <si>
    <t>6B5ZE</t>
  </si>
  <si>
    <t>WOS:000881410200001</t>
  </si>
  <si>
    <t>Ausuri, J; Dell'Anno, F; Vitale, GA; Esposito, FP; Funari, V; Franci, G; Galdiero, M; Della Sala, G; Tedesco, P; Coppola, D; de Pascale, D</t>
  </si>
  <si>
    <t>Ausuri, Janardan; Dell'Anno, Filippo; Vitale, Giovanni Andrea; Esposito, Fortunato Palma; Funari, Valerio; Franci, Gianluigi; Galdiero, Massimiliano; Della Sala, Gerardo; Tedesco, Pietro; Coppola, Daniela; de Pascale, Donatella</t>
  </si>
  <si>
    <t>Bioremediation of Multiple Heavy Metals Mediated by Antarctic Marine Isolated Dietzia psychralcaliphila JI1D</t>
  </si>
  <si>
    <t>extreme environments; Antarctica; Dietzia psychralcaliphila; bioremediation; heavy metal</t>
  </si>
  <si>
    <t>COPPER RESISTANCE; BACTERIA; GENOME; STRAIN; SOILS; BIOSORPTION; GROWTH; ZINC</t>
  </si>
  <si>
    <t>Extreme environments host numerous microorganisms perfectly adapted to survive in such harsh conditions. In recent years, many bacteria isolated from these inhospitable environments have shown interesting biotechnological applications, including the bioremediation of polluted sites by hydrocarbons and heavy metals. In this work, we present Dietzia psychralcaliphila JI1D, a psychrophilic bacterium, isolated from Deception Island, Antarctica, which is able to resist high concentrations (up to 1000 ppm) of heavy metals and to favor their removal from polluted water systems. In detail, D. psychralcaliphila JI1D can actively promote the sequestration of arsenic, copper, and zinc from the medium up to a maximum of 31.6%, 49.4%, and 38.9%, respectively. Moreover, genome analysis allowed for the identification of heavy metal tolerance genes, thus shedding light on the mechanisms underlying the detoxification ability of the bacterium. Other than the demonstrated ability of D. psychralcaliphila JI1D to degrade polycyclic aromatic hydrocarbons, this study indicates the possibility of using this bacterium in the bioremediation of contaminated matrices, for example, those containing inorganic pollutants.</t>
  </si>
  <si>
    <t>[Ausuri, Janardan; Dell'Anno, Filippo; Vitale, Giovanni Andrea; Esposito, Fortunato Palma; Funari, Valerio; Della Sala, Gerardo; Tedesco, Pietro; Coppola, Daniela; de Pascale, Donatella] Stn Zool Anton Dohrn, Dept Ecosustainable Marine Biotechnol, Via Ammiraglio Ferdinando Acton 55, I-80133 Naples, Italy; [Funari, Valerio] Inst Marine Sci ISMAR, Natl Res Council CNR, Via P Gobetti 101, I-40129 Bologna, Italy; [Franci, Gianluigi] Univ Salerno, Dept Med Surg &amp; Dent Scuola Med Salernitana, I-84081 Baronissi, Italy; [Galdiero, Massimiliano] Univ Campania Luigi Vanvitelli, Dept Expt Med, I-80138 Naples, Italy</t>
  </si>
  <si>
    <t>Stazione Zoologica Anton Dohrn di Napoli; Consiglio Nazionale delle Ricerche (CNR); Istituto di Scienze Marine (ISMAR-CNR); University of Salerno; Universita della Campania Vanvitelli</t>
  </si>
  <si>
    <t>Coppola, D; de Pascale, D (corresponding author), Stn Zool Anton Dohrn, Dept Ecosustainable Marine Biotechnol, Via Ammiraglio Ferdinando Acton 55, I-80133 Naples, Italy.</t>
  </si>
  <si>
    <t>daniela.coppola@szn.it; donatella.depascale@szn.it</t>
  </si>
  <si>
    <t>Coppola, Daniela/ABG-4430-2020; Della Sala, Gerardo/K-1805-2018; Dell'Anno, Filippo/GXH-1188-2022; Franci, Gianluigi/AAC-6841-2022</t>
  </si>
  <si>
    <t>Della Sala, Gerardo/0000-0001-8957-3259; Dell'Anno, Filippo/0000-0001-5889-0278; Palma Esposito, Fortunato/0000-0002-3768-4712; Franci, Gianluigi/0000-0003-3321-4331; Galdiero, Massimiliano/0000-0002-1576-6290; Tedesco, Pietro/0000-0003-0165-5386</t>
  </si>
  <si>
    <t>University of Campania Luigi Vanvitelli</t>
  </si>
  <si>
    <t>The authors thank the University of Campania Luigi Vanvitelli for partial support.</t>
  </si>
  <si>
    <t>10.3390/jmse10111669</t>
  </si>
  <si>
    <t>6E5XM</t>
  </si>
  <si>
    <t>WOS:000883452600001</t>
  </si>
  <si>
    <t>Bakiu, R; Boldrin, F; Pacchini, S; Schumann, S; Piva, E; Tolomeo, AM; Ferro, D; Grapputo, A; Santovito, G; Irato, P</t>
  </si>
  <si>
    <t>Bakiu, Rigers; Boldrin, Francesco; Pacchini, Sara; Schumann, Sophia; Piva, Elisabetta; Tolomeo, Anna Maria; Ferro, Diana; Grapputo, Alessandro; Santovito, Gianfranco; Irato, Paola</t>
  </si>
  <si>
    <t>Molecular Evolution of Metallothioneins of Antarctic Fish: A Physiological Adaptation to Peculiar Seawater Chemical Characteristics</t>
  </si>
  <si>
    <t>adaptation; Antarctica; fish; metallothioneins; negative selection; positive selection; reticulate evolution</t>
  </si>
  <si>
    <t>PHYLOGENETIC ANALYSIS; SUPEROXIDE DISMUTASES; ANTIOXIDANT RESPONSES; SELECTIVE PRESSURE; INDIVIDUAL SITES; GENE DUPLICATION; MARINE ORGANISMS; METAL; TRANSCRIPTION; PHILIPPINARUM</t>
  </si>
  <si>
    <t>Metallothioneins (MTs) are low-molecular weight sulfur-rich proteins, widely distributed in nature. They play a homeostatic role in the control and detoxification of metal ions. Previous studies indicated that MTs also have the capacity to scavenge reactive oxygen species. This study aimed to investigate the evolution of the protein in the notothenioid fish, evolved under the selective pressure of relatively high oxygen partial pressures, characteristics of cold Antarctic seawaters, and relatively high concentrations of metal ions, Cd and Cu in particular. The cDNA sequences of MT isoforms were characterized in members of the Nototheniidae, Bathydraconidae, Artedidraconidae, and Channichthyidae families. The phylogenetic relationships of MTs from these families and other teleosts were inferred by using Maximum Likelihood and Bayesian methods. The analysis of coding region and untranslated (UTR) sequences indicated the presence of two MT clades, each containing one of the two MT isoforms, MT-1 and MT-2. Our results indicated, for the first time for these proteins, that the evolution of MT genes has been characterized by strong purifying selection, whereas it did not observe any evidence of positive selection. In addition, phylogenetic analysis of the UTRs suggested that functional changes, in particular related to the MT-1 gene expression, had accompanied the duplication event.</t>
  </si>
  <si>
    <t>[Bakiu, Rigers] Agr Univ Tirana, Dept Aquaculture &amp; Fisheries, Tirana 1000, Albania; [Boldrin, Francesco; Pacchini, Sara; Schumann, Sophia; Piva, Elisabetta; Grapputo, Alessandro; Santovito, Gianfranco; Irato, Paola] Univ Padua, Dept Biol, I-35122 Padua, Italy; [Tolomeo, Anna Maria] Univ Padua, Dept Cardiac Thorac &amp; Vasc Sci &amp; Publ Hlth, I-35128 Padua, Italy; [Ferro, Diana] Univ Missouri, Dept Pediat, Kansas City, MO 64108 USA</t>
  </si>
  <si>
    <t>Santovito, G (corresponding author), Univ Padua, Dept Biol, I-35122 Padua, Italy.</t>
  </si>
  <si>
    <t>Piva, Elisabetta/JNR-7048-2023; Tolomeo, Anna Maria/AAA-2275-2022; Bakiu, Rigers/AFC-7827-2022; Ferro, Diana/HKM-9570-2023; Pacchini, Sara/JVZ-1594-2024; Santovito, Gianfranco/ABB-9484-2021</t>
  </si>
  <si>
    <t>Piva, Elisabetta/0009-0002-9005-256X; Tolomeo, Anna Maria/0000-0001-5077-0845; Bakiu, Rigers/0000-0002-9613-4606; Ferro, Diana/0000-0003-1774-7509; Pacchini, Sara/0000-0001-5430-2301; Santovito, Gianfranco/0000-0001-8260-7006; Grapputo, Alessandro/0000-0001-9255-4294; Boldrin, Francesco/0000-0002-0234-2587; IRATO, PAOLA/0000-0002-8066-0775; Schumann, Sophia/0000-0001-7468-9013</t>
  </si>
  <si>
    <t>10.3390/jmse10111592</t>
  </si>
  <si>
    <t>6C8EL</t>
  </si>
  <si>
    <t>WOS:000882240100001</t>
  </si>
  <si>
    <t>Trentin, R; Moschin, E; Lopes, AD; Schiaparelli, S; Custódio, L; Moro, I</t>
  </si>
  <si>
    <t>Trentin, Riccardo; Moschin, Emanuela; Lopes, Andre Duarte; Schiaparelli, Stefano; Custodio, Luisa; Moro, Isabella</t>
  </si>
  <si>
    <t>Molecular, Morphological and Chemical Diversity of Two New Species of Antarctic Diatoms, Craspedostauros ineffabilis sp. nov. and Craspedostauros zucchellii sp. nov.</t>
  </si>
  <si>
    <t>Antarctica; biodiversity; Ross Sea; diatoms; Craspedostauros; Craspedostauros ineffabilis sp. nov.; Craspedostauros zucchellii sp. nov.; morphology; molecular phylogeny; chemical diversity</t>
  </si>
  <si>
    <t>EUKARYOTIC DIVERSITY; LARSEMANN HILLS; EJ COX; INFERENCE; MARINE; TREE; METABOLOME; ALIGNMENT; ACCURATE; DATABASE</t>
  </si>
  <si>
    <t>The current study focuses on the biological diversity of two strains of Antarctic diatoms (strains IMA082A and IMA088A) collected and isolated from the Ross Sea (Antarctica) during the XXXIV Italian Antarctic Expedition. Both species presented the typical morphological characters of the genus Craspedostauros: cribrate areolae, two fore-and-aft chloroplasts and a narrow stauros. This classification is congruent with the molecular phylogeny based on the concatenated 18S rDNA-rbcL-psbC alignment, which showed that these algae formed a monophyletic lineage including six taxonomically accepted species of Craspedostauros. Since the study of the evolution of this genus and of others raphe-bearing diatoms with a stauros is particularly challenging and their phylogeny is still debated, we tested alternative tree topologies to evaluate the relationships among these taxa. The metabolic fingerprinting approach was implemented for the assessment of the chemical diversity of IMA082A and IMA088A. In conclusion, combining (1) traditional morphological features used in diatoms identification, (2) phylogenetic analyses of the small subunit rDNA (18S rDNA), rbcL and psbC genes, and (3) metabolic fingerprint, we described the strains IMA082A and IMA088A as Craspedostauros ineffabilis sp. nov. and Craspedostauros zucchellii sp. nov. as new species, respectively.</t>
  </si>
  <si>
    <t>[Trentin, Riccardo; Moschin, Emanuela; Moro, Isabella] Univ Padua, Dept Biol, I-35131 Padua, Italy; [Trentin, Riccardo; Lopes, Andre Duarte; Custodio, Luisa] Univ Algarve, Fac Sci &amp; Technol, Ctr Marine Sci, P-8005139 Faro, Portugal; [Lopes, Andre Duarte] Univ Algarve, Dept Chem &amp; Pharm, Fundacao Para Ciencia &amp; Tecnol, P-8005039 Faro, Portugal; [Schiaparelli, Stefano] Univ Genoa, Dept Earth Environm &amp; Life Sci, I-16132 Genoa, Italy; [Schiaparelli, Stefano] Univ Genoa, Sect Genoa, Italian Natl Antarctic Museum MNA, I-16132 Genoa, Italy</t>
  </si>
  <si>
    <t>University of Padua; Universidade do Algarve; Universidade do Algarve; University of Genoa; University of Genoa</t>
  </si>
  <si>
    <t>Moro, I (corresponding author), Univ Padua, Dept Biol, I-35131 Padua, Italy.;Custódio, L (corresponding author), Univ Algarve, Fac Sci &amp; Technol, Ctr Marine Sci, P-8005139 Faro, Portugal.</t>
  </si>
  <si>
    <t>isabella.moro@unipd.it</t>
  </si>
  <si>
    <t>Custódio, Luisa/M-6101-2013; D. Lopes, Andre/E-2136-2012</t>
  </si>
  <si>
    <t>Custódio, Luisa/0000-0003-4338-7703; D. Lopes, Andre/0000-0002-9702-1216; Schiaparelli, Stefano/0000-0002-0137-3605; MORO, ISABELLA/0000-0002-7850-6031</t>
  </si>
  <si>
    <t>PNRA project [PNRA 16 00120-TNB]; Foundation for Science and Technology (FCT); Portuguese National Budget funding [UIDB/04326/2020]; FCT Scientific Employment Stimulus [CEECIND/00425/2017]</t>
  </si>
  <si>
    <t>PNRA project; Foundation for Science and Technology (FCT)(Fundacao para a Ciencia e a Tecnologia (FCT)); Portuguese National Budget funding; FCT Scientific Employment Stimulus(Fundacao para a Ciencia e a Tecnologia (FCT))</t>
  </si>
  <si>
    <t>This research was funded by the PNRA project PNRA 16 00120-TNB-code: 'Terra Nova Bay barcoding and metabarcoding of Antarctic organisms from marine and limno-terrestrial environments' (PI: S. Schiaparelli). Funding was also provided by Foundation for Science and Technology (FCT), and the Portuguese National Budget funding (UIDB/04326/2020). LC was sustained by FCT Scientific Employment Stimulus (CEECIND/00425/2017).</t>
  </si>
  <si>
    <t>10.3390/jmse10111656</t>
  </si>
  <si>
    <t>6E6AS</t>
  </si>
  <si>
    <t>WOS:000883461000001</t>
  </si>
  <si>
    <t>Altunkaynak, S; Aldanmaz, E; Nyvlt, D</t>
  </si>
  <si>
    <t>Altunkaynak, Safak; Aldanmaz, Ercan; Nyvlt, Daniel</t>
  </si>
  <si>
    <t>Effects of Mantle Hybridization by Interaction with Slab Derived Melts in the Genesis of Alkaline Lavas across the Back-Arc Region of South Shetland Subduction System</t>
  </si>
  <si>
    <t>JOURNAL OF PETROLOGY</t>
  </si>
  <si>
    <t>Antarctic Peninsula; alkali magmatism; radiogenic isotopes; mantle source; petrogenesis</t>
  </si>
  <si>
    <t>JAMES-ROSS-ISLAND; TRACE-ELEMENT; VOLCANIC-ROCKS; EXPERIMENTAL CONSTRAINTS; INTRAPLATE MAGMATISM; ANTARCTIC PENINSULA; ISOTOPE EVIDENCE; 3 GPA; PERIDOTITE; BASALT</t>
  </si>
  <si>
    <t>Late Miocene to Late Pleistocene alkaline lavas in the northernmost part of the Antarctic Peninsula and its off-lying islands are the latest stage of magmatic activity that took place in response to lithospheric extension in the back-arc region of the South Shetland subduction system. The alkaline magmatism occurred much later than the main pulse of Cretaceous arc magmatism and generated basaltic extrusive rocks during several sub-aqueous/sub-glacial and sub-aerial eruption periods. The suite consists primarily of alkali olivine basalts with oceanic island basalt (OIB)-like trace element signatures, characterized by elevated highly to less incompatible element ratios compared to MORB. The samples have higher Sr-87/Sr-86 (0.70301-0.70365), and lower Nd-143/Nd-144 (0.51283-0.51294) and Hf-176/Hf-177 (0.28291-0.28298) than depleted MORB mantle. Their lead isotope ratios vary within a limited range with Pb-206/Pb-204, Pb-207/Pb-204, Pb-208/Pb-204 ratios of 18.797-18.953, 15.577-15.634, and 38.414-38.701, respectively. Sr, Nd, Hf and Pb isotope systematics suggest involvement of diverse source materials in the genesis of the alkaline magmas. Evaluation of radiogenic isotope and trace element data indicates that the source of the alkaline melts had a complex petrogenetic history, reflecting the effects of mantle hybridization along the slab mantle interface through interaction of mantle wedge peridotites with volatile-bearing, siliceous melts produced by melting of subducted sediments and basaltic oceanic crust. Hf-Nd isotope and trace element projections further demonstrate that the metasomatizing melt was likely generated by eclogite partial melting at sub-arc to post-arc depths, in equilibrium with a garnet-bearing residue and involved breakdown of high field strength elements (HFSE) retaining phases. Consumption of metasomatic amphibole during partial melting of hybridized peridotite at the wet solidus appears to have had a significant effect on the final melt compositions with high HFSE, Na and H2O contents.</t>
  </si>
  <si>
    <t>[Altunkaynak, Safak] Istanbul Tech Univ, Dept Geol Engn, TR-34469 Istanbul, Turkey; [Aldanmaz, Ercan] Kocaeli Univ, Dept Geol, TR-41380 Izmit, Turkey; [Nyvlt, Daniel] Masaryk Univ, Fac Sci, Dept Geog, Kotlarska 2, Brno 61137, Czech Republic; [Nyvlt, Daniel] Czech Geol Survey, Brno Branch, Leitnerova 22, Brno 65869, Czech Republic</t>
  </si>
  <si>
    <t>Istanbul Technical University; Kocaeli University; Ministry of Energy &amp; Natural Resources - Turkey; Masaryk University Brno; Czech Geological Survey</t>
  </si>
  <si>
    <t>Altunkaynak, S (corresponding author), Istanbul Tech Univ, Dept Geol Engn, TR-34469 Istanbul, Turkey.</t>
  </si>
  <si>
    <t>safak@itu.edu.tr</t>
  </si>
  <si>
    <t>Altunkaynak, Şafak/O-2073-2013; Aldanmaz, Ercan/F-5864-2011; Nyvlt, Daniel/D-5708-2011</t>
  </si>
  <si>
    <t>Altunkaynak, Şafak/0000-0002-5652-4802; Aldanmaz, Ercan/0000-0003-2023-9556; Nyvlt, Daniel/0000-0002-6876-490X</t>
  </si>
  <si>
    <t>Turkish Antarctic Expedition (TAE-II) program [90220]; TAE-II, Turkey Czech Republic Bilateral Cooperation [90220]</t>
  </si>
  <si>
    <t>Turkish Antarctic Expedition (TAE-II) program; TAE-II, Turkey Czech Republic Bilateral Cooperation</t>
  </si>
  <si>
    <t>This study was supported by the Turkish Antarctic Expedition (TAE-II) program organized by the Ministry of Science, Industry and Technology (Turkiye) (grant 90220), and coordinated by Istanbul Technical University (ITU) Polar Research Center (PolReC). Fieldstudy was under taken within thes cope of TAE-II, Turkey Czech Republic Bilateral Cooperation (grant 90220).</t>
  </si>
  <si>
    <t>0022-3530</t>
  </si>
  <si>
    <t>1460-2415</t>
  </si>
  <si>
    <t>J PETROL</t>
  </si>
  <si>
    <t>J. Petrol.</t>
  </si>
  <si>
    <t>egac111</t>
  </si>
  <si>
    <t>10.1093/petrology/egac111</t>
  </si>
  <si>
    <t>6C5OT</t>
  </si>
  <si>
    <t>WOS:000882064100002</t>
  </si>
  <si>
    <t>Cui, LL; He, MR; Zou, ZB; Yao, CL; Wang, SP; An, JC; Wang, XL</t>
  </si>
  <si>
    <t>Cui, Lilu; He, Mingrui; Zou, Zhengbo; Yao, Chaolong; Wang, Shengping; An, Jiachun; Wang, Xiaolong</t>
  </si>
  <si>
    <t>The Influence of Climate Change on Droughts and Floods in the Yangtze River Basin from 2003 to 2020</t>
  </si>
  <si>
    <t>hydrological disaster; YRB; GRACE; GRACE-FO; ENSO; IOD</t>
  </si>
  <si>
    <t>WATER STORAGE ANOMALIES; INDIAN-OCEAN DIPOLE; GRACE; ENSO; EVENTS; CHINA; VARIABILITY; EVAPORATION; STREAMFLOW</t>
  </si>
  <si>
    <t>In recent decades, extreme floods and droughts have occurred frequently around the world, which seriously threatens the social and economic development and the safety of people's lives and properties. Therefore, it is of great scientific significance to discuss the causes and characteristic quantization of extreme floods and droughts. Here, the terrestrial water storage change (TWSC) derived from the Gravity Recovery and Climate Experiment (GRACE) and its Follow-On (GRACE-FO) data was used to characterize the floods and droughts in the Yangtze River basin (YRB) during 2003 and 2020. To reduce the uncertainty of TWSC results, the generalized three-cornered hat and least square methods were used to fuse TWSC results from six GRACE solutions. Then combining precipitation (PPT), evapotranspiration, soil moisture (SM), runoff, and extreme climate index data, the influence of climate change on floods and droughts in the YRB was discussed and analyzed. The results show that the fused method can effectively improve the uncertainty of TWSC results. And seven droughts and seven floods occurred in the upper of YRB (UY) and nine droughts and six floods appeared in the middle and lower of YRB (MLY) during the study period. The correlation between TWSC and PPT (0.33) is the strongest in the UY, and the response time between the two is 1 month, while TWSC and SM (0.67) are strongly correlated with no delay in the MLY. The reason for this difference is mainly due to the large-scale hydropower development in the UY. Floods and droughts in the UY and MLY are more influenced by the El Nino-Southern Oscillation (ENSO) (correlation coefficients are 0.39 and 0.50, respectively) than the Indian Ocean Dipole (IOD) (correlation coefficients are 0.19 and 0.09, respectively). The IOD event is usually accompanied by the ENSO event (the probability is 80%), and the hydrological hazards caused by independent ENSO events are less severe than those caused by these two extreme climate events in the YRB. Our results provide a reference for the study on the formation, development, and recovery mechanism of regional floods and droughts on a global scale.</t>
  </si>
  <si>
    <t>[Cui, Lilu; He, Mingrui] Chengdu Univ, Sch Architecture &amp; Civil Engn, Chengdu 610106, Peoples R China; [Zou, Zhengbo] China Earthquake Adm, Inst Seismol, Key Lab Earthquake Geodesy, Wuhan 430071, Peoples R China; [Zou, Zhengbo] Natl Observat &amp; Res Stn, Gavitat &amp; Earth Tide, Wuhan 430071, Peoples R China; [Zou, Zhengbo] Inst Disaster Prevent, Sanhe 065201, Peoples R China; [Yao, Chaolong] South China Agr Univ, Coll Nat Resources &amp; Environm, Guangzhou 510642, Peoples R China; [Wang, Shengping] East China Univ Technol, Coll Geomat, Nanchang 330013, Jiangxi, Peoples R China; [Wang, Shengping] Minist Nat Resources, Key Lab Marine Environm Explorat Technol &amp; Applic, Guangzhou 510030, Peoples R China; [An, Jiachun] Wuhan Univ, Chinese Antarctic Ctr Surveying &amp; Mapping, Wuhan 430079, Peoples R China; [Wang, Xiaolong] Nanning Survey &amp; Design Inst Grp Co Ltd, Nanning 530022, Peoples R China</t>
  </si>
  <si>
    <t>Chengdu University; China Earthquake Administration; China Earthquake Administration; Institute of Disaster Prevention, CEA; South China Agricultural University; East China University of Technology; Ministry of Natural Resources of the People's Republic of China; Wuhan University</t>
  </si>
  <si>
    <t>Zou, ZB (corresponding author), China Earthquake Adm, Inst Seismol, Key Lab Earthquake Geodesy, Wuhan 430071, Peoples R China.;Zou, ZB (corresponding author), Natl Observat &amp; Res Stn, Gavitat &amp; Earth Tide, Wuhan 430071, Peoples R China.;Zou, ZB (corresponding author), Inst Disaster Prevent, Sanhe 065201, Peoples R China.;Wang, SP (corresponding author), East China Univ Technol, Coll Geomat, Nanchang 330013, Jiangxi, Peoples R China.;Wang, SP (corresponding author), Minist Nat Resources, Key Lab Marine Environm Explorat Technol &amp; Applic, Guangzhou 510030, Peoples R China.</t>
  </si>
  <si>
    <t>zzb@eqhb.gov.cn; shpwang@ecut.edu.cn</t>
  </si>
  <si>
    <t>cui, lilu/IXL-0105-2023; Wang, Shengping/B-2084-2013</t>
  </si>
  <si>
    <t>Wang, Shengping/0000-0003-3064-9348; cui, lilu/0000-0002-7694-2972; An, Jiachun/0000-0002-3106-0714</t>
  </si>
  <si>
    <t>Open Fund of Wuhan, Gravitation and Solid Earth Tides, National Observation and Research Station [WHYWZ202102]; National Natural Science Foundation of China [42074172, 41931074, 42004013]; Science for Earthquake Resilience [XH21021]; Max-Planck-Society; Chinese Academy of Sciences within the LEGACY (Low-Frequency Gravitational Wave Astronomy in Space) [M.IF.A.QOP18098]; Jiangxi Science and Technology Plan Project [20212BBE53031]; Open Fund of the Key Laboratory of Marine Environmental Survey Technology and Application, Ministry of Natural Resources [MESTA-2020-A002]; Guangdong Basic and Applied Basic Research Foundation [2022A1515010469]; Guangzhou Science and Technology Project [202102020526]</t>
  </si>
  <si>
    <t>Open Fund of Wuhan, Gravitation and Solid Earth Tides, National Observation and Research Station; National Natural Science Foundation of China(National Natural Science Foundation of China (NSFC)); Science for Earthquake Resilience; Max-Planck-Society(Max Planck SocietyFoundation CELLEX); Chinese Academy of Sciences within the LEGACY (Low-Frequency Gravitational Wave Astronomy in Space); Jiangxi Science and Technology Plan Project; Open Fund of the Key Laboratory of Marine Environmental Survey Technology and Application, Ministry of Natural Resources; Guangdong Basic and Applied Basic Research Foundation; Guangzhou Science and Technology Project</t>
  </si>
  <si>
    <t>This research was funded by the Open Fund of Wuhan, Gravitation and Solid Earth Tides, National Observation and Research Station (WHYWZ202102), the National Natural Science Foundation of China (42074172, 41931074, 42004013), Science for Earthquake Resilience (XH21021), Max-Planck-Society and the Chinese Academy of Sciences within the LEGACY (Low-Frequency Gravitational Wave Astronomy in Space) collaboration (M.IF.A.QOP18098), Jiangxi Science and Technology Plan Project (20212BBE53031), Open Fund of the Key Laboratory of Marine Environmental Survey Technology and Application, Ministry of Natural Resources (MESTA-2020-A002), Guangdong Basic and Applied Basic Research Foundation (2022A1515010469), Guangzhou Science and Technology Project (202102020526).</t>
  </si>
  <si>
    <t>10.3390/s22218178</t>
  </si>
  <si>
    <t>6E8HN</t>
  </si>
  <si>
    <t>WOS:000883615100001</t>
  </si>
  <si>
    <t>Morozov, EG; Zuev, OA; Frey, DI; Krechik, VA</t>
  </si>
  <si>
    <t>Morozov, Eugene G.; Zuev, Oleg A.; Frey, Dmitry I.; Krechik, Viktor A.</t>
  </si>
  <si>
    <t>Antarctic Bottom Water Jets Flowing from the Vema Channel</t>
  </si>
  <si>
    <t>Antarctic Bottom Water; Vema Channel; CTD; LADCP measurements; three jets of bottom current</t>
  </si>
  <si>
    <t>BOUNDARY; ABYSSAL; CIRCULATION</t>
  </si>
  <si>
    <t>Properties of the abyssal current of Antarctic Bottom Water (AABW) from the Vema Channel are studied based on temperature, salinity, and velocity profiler (CTD/LADCP) data. Previous studies over a period of almost 30 years revealed that very intense current of AABW exists in the Vema Channel. Later, it was found that this current consists of two branches. One branch spreads over the bottom of the channel; the other branch is elevated over the western wall of the channel. The deepest branch decays after it passes approximately 100 km while the upper one continues further to the North Atlantic and is the source of abyssal waters in the Canary and Cabo Verde basins of the North Atlantic. Data analysis suggested that the upper jet splits into two. One of these descends down a canyon at 24 degrees 30 ' S, while the other (the third one) remains on the continental slope, and indications of its existence are also found at 24 degrees 00 ' S. This research analyzes the existence and pathway of this third branch that can be traced up to latitude 24 degrees S. Velocity measurements in 2022 allowed us to confirm the existence of this third branch.</t>
  </si>
  <si>
    <t>[Morozov, Eugene G.; Zuev, Oleg A.; Frey, Dmitry I.; Krechik, Viktor A.] Shirshov Inst Oceanol, Nakhimovsky Prospect 36, Moscow 117997, Russia</t>
  </si>
  <si>
    <t>Morozov, EG (corresponding author), Shirshov Inst Oceanol, Nakhimovsky Prospect 36, Moscow 117997, Russia.</t>
  </si>
  <si>
    <t>egmorozov@mail.ru</t>
  </si>
  <si>
    <t>Morozov, Eugene G/L-3023-2018; Zuev, Oleg/ISA-8095-2023; Krechik, Viktor/J-9941-2016</t>
  </si>
  <si>
    <t>Zuev, Oleg/0000-0001-6856-4783; Morozov, Eugene/0000-0002-0251-3454; Krechik, Viktor/0000-0001-6440-060X; Frey, Dmitry/0000-0001-8141-9513</t>
  </si>
  <si>
    <t>Russian Science Foundation [21-77-20004]</t>
  </si>
  <si>
    <t>The work was supported by the Russian Science Foundation grant 21-77-20004.</t>
  </si>
  <si>
    <t>10.3390/w14213438</t>
  </si>
  <si>
    <t>6D4LR</t>
  </si>
  <si>
    <t>WOS:000882664800001</t>
  </si>
  <si>
    <t>Di Battista, V; Rowe, RK; McWatters, RS</t>
  </si>
  <si>
    <t>Di Battista, V.; Rowe, R. K.; McWatters, R. S.</t>
  </si>
  <si>
    <t>Field and laboratory investigation of factors affecting GCL performance in the Antarctic environment</t>
  </si>
  <si>
    <t>CANADIAN GEOTECHNICAL JOURNAL</t>
  </si>
  <si>
    <t>geosynthetic clay liner; hydration; cold region engineering; field case; geoenvironmental</t>
  </si>
  <si>
    <t>GEOSYNTHETIC CLAY LINERS; HYDRAULIC CONDUCTIVITY; SOIL; HYDRATION</t>
  </si>
  <si>
    <t>Performance indicators of geosynthetic clay liners (GCLs) exposed to the Antarctic environment were assessed using field and laboratory methods. Barrier properties of the GCLs were not impacted by the field conditions and exhumed hydraulic conductivities with respect to tap water ranged from 0.4 x 10-11 to 12 x 10-11 m/s, compared to 5 x 10-11 m/s (virgin) and from 2.1 x 10-11 to 8.8 x 10-11 m/s for a synthetic leachate, compared to 2.5 x 10-11 to 7.6 x 10-11 m/s for virgin specimens. The self-healing ability of bentonite remained intact despite environmental exposure as evidenced by X-ray radiographs. Using a test plot to evaluate GCL hydration with the major determinant of hydration was identified as proximity to meltwater flow. However, a finer subgrade (D60 = 5-7 mm) increased average and peak GCL moisture contents in areas not inundated with meltwater and resulted in less deformation than a coarse subgrade (D60 &gt; 16 mm). Additionally, X-ray radiographs showed increased self-healing in monitoring specimens overlying fine subgrades. Environmental exposure (e.g., temperature cycling and dehydration/rehydration) did not affect the hydraulic conductivity of test plot specimens (1.1 x 10-11 to 8.5 x 10-11 m/s) compared to the virgin GCL (6.7 x 10-11 m/s) with respect to tap water, and minimal cation exchange had occurred.</t>
  </si>
  <si>
    <t>[Di Battista, V.; Rowe, R. K.] Queens Univ, Geoengn Ctr Queens RMC, Kingston, ON K7L 3N6, Canada; [McWatters, R. S.] Australian Antarctic Div, Kingston, Tas 7050, Australia</t>
  </si>
  <si>
    <t>Queens University - Canada; Royal Military College - Canada; Australian Antarctic Division</t>
  </si>
  <si>
    <t>Di Battista, V (corresponding author), Queens Univ, Geoengn Ctr Queens RMC, Kingston, ON K7L 3N6, Canada.</t>
  </si>
  <si>
    <t>vanessa.di.battista@usherbrooke.ca</t>
  </si>
  <si>
    <t>DiBattista, Vanessa/0000-0001-5870-3890</t>
  </si>
  <si>
    <t>Australian Antarctic Science Grant - Remediation of Petroleum Hydrocarbons in the Antarctic and Sub-Antarctic [4036]; Natural Sciences and Engineering Research Council of Canada (NSERC) grant [A1007]</t>
  </si>
  <si>
    <t>Australian Antarctic Science Grant - Remediation of Petroleum Hydrocarbons in the Antarctic and Sub-Antarctic; Natural Sciences and Engineering Research Council of Canada (NSERC) grant(Natural Sciences and Engineering Research Council of Canada (NSERC))</t>
  </si>
  <si>
    <t>This research project was funded by the Australian Antarctic Science Grant #4036 - Remediation of Petroleum Hydrocarbons in the Antarctic and Sub-Antarctic and the Natural Sciences and Engineering Research Council of Canada (NSERC) grant (A1007) to R.K. Rowe. Special thanks to L. Fletcher and the Polar Medicine Unit (Australian Antarctic Division) for access to and operation of the medical X-ray at Casey Station; T. Spedding, D. Wilkins, and the Human Impacts and Remediation team (Australian Antarctic Division) for field support; and S. Prunster, J. Bennett, and N. Martinez Noboa (Queen's University) for laboratory support.</t>
  </si>
  <si>
    <t>0008-3674</t>
  </si>
  <si>
    <t>1208-6010</t>
  </si>
  <si>
    <t>CAN GEOTECH J</t>
  </si>
  <si>
    <t>Can. Geotech. J.</t>
  </si>
  <si>
    <t>10.1139/cgj-2021-0552</t>
  </si>
  <si>
    <t>Engineering, Geological; Geosciences, Multidisciplinary</t>
  </si>
  <si>
    <t>Engineering; Geology</t>
  </si>
  <si>
    <t>5Z7HC</t>
  </si>
  <si>
    <t>WOS:000880138900002</t>
  </si>
  <si>
    <t>Caroppo, C; Azzaro, M; Dell'Acqua, O; Azzaro, F; Maimone, G; Rappazzo, AC; Raffa, F; Caruso, G</t>
  </si>
  <si>
    <t>Caroppo, Carmela; Azzaro, Maurizio; Dell'Acqua, Ombretta; Azzaro, Filippo; Maimone, Giovanna; Rappazzo, Alessandro Ciro; Raffa, Francesco; Caruso, Gabriella</t>
  </si>
  <si>
    <t>Microbial Biofilms Colonizing Plastic Substrates in the Ross Sea (Antarctica)</t>
  </si>
  <si>
    <t>marine colonization; plastisphere; polyvinyl chloride; polyethylene; prokaryotes; microalgae; abundance; metabolism; microbial response; stressors</t>
  </si>
  <si>
    <t>COMMUNITY STRUCTURE; MARINE BIOFILMS; SEQUENCE-ANALYSIS; ROCKY SHORES; COLONIZATION; SURFACES; DIATOMS; OCEAN; SUCCESSION; TEMPERATE</t>
  </si>
  <si>
    <t>Very few studies have investigated marine microbial colonization in polar regions, but climate-changing scenarios stress the importance of these investigations to protect life in such extremely vulnerable ecosystems. In two different coastal sites of the Ross Sea (Road and Tethys Bays, Antarctica) exposed to different stressors, the microbial biofilm colonizing the surface of plastic (polyvinyl chloride, PVC, and polyethylene, PE) panels left submerged in two experiments at different timescales (short-term: 3 months, and long-term: 9 and 12 months) was studied. The abundance and metabolic enzymatic activities [leucine aminopeptidase (LAP), beta-glucosidase (GLU) and alkaline phosphatase (AP)] of the prokaryotes and the microalgal abundance and species composition were analyzed, in parallel with the main environmental parameters. The prokaryotic community showed higher abundance and metabolic activities on PVC than on PE as opposed to microalgae. A peak in the microfouling prokaryotic abundance and metabolic functions was frequently recorded after 3 months of immersion, corresponding to the late austral summer period. LAP and AP were the most active enzymes, suggesting that microbial metabolic profiles were modulated by labile organic substrates. Our results suggest that the composition and function of microbial biofilm could be considered as sentinels of natural or anthropic-related disturbances.</t>
  </si>
  <si>
    <t>[Caroppo, Carmela] Natl Res Council CNR IRSA, Water Res Inst, Via Roma 3, I-74121 Taranto, Italy; [Azzaro, Maurizio; Azzaro, Filippo; Maimone, Giovanna; Rappazzo, Alessandro Ciro; Caruso, Gabriella] Natl Res Council CNR ISP, Inst Polar Sci, Spianata S Raineri 86, I-98122 Messina, Italy; [Dell'Acqua, Ombretta] Univ Genoa DISTAV, Dept Earth Environm &amp; Life Sci, Corso Europa 26, I-16132 Genoa, Italy; [Rappazzo, Alessandro Ciro] Univ Venice Ca Foscari, Dept Environm Sci Informat &amp; Stat, Dorsoduro 3246, I-30123 Venice, Italy; [Raffa, Francesco] Natl Res Council CNR IGG, Inst Geosci &amp; Georesources, Via G Moruzzi 1, I-56124 Pisa, Italy</t>
  </si>
  <si>
    <t>Consiglio Nazionale delle Ricerche (CNR); Istituto di Ricerca sulle Acque (IRSA-CNR); Consiglio Nazionale delle Ricerche (CNR); Istituto di Scienze Polari (ISP-CNR); Universita Ca Foscari Venezia; Consiglio Nazionale delle Ricerche (CNR); Istituto di Geoscienze e Georisorse (IGG-CNR)</t>
  </si>
  <si>
    <t>Caroppo, C (corresponding author), Natl Res Council CNR IRSA, Water Res Inst, Via Roma 3, I-74121 Taranto, Italy.;Caruso, G (corresponding author), Natl Res Council CNR ISP, Inst Polar Sci, Spianata S Raineri 86, I-98122 Messina, Italy.</t>
  </si>
  <si>
    <t>carmela.caroppo@cnr.it; gabriella.caruso@cnr.it</t>
  </si>
  <si>
    <t>Caruso, Gabriella/F-5450-2013; Raffa, Francesco/C-9576-2016; azzaro, Maurizio/AAE-6784-2019</t>
  </si>
  <si>
    <t>Caruso, Gabriella/0000-0002-3819-5486; Raffa, Francesco/0000-0002-0990-8846; azzaro, Maurizio/0000-0001-7885-2340; CAROPPO, CARMELA/0000-0002-8316-4195; Caroppo, Carmela/0000-0002-0572-1048</t>
  </si>
  <si>
    <t>Italian Ministry of University and Research (MIUR) within the framework of the National Antarctic Research Programme (PNRA) [PNRA16_00105]</t>
  </si>
  <si>
    <t>Italian Ministry of University and Research (MIUR) within the framework of the National Antarctic Research Programme (PNRA)</t>
  </si>
  <si>
    <t>This research was funded by the Italian Ministry of University and Research (MIUR) within the framework of the National Antarctic Research Programme (PNRA), grant number PNRA16_00105 Microbial colonization of Antarctic benthic environments: response of microbial abundance, diversity, activities and larval settlement to natural and anthropogenic disturbances and search for secondary metabolites (ANT-Biofilm).</t>
  </si>
  <si>
    <t>10.3390/jmse10111714</t>
  </si>
  <si>
    <t>6E8EI</t>
  </si>
  <si>
    <t>WOS:000883606800001</t>
  </si>
  <si>
    <t>Kasyan, VV; Bitiutskii, DG; Mishin, AV; Zuev, OA; Murzina, SA; Sapozhnikov, PV; Kalinina, OY; Syomin, VL; Kolbasova, GD; Voronin, VP; Chudinovskikh, ES; Orlov, AM</t>
  </si>
  <si>
    <t>Kasyan, Valentina V.; Bitiutskii, Dmitrii G.; Mishin, Aleksej, V; Zuev, Oleg A.; Murzina, Svetlana A.; Sapozhnikov, Philipp, V; Kalinina, Olga Yu; Syomin, Vitaly L.; Kolbasova, Glafira D.; Voronin, Viktor P.; Chudinovskikh, Elena S.; Orlov, Alexei M.</t>
  </si>
  <si>
    <t>Composition and Distribution of Plankton Communities in the Atlantic Sector of the Southern Ocean</t>
  </si>
  <si>
    <t>thermohaline structure; phytoplankton; macro- and mesozooplankton; ichthyoplankton; abundance; biomass; distribution; Southern Ocean</t>
  </si>
  <si>
    <t>KRILL EUPHAUSIA-SUPERBA; NATURAL GROWTH-RATES; MIDWATER FOOD-WEB; ANTARCTIC KRILL; BRANSFIELD STRAIT; SCOTIA SEA; WEDDELL SEA; SPATIAL-DISTRIBUTION; SHETLAND ISLANDS; FISH ASSEMBLAGES</t>
  </si>
  <si>
    <t>In recent decades, the waters off the Antarctic Peninsula and surrounding region have undergone a significant transformation due to global climate change affecting the structure and distribution of pelagic fauna. Here, we present the results of our study on the taxonomic composition and quantitative distribution of plankton communities in Bransfield Strait, Antarctic Sound, the Powell Basin of the Weddell Sea, and the waters off the Antarctic Peninsula and South Orkney Islands during the austral summer of 2022. A slight warming of the Transitional Zonal Water with Weddell Sea influence (TWW) and an increase in its distribution area was detected. Among the pelagic communities, three groups were found to be the most abundant: copepods Calanoides acutus, Metridia gerlachei, and Oithona spp., salpa Salpa thompsoni, and Antarctic krill Euphausia superba. Euphausiids were found in cases of low abundance, species diversity, and biomass. In the studied region, an increase in the amount of the salpa S. thompsoni and the euphausiid Thysanoessa macrura and the expansion of their distribution area were observed. Significant structural shifts in phytoplankton communities manifested themselves in changes in the structure of the Antarctic krill forage base. The composition and distribution of pelagic fauna is affected by a combination of environmental abiotic factors, of which water temperature is the main one. The obtained results have allowed us to assume that a further increase in ocean temperature may lead to a reduction in the number and size of the Antarctic krill population and its successive replacement by salps and other euphausiids that are more resistant to temperature fluctuations and water desalination.</t>
  </si>
  <si>
    <t>[Kasyan, Valentina V.] Russian Acad Sci NSCMB FEB RAS, AV Zhirmunsky Natl Sci Ctr Marine Biol, Far Eastern Branch, Lab Systemat &amp; Morphol, Vladivostok 690041, Russia; [Bitiutskii, Dmitrii G.; Chudinovskikh, Elena S.] Russian Fed Res Inst Fisheries &amp; Oceanog AzNIIRKH, Sect World Ocean, Azov Black Sea Branch, Rostov Na Donu 344002, Russia; [Bitiutskii, Dmitrii G.; Murzina, Svetlana A.; Voronin, Viktor P.] Russian Acad Sci IB KarRC RAS, Environm Biochem Lab, Inst Biol, Karelian Res Ctr, Petrozavodsk 185910, Russia; [Mishin, Aleksej, V; Zuev, Oleg A.; Sapozhnikov, Philipp, V; Kalinina, Olga Yu; Syomin, Vitaly L.; Orlov, Alexei M.] Russian Acad Sci IO RAS, Shirshov Inst Oceanol, Moscow 117997, Russia; [Kolbasova, Glafira D.] MV Lomonosov Moscow State Univ WSBS MSU, Fac Biol, NA Pertsov White Sea Biol Stn, Moscow 119234, Russia; [Orlov, Alexei M.] Russian Acad Sci IPEE RAS, AN Severtsov Inst Ecol &amp; Evolut, Lab Behav Lower Vertebrates, Moscow 119071, Russia; [Orlov, Alexei M.] Tomsk State Univ TSU, Biol Inst, Dept Ichthyol &amp; Hydrobiol, Tomsk 634050, Russia</t>
  </si>
  <si>
    <t>Russian Academy of Sciences; National Scientific Center of Marine Biology, Far East Branch of the Russian Academy of Sciences; Russian Academy of Sciences; Karelian Research Centre of the Russian Academy of Sciences; Institute of Biology of Karelian Research Centre RAS; Russian Academy of Sciences; Shirshov Institute of Oceanology; Russian Academy of Sciences; Saratov Scientific Center of the Russian Academy of Sciences; Severtsov Institute of Ecology &amp; Evolution; Tomsk State University</t>
  </si>
  <si>
    <t>Kasyan, VV (corresponding author), Russian Acad Sci NSCMB FEB RAS, AV Zhirmunsky Natl Sci Ctr Marine Biol, Far Eastern Branch, Lab Systemat &amp; Morphol, Vladivostok 690041, Russia.</t>
  </si>
  <si>
    <t>valentina-k@yandex.ru</t>
  </si>
  <si>
    <t>Bitiutskii, Dmitrii/GRS-3239-2022; Chudinovskikh, Elena/HQZ-6164-2023; Kolbasova, Glafira D./N-3824-2016; Orlov, Alexei M./E-2036-2012; Kalinina, Olga Yu/G-2512-2019; Kasyan, Valentina/E-6024-2016; Murzina, Svetlana/A-7624-2014</t>
  </si>
  <si>
    <t>Bitiutskii, Dmitrii/0000-0002-8396-9620; Orlov, Alexei M./0000-0002-0877-2553; Kasyan, Valentina/0000-0002-2745-3961; Zuev, Oleg/0000-0001-6856-4783; Murzina, Svetlana/0000-0002-9705-2741; Voronin, Viktor/0000-0002-4265-8850</t>
  </si>
  <si>
    <t>Ministry of Science and Higher Education of the Russian Federation [FMWE-2022-0001]; NSCMB FEB RAS [1220720000679]; IBSS RAS [121090800137-6]; KarRC RAS [FMEN-2022-0006]; Russian Science Foundation [22-77-10004]</t>
  </si>
  <si>
    <t>Ministry of Science and Higher Education of the Russian Federation; NSCMB FEB RAS; IBSS RAS; KarRC RAS; Russian Science Foundation(Russian Science Foundation (RSF))</t>
  </si>
  <si>
    <t>This research was funded by State Task FMWE-2022-0001 by the Ministry of Science and Higher Education of the Russian Federation and the State Task for NSCMB FEB RAS no. 1220720000679, for IBSS RAS no. 121090800137-6, for KarRC RAS FMEN-2022-0006 and by the Russian Science Foundation grant no. 22-77-10004 (CTD data analysis).</t>
  </si>
  <si>
    <t>10.3390/d14110923</t>
  </si>
  <si>
    <t>6A8FT</t>
  </si>
  <si>
    <t>WOS:000880885200001</t>
  </si>
  <si>
    <t>Li, GM; Li, W; Dou, YK; Wei, YG</t>
  </si>
  <si>
    <t>Li, Guomin; Li, Wei; Dou, Yinke; Wei, Yigang</t>
  </si>
  <si>
    <t>Antarctic Shipborne Tourism: Carbon Emission and Mitigation Path</t>
  </si>
  <si>
    <t>ENERGIES</t>
  </si>
  <si>
    <t>shipborne tourism; energy consumption; carbon mitigation; energy efficiency; Antarctic</t>
  </si>
  <si>
    <t>CLIMATE-CHANGE; FUEL CONSUMPTION</t>
  </si>
  <si>
    <t>The rapidly increasing concentrations of carbon dioxide lead to a threat of global climate change. As one of the major sources of carbon emissions in the Antarctic region, shipborne tourism in the Antarctic is expanding rapidly. Consequently, the carbon emissions of shipborne tourism in Antarctica are rapidly increasing. However, there is not enough attention being paid to this issue. In this paper, a calculation model was established to calculate the carbon emissions of cruise ships from the 2003/04 season to the 2016/17 season. The evolution of the carbon emissions from Antarctic cruise ships was described. An aggregate energy efficiency index was developed to evaluate the energy efficiency performance of Antarctic vessels. The key drivers were analyzed to find the paths of carbon reduction. The results show that: (1) The emissions per passenger-trip did not show a downward trend. The total carbon emissions increased continuously with the increasing number of tourists. The total carbon emissions in the 2016/17 season was double that in the 2003/04 season. (2) The aggregate energy efficiency index of Antarctic tour vessels has not reached an advanced level yet. It is the main reason for the high value of emissions per passenger-trip. (3) Due to the oversupply of Antarctica tour ships, there is a low rate of occupancy, which accounts for the decline in aggregate energy efficiency from the 2014/15 season to the 2016/17 season. This study suggests that the administrators of Antarctica should strengthen supervision of the tourism market, control the rapid growth in the number of cruise ships, improve the aggregate energy efficiency of cruise ships and form an efficient and green Antarctic tourism management system.</t>
  </si>
  <si>
    <t>[Li, Guomin; Li, Wei] Taiyuan Univ Technol, Sch Econ &amp; Management, Taiyuan 030024, Shanxi, Peoples R China; [Dou, Yinke] Taiyuan Univ Technol, Coll Elect &amp; Power Engn, Polar Clean Energy Lab, Taiyuan 030024, Shanxi, Peoples R China; [Wei, Yigang] Beihang Univ, Sch Econ &amp; Management, Beijing 100190, Peoples R China; [Wei, Yigang] Beihang Univ, Key Lab Complex Syst Anal Management &amp; Decis, Minist Educ, Beijing 100191, Peoples R China</t>
  </si>
  <si>
    <t>Taiyuan University of Technology; Taiyuan University of Technology; Beihang University; Beihang University</t>
  </si>
  <si>
    <t>Li, GM (corresponding author), Taiyuan Univ Technol, Sch Econ &amp; Management, Taiyuan 030024, Shanxi, Peoples R China.;Wei, YG (corresponding author), Beihang Univ, Sch Econ &amp; Management, Beijing 100190, Peoples R China.;Wei, YG (corresponding author), Beihang Univ, Key Lab Complex Syst Anal Management &amp; Decis, Minist Educ, Beijing 100191, Peoples R China.</t>
  </si>
  <si>
    <t>liguomin@tyut.edu.cn; xiaobei_915@163.com</t>
  </si>
  <si>
    <t>WEI, YIGANG/U-2900-2017</t>
  </si>
  <si>
    <t>National Natural Science Foundation of China [72104172, 72174137, 72004155, 41776199]</t>
  </si>
  <si>
    <t>This research was funded by the National Natural Science Foundation of China (Grant Nos. 72104172, 72174137, 72004155, 41776199).</t>
  </si>
  <si>
    <t>1996-1073</t>
  </si>
  <si>
    <t>Energies</t>
  </si>
  <si>
    <t>10.3390/en15217837</t>
  </si>
  <si>
    <t>Energy &amp; Fuels</t>
  </si>
  <si>
    <t>6B1HQ</t>
  </si>
  <si>
    <t>WOS:000881093500001</t>
  </si>
  <si>
    <t>Pang, CY; Nikurashin, M; Pena-Molino, B; Sloyan, BM</t>
  </si>
  <si>
    <t>Pang, Chengyuan; Nikurashin, Maxim; Pena-Molino, Beatriz; Sloyan, Bernadette M.</t>
  </si>
  <si>
    <t>Remote energy sources for mixing in the Indonesian Seas</t>
  </si>
  <si>
    <t>WESTERN BOUNDARY; INDIAN-OCEAN; THROUGHFLOW; MODEL; TRANSPORT; EXCHANGE; CLIMATE; TIDES</t>
  </si>
  <si>
    <t>In addition to locally generated tidal mixing, remotely generated planetary (Kelvin and Rossby) waves and eddies are found to supply energy into the Indonesian Seas, sufficient to drive mixing in the upper ocean at rates inferred from observations. The role of the Indonesian Seas in climate is attributed to the intense mixing observed throughout the region. Mixing cools the surface temperature and hence modifies the atmospheric convection centered over the region. Mixing also controls the heat exchange between the Pacific and Indian Oceans by transforming water-mass properties while they transit through the region. Mixing in the Indonesian Seas has long been identified to be driven locally by tides. Here we show that the observed mixing can also be powered by the remotely generated planetary waves and eddies. We use a regional ocean model to show that the Indonesian Seas are a sink of the energy generated in the Indian and Pacific Oceans. We estimate that 1.7 GW of the remotely generated energy enters the region across all straits. The energy flux is surface intensified and characterized by a convergence, implying dissipation and mixing, within the straits and along topography. Locally, energy convergence associated with this process is comparable in magnitude to tidal energy dissipation, which dominates the deep ocean.</t>
  </si>
  <si>
    <t>[Pang, Chengyuan; Nikurashin, Maxim] Univ Tasmania, Inst Marine &amp; Antarctic Studies, Hobart, Tas, Australia; [Pang, Chengyuan; Nikurashin, Maxim] Univ New South Wales, ARC Ctr Excellence Climate Extremes, Sydney, NSW, Australia; [Nikurashin, Maxim] Univ Tasmania, Australian Antarctic Program Partnership, Hobart, Tas, Australia; [Pena-Molino, Beatriz; Sloyan, Bernadette M.] Ctr Southern Hemisphere Ocean Res, Hobart, Tas, Australia; [Pena-Molino, Beatriz; Sloyan, Bernadette M.] CSIRO Oceans &amp; Atmosphere, Hobart, Tas, Australia</t>
  </si>
  <si>
    <t>University of Tasmania; University of New South Wales Sydney; University of Tasmania; Commonwealth Scientific &amp; Industrial Research Organisation (CSIRO)</t>
  </si>
  <si>
    <t>Nikurashin, M (corresponding author), Univ Tasmania, Inst Marine &amp; Antarctic Studies, Hobart, Tas, Australia.;Nikurashin, M (corresponding author), Univ New South Wales, ARC Ctr Excellence Climate Extremes, Sydney, NSW, Australia.;Nikurashin, M (corresponding author), Univ Tasmania, Australian Antarctic Program Partnership, Hobart, Tas, Australia.</t>
  </si>
  <si>
    <t>Maxim.Nikurashin@utas.edu.au</t>
  </si>
  <si>
    <t>Pena-Molino, Beatriz/IYK-0313-2023; Sloyan, Bernadette/N-8989-2014</t>
  </si>
  <si>
    <t>Pena-Molino, Beatriz/0000-0003-1587-1696; Sloyan, Bernadette/0000-0003-0250-0167; Nikurashin, Maxim/0000-0002-5714-8343</t>
  </si>
  <si>
    <t>Australian Government; Australian Research Council (ARC) Discovery Project [DP210100643]; Earth Systems and Climate Change Hub of the Australian Government's National Environmental Science Program; CSIRO</t>
  </si>
  <si>
    <t>Australian Government(Australian Government); Australian Research Council (ARC) Discovery Project(Australian Research Council); Earth Systems and Climate Change Hub of the Australian Government's National Environmental Science Program; CSIRO(Commonwealth Scientific &amp; Industrial Research Organisation (CSIRO))</t>
  </si>
  <si>
    <t>This research was undertaken at the NCI National Facility in Canberra, Australia, which is supported by the Australian Government. M.N. was supported by the Australian Research Council (ARC) Discovery Project (DP210100643). B.M.S. was jointly funded through CSIRO and the Earth Systems and Climate Change Hub of the Australian Government's National Environmental Science Program.</t>
  </si>
  <si>
    <t>10.1038/s41467-022-34046-6</t>
  </si>
  <si>
    <t>5X2IH</t>
  </si>
  <si>
    <t>WOS:000878427400010</t>
  </si>
  <si>
    <t>Silva, CNS; Dainys, J; Simmons, S; Vienozinskis, V; Audzijonyte, A</t>
  </si>
  <si>
    <t>Silva, Catarina N. S.; Dainys, Justas; Simmons, Sean; Vienozinskis, Vincentas; Audzijonyte, Asta</t>
  </si>
  <si>
    <t>A Scalable Open-Source Framework for Machine Learning-Based Image Collection, Annotation and Classification: A Case Study for Automatic Fish Species Identification</t>
  </si>
  <si>
    <t>recreational fisheries; artisanal fisheries; citizen science; deep learning; fish species identification; image annotation; smart phone applications</t>
  </si>
  <si>
    <t>ARTIFICIAL-INTELLIGENCE</t>
  </si>
  <si>
    <t>Citizen science platforms, social media and smart phone applications enable the collection of large amounts of georeferenced images. This provides a huge opportunity in biodiversity and ecological research, but also creates challenges for efficient data handling and processing. Recreational and small-scale fisheries is one of the fields that could be revolutionised by efficient, widely accessible and machine learning-based processing of georeferenced images. Most non-commercial inland and coastal fisheries are considered data poor and are rarely assessed, yet they provide multiple societal benefits and can have substantial ecological impacts. Given that large quantities of georeferenced fish images are being collected by fishers every day, artificial intelligence (AI) and computer vision applications offer a great opportunity to automate their analyses by providing species identification, and potentially also fish size estimation. This would deliver data needed for fisheries management and fisher engagement. To date, however, many AI image analysis applications in fisheries are focused on the commercial sector, limited to specific species or settings, and are not publicly available. In addition, using AI and computer vision tools often requires a strong background in programming. In this study, we aim to facilitate broader use of computer vision tools in fisheries and ecological research by compiling an open-source user friendly and modular framework for large-scale image storage, handling, annotation and automatic classification, using cost- and labour-efficient methodologies. The tool is based on TensorFlow Lite Model Maker library, and includes data augmentation and transfer learning techniques applied to different convolutional neural network models. We demonstrate the potential application of this framework using a small example dataset of fish images taken through a recreational fishing smartphone application. The framework presented here can be used to develop region-specific species identification models, which could potentially be combined into a larger hierarchical model.</t>
  </si>
  <si>
    <t>[Silva, Catarina N. S.; Dainys, Justas; Audzijonyte, Asta] Nat Res Ctr, LT-08412 Vilnius, Lithuania; [Simmons, Sean] MyCatch &amp; Anglers Atlas, Prince George, BC V2L 4S1, Canada; [Vienozinskis, Vincentas] Deeper, LT-10312 Vilnius, Lithuania; [Audzijonyte, Asta] Univ Tasmania, Inst Marine &amp; Antarctic Studies, Hobart, Tas 7004, Australia</t>
  </si>
  <si>
    <t>Nature Research Center - Lithuania; University of Tasmania</t>
  </si>
  <si>
    <t>Silva, CNS (corresponding author), Nat Res Ctr, LT-08412 Vilnius, Lithuania.</t>
  </si>
  <si>
    <t>catari.bio@gmail.com</t>
  </si>
  <si>
    <t>Nunes Soares Silva, Catarina/A-8402-2008</t>
  </si>
  <si>
    <t>Nunes Soares Silva, Catarina/0000-0001-9401-2616; Audzijonyte, Asta/0000-0002-9919-9376</t>
  </si>
  <si>
    <t>European Regional Development Fund [01.2.2-LMT-K-718-02-0006]; Research Council of Lithuania (LMTLT)</t>
  </si>
  <si>
    <t>European Regional Development Fund(European Union (EU)); Research Council of Lithuania (LMTLT)(Research Council of Lithuania (LMTLT))</t>
  </si>
  <si>
    <t>This study has received funding from European Regional Development Fund (Project No. 01.2.2-LMT-K-718-02-0006) under grant agreement with the Research Council of Lithuania (LMTLT).</t>
  </si>
  <si>
    <t>10.3390/su142114324</t>
  </si>
  <si>
    <t>6C8QI</t>
  </si>
  <si>
    <t>WOS:000882271000001</t>
  </si>
  <si>
    <t>Buss, DL; Hearne, E; Loy, RHY; Manica, A; O'Connell, TC; Jackson, JA</t>
  </si>
  <si>
    <t>Buss, Danielle L.; Hearne, Ella; Loy, Rebecca H. Y.; Manica, Andrea; O'Connell, Tamsin C.; Jackson, Jennifer A.</t>
  </si>
  <si>
    <t>Evidence of resource partitioning between fin and sei whales during the twentieth-century whaling period</t>
  </si>
  <si>
    <t>Balaenoptera borealis; Balaenoptera physalus; Resource partitioning; Stable isotope analysis; Whaling; South Georgia; Baleen</t>
  </si>
  <si>
    <t>PARTICULATE ORGANIC-MATTER; STABLE-ISOTOPE ANALYSIS; HUMPBACK WHALES; MEGAPTERA-NOVAEANGLIAE; SOUTH-GEORGIA; MARINE ECOSYSTEM; FORAGING AREAS; CLIMATE-CHANGE; BALEEN WHALES; BONE-COLLAGEN</t>
  </si>
  <si>
    <t>Investigating resource partitioning of marine predators is essential for understanding coexistence of sympatric species and the functional role they play in marine ecosystems. Baleen whales are a key component of sub-Antarctic ecosystems, foraging predominantly on zooplankton and small forage fish. During the twentieth century, baleen whales were unsustainably exploited across the Southern Ocean. Within the exclusive economic zone of South Georgia and the South Sandwich Islands (SGSSI EEZ) in the South Atlantic, approximately 98,000 fin whales (Balaenoptera physalus) and 16,000 sei whales (B.borealis) were harvested. Despite both species historically occurring in high numbers and feeding in sub-polar waters, little is known about the mechanisms of coexistence. Here, by measuring stable isotope ratios of carbon (delta C-13) and nitrogen (delta N-15) in archived baleen plates and analysing historic catch data, we investigate resource partitioning of fin and sei whale during the commercial whaling period. Temporal and spatial occupancy at SGSSI EEZ (inferred from whaling catches that occurred between 1904 and 1976), alongside historic stomach contents (from the literature), and delta C-13 and delta N-15 results (observed in this study), suggests that despite using a common prey resource there was limited overlap in isotopic niches between the two species, with sei whales using SGSSI waters later in the season and for a shorter period than fin whales. We hypothesise that the isotopic differences were most likely due to sei whales foraging at lower latitudes prior to arrival at SGSSI. Our data provide novel insight into how two sympatric whale species co-occurring at SGSSI during the commercial whaling period may have partitioned resources and provide a potential ecological baseline to assess changes in resource use in recovering whale populations.</t>
  </si>
  <si>
    <t>[Buss, Danielle L.; Jackson, Jennifer A.] British Antarctic Survey, Natl Environm Res Council, Cambridge CB3 0ET, England; [Buss, Danielle L.; O'Connell, Tamsin C.] Univ Cambridge, Dept Archaeol, Downing St, Cambridge CB2 3DZ, England; [Hearne, Ella; Loy, Rebecca H. Y.; Manica, Andrea] Univ Cambridge, Dept Zool, Downing St, Cambridge CB2 3EJ, England</t>
  </si>
  <si>
    <t>UK Research &amp; Innovation (UKRI); Natural Environment Research Council (NERC); NERC British Antarctic Survey; University of Cambridge; University of Cambridge</t>
  </si>
  <si>
    <t>Buss, DL (corresponding author), British Antarctic Survey, Natl Environm Res Council, Cambridge CB3 0ET, England.;Buss, DL (corresponding author), Univ Cambridge, Dept Archaeol, Downing St, Cambridge CB2 3DZ, England.</t>
  </si>
  <si>
    <t>daniellebuss277@gmail.com</t>
  </si>
  <si>
    <t>Buss, Danny/JDW-2244-2023; Jackson, Jennifer A/E-7997-2013; Manica, Andrea/N-9013-2019</t>
  </si>
  <si>
    <t>Manica, Andrea/0000-0003-1895-450X; , Rebecca/0000-0001-5546-6957; Hearne, Ella/0000-0002-3819-5523; O'Connell, Tamsin/0000-0002-4744-0332; Jackson, Jennifer/0000-0003-4158-1924</t>
  </si>
  <si>
    <t>NERC-Cambridge ESS Doctoral Training Partnership studentship from the Natural Environment Research Council [NE/L002507/1]; Dorothy Garrod Laboratory at the McDonald Institute of Archaeological Research, Cambridge</t>
  </si>
  <si>
    <t>NERC-Cambridge ESS Doctoral Training Partnership studentship from the Natural Environment Research Council; Dorothy Garrod Laboratory at the McDonald Institute of Archaeological Research, Cambridge</t>
  </si>
  <si>
    <t>This research was supported by D.L.B and a NERC-Cambridge ESS Doctoral Training Partnership studentship from the Natural Environment Research Council (NE/L002507/1). Stable isotope analyses were funded by the Dorothy Garrod Laboratory at the McDonald Institute of Archaeological Research, Cambridge.</t>
  </si>
  <si>
    <t>10.1007/s00227-022-04131-x</t>
  </si>
  <si>
    <t>5Y5EY</t>
  </si>
  <si>
    <t>hybrid, Green Submitted, Green Published</t>
  </si>
  <si>
    <t>WOS:000879306200001</t>
  </si>
  <si>
    <t>Rogers, SDA; Bond, A; Rhodes, BJ; Peverall, R; Hancock, G; Ritchie, GAD</t>
  </si>
  <si>
    <t>Rogers, Samuel D. A.; Bond, Amelia; Rhodes, Benjamin J.; Peverall, Robert; Hancock, Gus; Ritchie, Grant A. D.</t>
  </si>
  <si>
    <t>Cavity ringdown studies of the E-H transition in an inductively coupled oxygen plasma: comparison of spectroscopic measurements and modelling</t>
  </si>
  <si>
    <t>PLASMA SOURCES SCIENCE &amp; TECHNOLOGY</t>
  </si>
  <si>
    <t>inductively coupled plasma; oxygen plasma; atomic oxygen; singlet oxygen; cavity ringdown spectroscopy; optical emission spectroscopy; mode transition</t>
  </si>
  <si>
    <t>LASER-INDUCED FLUORESCENCE; ATOMIC OXYGEN; METASTABLE OXYGEN; DIFFUSION; DENSITY; RECOMBINATION; DISCHARGES; ABSORPTION; CHEMISTRY; O-2</t>
  </si>
  <si>
    <t>The absolute number density of ground state oxygen atoms, O(P-3), present in a 100 mTorr oxygen plasma has been determined as a function of operating power using cavity ringdown spectroscopy (CRDS). The dissociation fraction increases by an order of magnitude from similar to 0.8% at 50 W to 8% at 250 W and reflects a similar increase in the electron density over this power range. Emission spectra show that the E-H switchover is accompanied by increased rotational heating of O-2 and this behaviour is also observed in the translational temperatures determined by fitting the Doppler limited O(P-3) CRDS data. The measurements are contextualised via a volume averaged kinetic model that uses the measured absolute densities of O(P-3) and O-2(a (1)Delta(g), v = 0) as a function of power as its benchmarks. Despite the inherent spatial inhomogeneity of the plasma, the volume averaged model, which uses a minimal set of reactions, is able to both reproduce previous measurements on the absolute density of O- and to infer physically reasonable values for both the electron temperature and number density as the E-H switch over is traversed. Time-resolved emission measurements return a value of 0.2 for the wall loss coefficient for O-2(b (1)sigma(g) (+)); as a consequence, the number density of O-2(b (1)sigma(g) (+)) is (at least) one order of magnitude less than O-2(a (1)Delta(g)).</t>
  </si>
  <si>
    <t>[Rogers, Samuel D. A.; Bond, Amelia; Rhodes, Benjamin J.; Peverall, Robert; Hancock, Gus; Ritchie, Grant A. D.] Univ Oxford, Dept Chem, Phys &amp; Theoret Chem Lab, South Parks Rd, Oxford OX1 3QZ, England; [Bond, Amelia] British Antarctic Survey, High Cross,Madingley Rd, Cambridge CB3 0ET, England; [Rhodes, Benjamin J.] Univ Cambridge, Yusuf Hamied Dept Chem, Cambridge CB2 1EW, England</t>
  </si>
  <si>
    <t>University of Oxford; UK Research &amp; Innovation (UKRI); Natural Environment Research Council (NERC); NERC British Antarctic Survey; University of Cambridge</t>
  </si>
  <si>
    <t>Ritchie, GAD (corresponding author), Univ Oxford, Dept Chem, Phys &amp; Theoret Chem Lab, South Parks Rd, Oxford OX1 3QZ, England.</t>
  </si>
  <si>
    <t>grant.ritchie@chem.ox.ac.uk</t>
  </si>
  <si>
    <t>Rogers, Samuel D A/JQJ-2615-2023; Peverall, Robert/JQV-3756-2023</t>
  </si>
  <si>
    <t>Peverall, Robert/0000-0003-2326-2495; Rogers, Sam/0000-0002-5276-0920; Ritchie, Grant/0000-0003-1663-7770; Bond, Amelia/0000-0002-9539-6698; Rhodes, Benjamin/0000-0002-6133-6531</t>
  </si>
  <si>
    <t>UK Engineering and Physical Sciences Research Council (EPSRC) [EP/P026621/1]; Clarendon fund; EPSRC [EP/P026621/1] Funding Source: UKRI</t>
  </si>
  <si>
    <t>UK Engineering and Physical Sciences Research Council (EPSRC)(UK Research &amp; Innovation (UKRI)Engineering &amp; Physical Sciences Research Council (EPSRC)); Clarendon fund; EPSRC(UK Research &amp; Innovation (UKRI)Engineering &amp; Physical Sciences Research Council (EPSRC))</t>
  </si>
  <si>
    <t>The authors would like to acknowledge the UK Engineering and Physical Sciences Research Council (EPSRC) for support provided within the standard research scheme (Grant No. EP/P026621/1) and Lam Research Corporation (US) for a gift award. SDAR would like to thank the Clarendon fund for the award of a graduate scholarship.</t>
  </si>
  <si>
    <t>0963-0252</t>
  </si>
  <si>
    <t>1361-6595</t>
  </si>
  <si>
    <t>PLASMA SOURCES SCI T</t>
  </si>
  <si>
    <t>Plasma Sources Sci. Technol.</t>
  </si>
  <si>
    <t>10.1088/1361-6595/ac9d62</t>
  </si>
  <si>
    <t>6C6XM</t>
  </si>
  <si>
    <t>WOS:000882154400001</t>
  </si>
  <si>
    <t>Yu, LJ; Zhong, SY; Vihma, T; Sui, CJ; Sun, B</t>
  </si>
  <si>
    <t>Yu, Lejiang; Zhong, Shiyuan; Vihma, Timo; Sui, Cuijuan; Sun, Bo</t>
  </si>
  <si>
    <t>Linking the Antarctic sea ice extent changes during 1979-2020 to seasonal modes of Antarctic sea ice variability</t>
  </si>
  <si>
    <t>Antarctic; sea ice extent; trend; planetary wavetrain; sea surface temperature (SST)</t>
  </si>
  <si>
    <t>OCEAN; TRENDS; OSCILLATION; REANALYSES; IMPACTS; CONTEXT; DRIVEN; NORTH; WATER</t>
  </si>
  <si>
    <t>The Antarctic sea ice extent slowly expanded through the four-decade-long satellite era until 2014 when the expansion came to a halt, followed by a rapid contraction in the next couple of years. This sudden unexpected trend reversal has sparked considerable research interest and several mechanisms have been proposed to explain it; however, much remains to be explored. In this study, we show that the long-term increasing trend in the Antarctic sea ice extent and its recent reversal can be largely explained by the first, second and fourth empirical orthogonal function mode of sea ice variability in austral summer, autumn and spring, respectively. We illustrate that the sea ice variability represented by the three modes is mostly consistent with what is expected from the anomalous atmospheric circulations associated with planetary wavetrains that are triggered by anomalous sea surface temperature (SST) and convective activities over the Southern Indian and Pacific Oceans. More specifically, the results suggest a teleconnection between the increasing periods in the Antarctic sea ice extent in the past four decades and the positive SST anomalies over the southeastern Indian Ocean and the western tropical Pacific Ocean. The opposite occurs over the decreasing period. Accordingly, the same mechanisms, in different phases, have been associated with the periods of increasing and decreasing Antarctic sea ice extent.</t>
  </si>
  <si>
    <t>[Yu, Lejiang; Sun, Bo] Polar Res Inst China, MNR Key Lab Polar Sci, Shanghai, Peoples R China; [Zhong, Shiyuan] Michigan State Univ, Dept Geog Environm &amp; Spatial Sci, E Lansing, MI 48824 USA; [Vihma, Timo] Finnish Meteorol Inst, Helsinki, Finland; [Sui, Cuijuan] Natl Marine Environm Forecasting Ctr, Beijing, Peoples R China</t>
  </si>
  <si>
    <t>Polar Research Institute of China; Michigan State University; Finnish Meteorological Institute; National Marine Environmental Forecasting Center</t>
  </si>
  <si>
    <t>yulejiang@sina.com</t>
  </si>
  <si>
    <t>Li, Xiaoli/JVZ-4089-2024; sun, bo/JFA-9978-2023</t>
  </si>
  <si>
    <t>Yu, Lejiang/0000-0003-0535-1937</t>
  </si>
  <si>
    <t>National Natural Science Foundation of China [41941009]; National Key R&amp;D Program of China [2018YFA0605701]; European Commission [101003590]</t>
  </si>
  <si>
    <t>National Natural Science Foundation of China(National Natural Science Foundation of China (NSFC)); National Key R&amp;D Program of China; European Commission(European Union (EU)European Commission Joint Research Centre)</t>
  </si>
  <si>
    <t>The authors thank the European Centre for Medium-Range Weather Forecasts (ECMWF) for the ERA-5 data. This study is financially supported by the National Natural Science Foundation of China (41941009), the National Key R&amp;D Program of China (2018YFA0605701), and the European Commission H2020 project Polar Regions in the Earth System (PolarRES; Grant 101003590).</t>
  </si>
  <si>
    <t>10.1088/1748-9326/ac9c73</t>
  </si>
  <si>
    <t>5W4IL</t>
  </si>
  <si>
    <t>WOS:000877879700001</t>
  </si>
  <si>
    <t>Bergner, N; Friedel, M; Domeisen, DI; Waugh, D; Chiodo, G</t>
  </si>
  <si>
    <t>Bergner, Nora; Friedel, Marina; Domeisen, Daniela I., V; Waugh, Darryn; Chiodo, Gabriel</t>
  </si>
  <si>
    <t>Exploring the link between austral stratospheric polar vortex anomalies and surface climate in chemistry-climate models</t>
  </si>
  <si>
    <t>ANTARCTIC OZONE HOLE; DOWNWARD PROPAGATION; CIRCULATION; VARIABILITY; TROPOSPHERE; PERSISTENCE; EVENTS; SCALE; STATE; WEAK</t>
  </si>
  <si>
    <t>Extreme events in the stratospheric polar vortex can lead to changes in the tropospheric circulation and impact the surface climate on a wide range of timescales. The austral stratospheric vortex shows its largest variability in spring, and a weakened polar vortex is associated with changes in the spring to summer surface climate, including hot and dry extremes in Australia. However, the robustness and extent of the connection between polar vortex strength and surface climate on interannual timescales remain unclear. We assess this relationship by using reanalysis data and time-slice simulations from two chemistry-climate models (CCMs), building on previous work that is mainly based on observations. The CCMs show a similar downward propagation of anomalies in the polar vortex strength to the reanalysis data: a weak polar vortex is on average followed by a negative tropospheric Southern Annular Mode (SAM) in spring to summer, while a strong polar vortex is on average followed by a positive SAM. The signature in the surface climate following polar vortex weakenings is characterized by high surface pressure and warm temperature anomalies over Antarctica, the region where surface signals are most robust across all model and observational datasets. However, the tropospheric SAM response in the two CCMs considered is inconsistent with observations. In one CCM, the SAM is more negative compared to the reanalysis after weak polar vortex events, whereas in the other CCM, it is less negative. In addition, neither model reproduces all the regional changes in midlatitudes, such as the warm and dry anomalies over Australia. We find that these inconsistencies are linked to model biases in the basic state, such as the latitude of the eddy-driven jet and the persistence of the SAM. These results are largely corroborated by models that participated in the Chemistry-Climate Model Initiative (CCMI). Furthermore, bootstrapping of the data reveals sizable uncertainty in the magnitude of the surface signals in both models and observations due to internal variability. Our results demonstrate that anomalies of the austral stratospheric vortex have significant impacts on surface climate, although the ability of models to capture regional effects across the Southern Hemisphere is limited by biases in their representation of the stratospheric and tropospheric circulation.</t>
  </si>
  <si>
    <t>[Bergner, Nora; Friedel, Marina; Domeisen, Daniela I., V; Chiodo, Gabriel] Swiss Fed Inst Technol, Inst Atmospher &amp; Climate Sci, Zurich, Switzerland; [Bergner, Nora] EPFL Valais, Extreme Environm Res Lab, Sion, Switzerland; [Domeisen, Daniela I., V] Univ Lausanne, Inst Earth Surface Dynam, Lausanne, Switzerland; [Waugh, Darryn] Johns Hopkins Univ, Dept Earth &amp; Planetary Sci, Baltimore, MD 21218 USA</t>
  </si>
  <si>
    <t>Swiss Federal Institutes of Technology Domain; ETH Zurich; Swiss Federal Institutes of Technology Domain; Ecole Polytechnique Federale de Lausanne; University of Lausanne; Johns Hopkins University</t>
  </si>
  <si>
    <t>Bergner, N; Chiodo, G (corresponding author), Swiss Fed Inst Technol, Inst Atmospher &amp; Climate Sci, Zurich, Switzerland.;Bergner, N (corresponding author), EPFL Valais, Extreme Environm Res Lab, Sion, Switzerland.</t>
  </si>
  <si>
    <t>nora.bergner@epfl.ch; gabriel.chiodo@env.ethz.ch</t>
  </si>
  <si>
    <t>Domeisen, Daniela/J-2589-2015; Chiodo, Gabriel/C-6626-2016; Waugh, Darryn/K-3688-2016</t>
  </si>
  <si>
    <t>Domeisen, Daniela/0000-0002-1463-929X; Chiodo, Gabriel/0000-0002-8079-6314; Bergner, Nora/0000-0002-5000-5120; Friedel, Marina/0000-0001-7739-4691; Waugh, Darryn/0000-0001-7692-2798</t>
  </si>
  <si>
    <t>Schweizerischer Nationalfonds zur Forderung der Wissenschaftlichen Forschung [PZ00P2_180043, PP00P2_198896]; Swiss National Science Foundation (SNF) [PZ00P2_180043] Funding Source: Swiss National Science Foundation (SNF)</t>
  </si>
  <si>
    <t>Schweizerischer Nationalfonds zur Forderung der Wissenschaftlichen Forschung(Swiss National Science Foundation (SNSF)); Swiss National Science Foundation (SNF)(Swiss National Science Foundation (SNSF))</t>
  </si>
  <si>
    <t>This research has been supported by the Schweizerischer Nationalfonds zur Forderung der Wissenschaftlichen Forschung (grant nos. PZ00P2_180043 and PP00P2_198896).</t>
  </si>
  <si>
    <t>10.5194/acp-22-13915-2022</t>
  </si>
  <si>
    <t>5V2UP</t>
  </si>
  <si>
    <t>WOS:000877090400001</t>
  </si>
  <si>
    <t>Zhou, L; Zhang, K; Wang, Q; Mu, M</t>
  </si>
  <si>
    <t>Zhou, Li; Zhang, Kun; Wang, Qiang; Mu, Mu</t>
  </si>
  <si>
    <t>Optimally growing initial error for predicting the sudden shift in the Antarctic Circumpolar Current transport and its application to targeted observation</t>
  </si>
  <si>
    <t>The Antarctic Circumpolar Current; Initial errors; CNOP; Targeted observation; Ocean prediction</t>
  </si>
  <si>
    <t>NONLINEAR OPTIMAL PERTURBATION; OCEAN CIRCULATION MODEL; KUROSHIO LARGE MEANDER; DRAKE PASSAGE; ADAPTIVE OBSERVATION; SENSITIVE AREAS; WIND STRESS; SEA; PREDICTABILITY; ADJOINT</t>
  </si>
  <si>
    <t>Initial errors critically affect the performance of short-term ocean predictions. To investigate the effects of initial errors on the 30-day prediction of the sudden shift in the Antarctic Circumpolar Current (ACC) transport through the Drake Passage (DP), the optimally growing initial error (OGIE) is explored based on the Conditional Nonlinear Optimal Perturbation (CNOP) approach and an eddy-permitting Regional Ocean Modeling System. In the four selected cases, the OGIEs are primarily located under 2000 m in the middle DP of (57 degrees S-62 degrees S, 73 degrees W-64 degrees W). All OGIEs undergo localized evolutions and cause significant transport prediction errors of approximately 40.0 Sv by exciting anomalous dipolar circulations. The vorticity budget analysis indicates linear advection contributes to error vorticity evolutions, whereas nonlinear advection and ageostrophic divergence show damping effects. Moreover, eastward motions exerted by linear advection and westward motions exerted by nonlinear advection together maintain the localized vorticity evolutions. Finally, targeted observation is applied in the OGIE-determined sensitive areas. Observing system simulation experiments suggest that improving initial condition qualities in the OGIE-determined sensitive areas (especially in the deep layers) can effectively enhance the ACC transport predictions. This study reveals the spatial structures and growth mechanism of the OGIEs related to the short-term ACC transport prediction and provides scientific guidance on designing observing networks in the DP.</t>
  </si>
  <si>
    <t>[Zhou, Li] Inst Def Engn, PLA, AMS, Luoyang 471023, Peoples R China; [Zhang, Kun; Mu, Mu] Chinese Acad Sci, Inst Oceanol, Key Lab Ocean Circulat &amp; Waves, Qingdao 266071, Peoples R China; [Zhang, Kun] Chinese Acad Sci, Ctr Ocean Megasci, Qingdao 266071, Peoples R China; [Wang, Qiang] Hohai Univ, Key Lab Marine Hazards Forecasting, Minist Nat Resources, Nanjing 210098, Peoples R China; [Wang, Qiang] Hohai Univ, Coll Oceanog, Nanjing 210098, Peoples R China; [Mu, Mu] Fudan Univ, Dept Atmospher &amp; Ocean Sci, Shanghai 200433, Peoples R China; [Mu, Mu] Fudan Univ, Inst Atmospher Sci, Shanghai 200433, Peoples R China</t>
  </si>
  <si>
    <t>Chinese Academy of Sciences; Institute of Oceanology, CAS; Chinese Academy of Sciences; Ministry of Natural Resources of the People's Republic of China; Hohai University; Hohai University; Fudan University; Fudan University</t>
  </si>
  <si>
    <t>Zhang, K (corresponding author), Chinese Acad Sci, Inst Oceanol, Key Lab Ocean Circulat &amp; Waves, Qingdao 266071, Peoples R China.;Zhang, K (corresponding author), Chinese Acad Sci, Ctr Ocean Megasci, Qingdao 266071, Peoples R China.</t>
  </si>
  <si>
    <t>kzhang@qdio.ac.cn</t>
  </si>
  <si>
    <t>zhou, li/AAU-6808-2020</t>
  </si>
  <si>
    <t>Zhang, Kun/0000-0001-9918-6690</t>
  </si>
  <si>
    <t>Fundamental Research Funds for the Central Universities [B200201011]; National Natural Science Foundation of China [92158202, 41576015, 41806013]; National Key Research and Development Program of China [2021YFC3100705]</t>
  </si>
  <si>
    <t>Fundamental Research Funds for the Central Universities(Fundamental Research Funds for the Central Universities); National Natural Science Foundation of China(National Natural Science Foundation of China (NSFC)); National Key Research and Development Program of China</t>
  </si>
  <si>
    <t>This study was supported by the Fundamental Research Funds for the Central Universities (B200201011), the National Natural Science Foundation of China (92158202, 41576015, 41806013), and the National Key Research and Development Program of China (2021YFC3100705).</t>
  </si>
  <si>
    <t>10.1007/s10236-022-01531-x</t>
  </si>
  <si>
    <t>7Z0MX</t>
  </si>
  <si>
    <t>WOS:000876900400001</t>
  </si>
  <si>
    <t>Lee, Y; Park, J; Jung, JY; Kim, TW</t>
  </si>
  <si>
    <t>Lee, Youngju; Park, Jisoo; Jung, Jinyoung; Kim, Tae Wan</t>
  </si>
  <si>
    <t>Unprecedented differences in phytoplankton community structures in the Amundsen Sea Polynyas, West Antarctica</t>
  </si>
  <si>
    <t>phytoplankton; Dactyliosolen tenuijunctus; Phaeocystis antarctica; Amundsen Sea; Antarctica</t>
  </si>
  <si>
    <t>ROSS SEA; ICE; INSTABILITY; TRANSITION; ZONE</t>
  </si>
  <si>
    <t>In the Antarctic coast, ice shelves are rapidly thinning and retreating due to global warming. Basal melt water influences marine life, particularly the phytoplankton, which are directly affected by changes in physicochemical environments. However, there is limited in situ data over large areas in the Amundsen Sea, which is currently a hotspot for rapidly thinning ice shelves in West Antarctica. During the austral summer cruise of 2020, phytoplankton species abundance was investigated along the Amundsen Sea coast using an automated continuous observation instrument, the Imaging FlowCytobot. The phytoplankton community was dominated by Phaeocystis antarctica in most coastal waters of the Amundsen Sea, as previously reported; however, unexpected blooms of diatom Dactyliosolen tenuijunctus were observed throughout the Pine Island Bay region at a high dominance rate (similar to 90%) and abundance (&gt;10(7) cells l(-1)). D. tenuijunctus is a weakly silicified diatom and its massive bloom in the water column has been rarely reported from the Antarctic Ocean. The dramatic difference in phytoplankton compositions between these adjacent polynyas probably indicates an unstable response of phytoplankton to ice melting conditions. They could play a different role in the marine food web and carbon flux compared to other diatoms and P. antarctica. Therefore, further research is warranted to predict the biological and biogeochemical impacts of future melting conditions.</t>
  </si>
  <si>
    <t>[Lee, Youngju; Park, Jisoo; Jung, Jinyoung; Kim, Tae Wan] Korea Polar Res Inst, Div Ocean Sci, 26 Songdomirae Ro, Incheon 21990, South Korea</t>
  </si>
  <si>
    <t>Lee, Y; Park, J (corresponding author), Korea Polar Res Inst, Div Ocean Sci, 26 Songdomirae Ro, Incheon 21990, South Korea.</t>
  </si>
  <si>
    <t>yjlee@kopri.re.kr; jspark@kopri.re.kr</t>
  </si>
  <si>
    <t>Kim, Tae-Wan/JGM-9981-2023</t>
  </si>
  <si>
    <t>Kim, Tae-Wan/0000-0001-5257-7256; Park, Jisoo/0000-0003-0428-8358</t>
  </si>
  <si>
    <t>Korea Polar Research Institute (KOPRI) - Ministry of Oceans and Fisheries [KOPRI PE22110, PE19510]</t>
  </si>
  <si>
    <t>The authors thank the captain and crew of the IBRV ARAON who were most helpful in all shipboard operations. Y Lee thank C Shim for microscopic analysis and J K Moon for pigment analysis. This work was supported by Korea Polar Research Institute (KOPRI) grants funded by the Ministry of Oceans and Fisheries (KOPRI PE22110 and PE19510).</t>
  </si>
  <si>
    <t>10.1088/1748-9326/ac9a5f</t>
  </si>
  <si>
    <t>5S7DY</t>
  </si>
  <si>
    <t>WOS:000875346900001</t>
  </si>
  <si>
    <t>Slomska, AW; Panasiuk, A</t>
  </si>
  <si>
    <t>Slomska, Angelika Wanda; Panasiuk, Anna</t>
  </si>
  <si>
    <t>Environmental conditions for the successful development of Salpa thompsoni (Tunicata: Thaliaceae) blastozooids and embryos in the Atlantic sector of the Southern Ocean</t>
  </si>
  <si>
    <t>Southern Ocean; Salpa thompsoni; Reproduction efficiency; Embryo development; Environmental preference; Limitations</t>
  </si>
  <si>
    <t>POPULATION-STRUCTURE; CLIMATE; VARIABILITY; ZOOPLANKTON; MARINE; SHIFTS</t>
  </si>
  <si>
    <t>Numerous studies have revealed that large numbers of gelatinous invertebrates, Salpa thompsoni, are reported more often in high-latitude Antarctic waters (&gt; 60 degrees S) than were reported in data obtained from the early twentieth century. Previously published studies also suggested that this tunicate may form a small subpopulation in cold shelf Antarctic waters. However, many researchers claim that harsh environmental conditions inhibit the reproduction and development of this species. Therefore, the aim of this study was to examine S. thompsoni blastozooids and the development ability of their embryos within different zones of the eastern and western parts of the Southern Ocean. The samples used in this study were collected from two transects, (I) between the Weddell Sea and coastal waters of South Africa and (II) between South America and the South Shetland Islands (Drake Passage) during the summer season of 2009/2010. The presented results showed that the highest likelihood for the presence of mature salps is observed under both in the conditions considered favorable that are characterized for mid-latitude areas as well as those observed at higher latitudes in the Antarctic zone (60 degrees S) of the Southern Ocean. This work indicated that the prevailing environmental conditions in the Antarctic zone were distinguished by the highest diversity of embryo development stages and the densest salp aggregations. Our work revealed evidence for dualistic environmental preferences, while blastozooid development and embryo fertilization were equally successful at lower temperatures and low chl-a concentrations as well as when these variables reached higher values. This study expands the knowledge about environmental preferences and provides evidence for flexibility of salp reproduction, which allows it to adapt to various environmental conditions of the Southern Ocean.</t>
  </si>
  <si>
    <t>[Slomska, Angelika Wanda; Panasiuk, Anna] Univ Gdansk, Fac Oceanog &amp; Geog, Inst Oceanog, Dept Marine Plankton Res, Al MJ Pilsudskiego 46, PL-81378 Gdynia, Poland</t>
  </si>
  <si>
    <t>Fahrenheit Universities; University of Gdansk</t>
  </si>
  <si>
    <t>Panasiuk, A (corresponding author), Univ Gdansk, Fac Oceanog &amp; Geog, Inst Oceanog, Dept Marine Plankton Res, Al MJ Pilsudskiego 46, PL-81378 Gdynia, Poland.</t>
  </si>
  <si>
    <t>anna.panasiuk@ug.edu.pl</t>
  </si>
  <si>
    <t>Panasiuk, Anna/HDO-1195-2022</t>
  </si>
  <si>
    <t>Slomska, Angelika/0000-0001-6670-0040</t>
  </si>
  <si>
    <t>Ministry of Science and Higher Education (Poland) [N306 445 638]; National Science Centre (Narodowe Centrum Nauki), PRELUDIUM [2016/23/N/NZ8/02801]</t>
  </si>
  <si>
    <t>Ministry of Science and Higher Education (Poland)(Ministry of Science and Higher Education, Poland); National Science Centre (Narodowe Centrum Nauki), PRELUDIUM</t>
  </si>
  <si>
    <t>This work was supported by research Grant No. N306 445 638 (2010-2012) awarded to the Institute of Oceanography (University of Gdansk) by the Ministry of Science and Higher Education (Poland) and by The National Science Centre (Narodowe Centrum Nauki), PRELUDIUM grant no 2016/23/N/NZ8/02801 received by Angelika Slomska.</t>
  </si>
  <si>
    <t>10.1007/s00227-022-04125-9</t>
  </si>
  <si>
    <t>5K6LD</t>
  </si>
  <si>
    <t>WOS:000869835200001</t>
  </si>
  <si>
    <t>Klein, CJ; Kuempel, CD; Watson, RA; Teneva, L; Coll, M; Mora, C</t>
  </si>
  <si>
    <t>Klein, Carissa J.; Kuempel, Caitlin D.; Watson, Reg A.; Teneva, Lida; Coll, Marta; Mora, Camilo</t>
  </si>
  <si>
    <t>Global fishing between jurisdictions with unequal fisheries management</t>
  </si>
  <si>
    <t>seafood; displacement; wild-caught; conservation; overfishing; trade; sustainable development</t>
  </si>
  <si>
    <t>MARINE; SUSTAINABILITY; IMPACTS; FOOD; COLLAPSE; IMPORTS</t>
  </si>
  <si>
    <t>The demand for seafood is increasing globally and is being met, in some cases, by unsustainable fishing practices. When a country fishes outside of its jurisdiction, any negative social and environmental impacts associated with fishing are displaced to the fished location and may not be compensated. This is particularly problematic when a country fishes in jurisdictions with poorer, less-effective, fisheries management than itself (henceforth 'unequal displacement'). Using two different indices for national fisheries management effectiveness, we calculated unequal displacement of wild-capture seafood globally. We found that up to 23% (19.8 Mt) of seafood was unequally displaced annually between 1976-2015, most of which was caught in the high seas. During the period that the management effectiveness data is most accurate (2007-2011), almost all 172 countries unequally displace seafood (n = 123), but a few are responsible for the majority (China, India, Japan, Norway, Russia, Republic of Korea, Spain, Taiwan, Thailand). Achieving both sustainable food provision and ocean health requires improving international fishing and trade policies targeted at these countries to encourage the reduction of unequal seafood displacement.</t>
  </si>
  <si>
    <t>[Klein, Carissa J.] Univ Queensland, Ctr Biodivers &amp; Conservat Sci, Sch Earth &amp; Environm Sci, St Lucia, Qld, Australia; [Kuempel, Caitlin D.] Griffith Univ, Australian Rivers Inst, Nathan, Qld 4111, Australia; [Watson, Reg A.] Univ Tasmania, Inst Marine &amp; Antarctic Studies, Hobart, Tas 7005, Australia; [Teneva, Lida] World Wildlife Fund, Washington, DC 20037 USA; [Coll, Marta] Spanish Natl Res Council ICM CSIC, Inst Marine Sci, Barcelona 08003, Spain; [Mora, Camilo] Univ Hawaii Manoa, Dept Geog, Honolulu, HI 96822 USA</t>
  </si>
  <si>
    <t>University of Queensland; Griffith University; University of Tasmania; World Wildlife Fund; Consejo Superior de Investigaciones Cientificas (CSIC); CSIC - Centro Mediterraneo de Investigaciones Marinas y Ambientales (CMIMA); CSIC - Instituto de Ciencias del Mar (ICM); University of Hawaii System; University of Hawaii Manoa</t>
  </si>
  <si>
    <t>Klein, CJ (corresponding author), Univ Queensland, Ctr Biodivers &amp; Conservat Sci, Sch Earth &amp; Environm Sci, St Lucia, Qld, Australia.</t>
  </si>
  <si>
    <t>C.klein@uq.edu.au</t>
  </si>
  <si>
    <t>Teneva, Lida T/G-5772-2013; Kuempel, Caitlin D./AAV-8807-2020; Klein, Carissa J/F-1632-2011; Coll, Marta/A-9488-2012</t>
  </si>
  <si>
    <t>Kuempel, Caitlin D./0000-0003-1609-9706; Teneva, Lida/0000-0002-8854-5464</t>
  </si>
  <si>
    <t>Australian Research Council Future Fellowship [200100314]; European Union [817578]; 'Severo Ochoa Centre of Excellence' accreditation [CEX2019000928-S]</t>
  </si>
  <si>
    <t>Australian Research Council Future Fellowship(Australian Research Council); European Union(European Union (EU)); 'Severo Ochoa Centre of Excellence' accreditation</t>
  </si>
  <si>
    <t>C J K is funded by an Australian Research Council Future Fellowship (200100314). M C acknowledges funding from the European Union's Horizon 2020 research and innovation programme under Grant Agreement No. 817578 (TRIATLAS) and the `Severo Ochoa Centre of Excellence' accreditation (CEX2019000928-S).</t>
  </si>
  <si>
    <t>10.1088/1748-9326/ac97ab</t>
  </si>
  <si>
    <t>5K0WS</t>
  </si>
  <si>
    <t>WOS:000869455400001</t>
  </si>
  <si>
    <t>Wang, SJ; Yang, YD; Che, YJ</t>
  </si>
  <si>
    <t>Wang Shijin; Yang Yuande; Che Yanjun</t>
  </si>
  <si>
    <t>Global Snow- and Ice-Related Disaster Risk: A Review</t>
  </si>
  <si>
    <t>NATURAL HAZARDS REVIEW</t>
  </si>
  <si>
    <t>Snow- and ice-related disasters (SIRD); Spatiotemporal characteristics; Impacts and risks</t>
  </si>
  <si>
    <t>SEA-LEVEL RISE; CLIMATE-CHANGE; NORTH-AMERICA; FLOOD RISK; 2 GLACIERS; PERMAFROST; COLLAPSE; IMPACTS; VULNERABILITY; TEMPERATURE</t>
  </si>
  <si>
    <t>Since the 1970s, the ongoing retreat of the global cryosphere has been affecting human societies and causing a series of snow- and ice-related disasters (SIRDs). Based on existing research results, this paper focuses on searching for the formation mechanism of SIRDs, classifies their types and spatiotemporal scales, and reveals the integrated impacts of the SIRD and its future situation on global high-hazard areas. On land, SIRDs mainly occur in the high mountainous areas of middle-low latitude and the permafrost regions of high latitude, in the behaviors of increasing frequency of glacier/snow/glacier lake outburst flood-related disasters and an expanding range of freeze-thaw disasters. The recorded frost events show a decreasing trend but the hail hazard distributions are greatly heterogenous. Overall, the frequency of rain-on-snow events is projected to increase on land in the future. In the ocean, SIRDs are mainly distributed in the Arctic coastal areas and global low-lying islands or areas, with great potential risk. Among them, coastal freeze-thaw, icebergs, and sea-level rise and its impacts are likely or expected to continue increasing in the next few decades.</t>
  </si>
  <si>
    <t>[Wang Shijin; Che Yanjun] Chinese Acad Sci, Natl Field Sci Observat &amp; Res Stn Yulong Snow Mt, State Key Lab Cryospher Sci, Northwest Inst Ecoenvironm &amp; Resources, Lanzhou 730000, Peoples R China; [Wang Shijin] Univ Chinese Acad Sci, Coll Resources &amp; Environm, Beijing 100049, Peoples R China; [Yang Yuande] Wuhan Univ, Chinese Antarctic Ctr Surveying &amp; Mapping, Wuhan 430079, Peoples R China; [Che Yanjun] Yichun Univ, Dept Geog Sci, Yichun 336000, Peoples R China</t>
  </si>
  <si>
    <t>Chinese Academy of Sciences; Chinese Academy of Sciences; University of Chinese Academy of Sciences, CAS; Wuhan University; Yichun University</t>
  </si>
  <si>
    <t>Yang, YD (corresponding author), Wuhan Univ, Chinese Antarctic Ctr Surveying &amp; Mapping, Wuhan 430079, Peoples R China.</t>
  </si>
  <si>
    <t>wangshijin@lzb.ac.cn; yuandeyang@whu.edu.cn; che_yanjun@126.com</t>
  </si>
  <si>
    <t>National Key Research and Development Program of China [2020YFA0608504-03]; Strategic Priority Research Program of the Chinese Academy of Sciences [XDA19070503]</t>
  </si>
  <si>
    <t>National Key Research and Development Program of China; Strategic Priority Research Program of the Chinese Academy of Sciences(Chinese Academy of Sciences)</t>
  </si>
  <si>
    <t>This work was funded by National Key Research and Development Program of China (2020YFA0608504-03) and Strategic Priority Research Program of the Chinese Academy of Sciences (XDA19070503).</t>
  </si>
  <si>
    <t>1527-6988</t>
  </si>
  <si>
    <t>1527-6996</t>
  </si>
  <si>
    <t>NAT HAZARDS REV</t>
  </si>
  <si>
    <t>Nat. Hazards Rev.</t>
  </si>
  <si>
    <t>10.1061/(ASCE)NH.1527-6996.0000584</t>
  </si>
  <si>
    <t>Engineering, Civil; Environmental Studies; Geosciences, Multidisciplinary; Meteorology &amp; Atmospheric Sciences; Water Resources</t>
  </si>
  <si>
    <t>Engineering; Environmental Sciences &amp; Ecology; Geology; Meteorology &amp; Atmospheric Sciences; Water Resources</t>
  </si>
  <si>
    <t>4N3PN</t>
  </si>
  <si>
    <t>WOS:000853931000023</t>
  </si>
  <si>
    <t>Lecours, M; Bernath, P; Boone, C; Crouse, J</t>
  </si>
  <si>
    <t>Lecours, Michael; Bernath, Peter; Boone, Chris; Crouse, Jeff</t>
  </si>
  <si>
    <t>Infrared transmittance spectra of polar stratospheric clouds</t>
  </si>
  <si>
    <t>JOURNAL OF QUANTITATIVE SPECTROSCOPY &amp; RADIATIVE TRANSFER</t>
  </si>
  <si>
    <t>Atmospheric Chemistry Experiment; Infrared solar absorption spectroscopy; Polar stratospheric clouds; Satellite remote sensing</t>
  </si>
  <si>
    <t>COMPLEX REFRACTIVE-INDEXES; OPTICAL-CONSTANTS; OZONE DEPLETION; AEROSOL; LIQUID; ICE; CLIMATOLOGY; HNO3/H2O; WINTER; MIPAS</t>
  </si>
  <si>
    <t>Polar stratospheric clouds (PSCs) are responsible for polar ozone depletion. Infrared transmittance spectra of PSCs recorded by the Fourier transform spectrometer (FTS) on the Atmospheric Chemistry Experiment (ACE) satellite were used to determine the composition and properties of PSCs. These unique broad band infrared spectra identify PSCs as nitric acid trihydrate (NAT), supercooled ternary solutions (STS) of nitric and sulfuric acid, and ice, as expected. Quantitative modeling of these PSC spectra shows that supercooled nitric acid (SNA) is also common, i.e., STS with no observable sulfuric acid in their infrared spectra. ACE-FTS observations therefore classify PSCs into 4 basic spectral types, NAT, STS, SNA and ice, as well as their mixtures. As an example, this classification scheme was applied to the Antarctic for July to September 2019. The composition and particularly the phase of PSCs are critical to the understanding and detailed chemical modeling of polar stratospheric ozone depletion.(c) 2022 Elsevier Ltd. All rights reserved.</t>
  </si>
  <si>
    <t>[Lecours, Michael; Bernath, Peter; Boone, Chris; Crouse, Jeff] Univ Waterloo, Dept Chem, Waterloo, ON N2L 3G1, Canada; [Bernath, Peter] Old Dominion Univ, Dept Chem &amp; Biochem, Norfolk, VA 23529 USA</t>
  </si>
  <si>
    <t>University of Waterloo; Old Dominion University</t>
  </si>
  <si>
    <t>Bernath, P (corresponding author), Old Dominion Univ, Dept Chem &amp; Biochem, Norfolk, VA 23529 USA.</t>
  </si>
  <si>
    <t>pbernath@odu.edu</t>
  </si>
  <si>
    <t>Bernath, Peter F/B-6567-2012</t>
  </si>
  <si>
    <t>Bernath, Peter F/0000-0002-1255-396X</t>
  </si>
  <si>
    <t>Canadian Space Agency; NASA through the SAGE-III-ISS Sci- ence Team [80NSSC21K1194]</t>
  </si>
  <si>
    <t>Canadian Space Agency(Canadian Space Agency); NASA through the SAGE-III-ISS Sci- ence Team</t>
  </si>
  <si>
    <t>The ACE mission is funded by the Canadian Space Agency. Some support was also provided by NASA through the SAGE-III-ISS Sci- ence Team (80NSSC21K1194) . PB acknowledges RB for productive discussion.</t>
  </si>
  <si>
    <t>0022-4073</t>
  </si>
  <si>
    <t>1879-1352</t>
  </si>
  <si>
    <t>J QUANT SPECTROSC RA</t>
  </si>
  <si>
    <t>J. Quant. Spectrosc. Radiat. Transf.</t>
  </si>
  <si>
    <t>10.1016/j.jqsrt.2022.108406</t>
  </si>
  <si>
    <t>OCT 2022</t>
  </si>
  <si>
    <t>Optics; Spectroscopy</t>
  </si>
  <si>
    <t>6C7QS</t>
  </si>
  <si>
    <t>WOS:000882204400001</t>
  </si>
  <si>
    <t>Bentley, LK; Manica, A; Dilley, B; Ryan, PG; Phillips, RA</t>
  </si>
  <si>
    <t>Bentley, Lily K.; Manica, Andrea; Dilley, Ben J.; Ryan, Peter G.; Phillips, Richard A.</t>
  </si>
  <si>
    <t>Divergent foraging habitat preferences between summer-breeding and winter-breeding Procellaria petrels</t>
  </si>
  <si>
    <t>IBIS</t>
  </si>
  <si>
    <t>Antarctica; congeners; movement ecology; seabird</t>
  </si>
  <si>
    <t>WHITE-CHINNED PETRELS; SOUTH-GEORGIA; GREY PETRELS; BEHAVIOR; AEQUINOCTIALIS; ECOLOGY; SPACE; SPECIALIZATION; SEGREGATION; CONSTRAINTS</t>
  </si>
  <si>
    <t>Foraging niche specialization is thought to occur when different members of speciose communities divide resources in either time or space. Here we compared habitat preferences of the congeneric Grey Petrel Procellaria cinerea and White-chinned Petrel Procellaria aequinoctialis, tracked in the same calendar year using GPS loggers from Gough Island and Bird Island (South Georgia), respectively. We identified periods of active foraging and determined habitat characteristics using remote-sensing data. Although these highly pelagic species could potentially overlap at sea across large areas, they showed markedly different foraging preferences during their incubation periods, which are temporally offset because Grey Petrels breed during the austral winter. Grey Petrels foraged mostly in pelagic cold-water areas to the north-west of South Georgia, whereas White-chinned Petrels foraged almost exclusively in the warm, shallow waters of the Patagonian Shelf. Within each species, foraging habitat characteristics were highly consistent. Our results demonstrate the diversity of habitat preferences within genera, and provide further evidence that colony-specific information on habitat preference is crucial to identify important feeding areas for pelagic predators.</t>
  </si>
  <si>
    <t>[Bentley, Lily K.; Manica, Andrea] Univ Cambridge, Dept Zool, Cambridge, England; [Bentley, Lily K.; Phillips, Richard A.] British Antarctic Survey, Nat Environm Res Council, Cambridge, England; [Dilley, Ben J.; Ryan, Peter G.] Univ Cape Town, FitzPatrick Inst African Ornithol, Cape Town, South Africa</t>
  </si>
  <si>
    <t>University of Cambridge; UK Research &amp; Innovation (UKRI); Natural Environment Research Council (NERC); NERC British Antarctic Survey; University of Cape Town</t>
  </si>
  <si>
    <t>Bentley, LK (corresponding author), Univ Cambridge, Dept Zool, Cambridge, England.;Bentley, LK (corresponding author), British Antarctic Survey, Nat Environm Res Council, Cambridge, England.</t>
  </si>
  <si>
    <t>lily.bentley@gmail.com</t>
  </si>
  <si>
    <t>Manica, Andrea/N-9013-2019</t>
  </si>
  <si>
    <t>Manica, Andrea/0000-0003-1895-450X; Ryan, Peter/0000-0002-3356-2056; Bentley, Lily/0000-0002-0365-6385</t>
  </si>
  <si>
    <t>Government of South Georgia; South Sandwich Islands, South African National Antarctic Program, Foreign and Commonwealth Office, British Antarctic Survey, Gates Cambridge Trust.</t>
  </si>
  <si>
    <t>Government of South Georgia and the South Sandwich Islands, South African National Antarctic Program, Foreign and Commonwealth Office, British Antarctic Survey, Gates Cambridge Trust.</t>
  </si>
  <si>
    <t>0019-1019</t>
  </si>
  <si>
    <t>1474-919X</t>
  </si>
  <si>
    <t>Ibis</t>
  </si>
  <si>
    <t>10.1111/ibi.13152</t>
  </si>
  <si>
    <t>Q5SW9</t>
  </si>
  <si>
    <t>WOS:000876324700001</t>
  </si>
  <si>
    <t>Jadwiszczak, P; Svensson-Marcial, A; Mörs, T</t>
  </si>
  <si>
    <t>Jadwiszczak, Piotr; Svensson-Marcial, Anders; Mors, Thomas</t>
  </si>
  <si>
    <t>An integrative insight into the synsacral canal of fossil and extant Antarctic penguins</t>
  </si>
  <si>
    <t>Antarctica; Cenozoic; lumbosacral canals; Sphenisciformes; synsacrum</t>
  </si>
  <si>
    <t>SPINAL-CORD; SENSE ORGAN; SPECIALIZATIONS; ALLOMETRY; BIRDS</t>
  </si>
  <si>
    <t>The lumbosacral-canal system in birds most likely operates as a sense organ involved in the control of balanced walking and perching, but our knowledge of it is superficial. Penguins constitute interesting objects for the study of this system due to their upright walking, but only the Humboldt penguin, Spheniscus humboldti, and some incomplete fossil penguin synsacra have been studied in this respect. Here, we give an integrative comparative insight into the synsacral canal of extant Emperor penguin, Aptenodytes forsteri, Adelie penguin, Pygoscelis adeliae, and Eocene giant Anthropornis and/or Palaeeudyptes Antarctic penguins, using computed tomography imaging and associated data-extraction methodologies, complemented by analytical approaches ranging from geometric morphometrics to modularity, curvature, and wavelet analyses. We document that the variability in the number of synsacro-lumbar vertebrae is evolutionarily conserved, and all studied synsacra possess osteological correlates of the lumbosacral-canal system. We also found that Eocene and extant Antarctic penguins were separable on the basis of the main direction of the shape-related (size-independent) variability within said system, and A. forsteri was unique in the entire studied set in terms of the relative cranial shift of this compound structure. Moreover, we suggest that the evolutionary processes, shaping both the terrestrial posture and gait, were responsible, in extant penguins, for the increased simplicity and stability of the synsacral canal cross-sectional periodic patterns, as well as pave the way for the lumbosacral-canal system modularity characterized by reduced atomization/complexity.</t>
  </si>
  <si>
    <t>[Jadwiszczak, Piotr] Univ Bialystok, Fac Biol, Bialystok, Poland; [Svensson-Marcial, Anders] Karolinska Inst, Dept Clin Sci Intervent &amp; Technol, Stockholm, Sweden; [Mors, Thomas] Swedish Museum Nat Hist, Dept Palaeobiol, POB 50007, SE-10405 Stockholm, Sweden</t>
  </si>
  <si>
    <t>University of Bialystok; Karolinska Institutet; Swedish Museum of Natural History</t>
  </si>
  <si>
    <t>Mörs, T (corresponding author), Swedish Museum Nat Hist, Dept Palaeobiol, POB 50007, SE-10405 Stockholm, Sweden.</t>
  </si>
  <si>
    <t>Svensson, Anders/HJA-3207-2022</t>
  </si>
  <si>
    <t>Jadwiszczak, Piotr/0000-0002-5263-1125; Svensson Marcial, Anders/0000-0001-5685-7255</t>
  </si>
  <si>
    <t>10.1111/1749-4877.12689</t>
  </si>
  <si>
    <t>WOS:000876555100001</t>
  </si>
  <si>
    <t>Zheng, Y; Ping, ZY; Xu, Y; Li, XY; Guo, QY</t>
  </si>
  <si>
    <t>Zheng, Yao; Ping, Zeyu; Xu, Yang; Li, Xueying; Guo, Quanyou</t>
  </si>
  <si>
    <t>Changes in the autolysis level, muscle stability and myofibrillar protein properties of Antarctic krill (Euphausia superba) during refrigerated storage</t>
  </si>
  <si>
    <t>INTERNATIONAL JOURNAL OF FOOD SCIENCE AND TECHNOLOGY</t>
  </si>
  <si>
    <t>Antarctic krill (Euphausia superba); muscle autolysis; protein degradation; refrigerated storage</t>
  </si>
  <si>
    <t>SHRIMP LITOPENAEUS-VANNAMEI; PACIFIC WHITE SHRIMP; POSTMORTEM STORAGE; OXIDATION; QUALITY; EXTRACT; FISH; MEAT; ICE; ROSENBERGII</t>
  </si>
  <si>
    <t>The aim of the study was to investigate the autolysis phenomenon in Antarctic krill during the buffer storage under refrigeration (after harvesting and before processing), groups of whole krill (WK) and of tail (TL) were stored at 4 degrees C and evaluated at 0, 6, 24, 36 and 48 h. The changes observed in visual appearance, sensory evaluation and meat yield jointly proved that severe autolysis had occurred, and this was more pronounced in the WK group than in the TL group. Meanwhile, the hardness of WK and TL groups decreased by 51.2% and 23.3%, and the shear force also decreased significantly from 3.26 N to 1.77 N and 2.28 N, respectively. Combined with the disrupted muscle microstructure and the conversion of bound water to immobilised water, the muscle tissue was found to be less stable as affected by the autolysis. The properties and structure of myofibrillar protein were dramatically changed, as revealed by the increased myofibril fragmentation index, decreased sulfhydryl content, and fluorescence intensity. Therefore, Antarctic krill can be deemed susceptible to autolysis during the buffer storage, especially whole krill. The information gained in this study improves our understanding of the effect of autolysis on muscle stability and its protein basis in Antarctic krill.</t>
  </si>
  <si>
    <t>[Zheng, Yao; Ping, Zeyu; Xu, Yang; Li, Xueying; Guo, Quanyou] Chinese Acad Fishery Sci, East China Sea Fisheries Res Inst, Shanghai 200090, Peoples R China; [Zheng, Yao; Xu, Yang; Guo, Quanyou] Minist Agr &amp; Rural Affairs, Key Lab Ocean &amp; Polar Fisheries, Shanghai 200090, Peoples R China; [Ping, Zeyu] Univ Shanghai Sci &amp; Technol, Sch Hlth Sci &amp; Engn, Shanghai 200093, Peoples R China</t>
  </si>
  <si>
    <t>Chinese Academy of Fishery Sciences; East China Sea Fisheries Research Institute, CAFS; Ministry of Agriculture &amp; Rural Affairs; University of Shanghai for Science &amp; Technology</t>
  </si>
  <si>
    <t>Guo, QY (corresponding author), Chinese Acad Fishery Sci, East China Sea Fisheries Res Inst, Shanghai 200090, Peoples R China.;Guo, QY (corresponding author), Minist Agr &amp; Rural Affairs, Key Lab Ocean &amp; Polar Fisheries, Shanghai 200090, Peoples R China.</t>
  </si>
  <si>
    <t>dhsguogy@163.com</t>
  </si>
  <si>
    <t>Zheng, Yao/0000-0003-0796-2184</t>
  </si>
  <si>
    <t>National key R&amp;D Program of China [2019YFD0901501]; Central Public-interest Scientific Institution Basal Research Fund, CAFS [2020TD68]</t>
  </si>
  <si>
    <t>National key R&amp;D Program of China; Central Public-interest Scientific Institution Basal Research Fund, CAFS</t>
  </si>
  <si>
    <t>This work was supported by the National key R&amp;D Program of China (2019YFD0901501) and Central Public-interest Scientific Institution Basal Research Fund, CAFS (NO. 2020TD68).</t>
  </si>
  <si>
    <t>0950-5423</t>
  </si>
  <si>
    <t>1365-2621</t>
  </si>
  <si>
    <t>INT J FOOD SCI TECH</t>
  </si>
  <si>
    <t>Int. J. Food Sci. Technol.</t>
  </si>
  <si>
    <t>10.1111/ijfs.16133</t>
  </si>
  <si>
    <t>6P8KA</t>
  </si>
  <si>
    <t>WOS:000878246700001</t>
  </si>
  <si>
    <t>Babonneau, N; Raisson, F; Genêt, A; Lopes, U; Fierens, R; Miramontes, E; Révillon, S; Rabineau, M; Droz, L; Belleney, D; Moulin, M; Aslanian, D</t>
  </si>
  <si>
    <t>Babonneau, Nathalie; Raisson, Francois; Genet, Adrien; Lopes, Ugo; Fierens, Ruth; Miramontes, Elda; Revillon, Sidonie; Rabineau, Marina; Droz, Laurence; Belleney, Deborah; Moulin, Maryline; Aslanian, Daniel</t>
  </si>
  <si>
    <t>Contourite on the Limpopo Corridor, Mozambique margin: Long-term evolution, facies distribution and Plio-Quaternary processes</t>
  </si>
  <si>
    <t>SEDIMENTOLOGY</t>
  </si>
  <si>
    <t>Bottom current; calcarenite; contourite; drift; moat; Mozambique</t>
  </si>
  <si>
    <t>DAVIE FRACTURE-ZONE; BOTTOM CURRENTS; DEEP-WATER; CHANNEL; SEDIMENTARY; MORPHOLOGY; VELOCITY; ADJACENT; SYSTEMS; GEOLOGY</t>
  </si>
  <si>
    <t>Bottom currents are key processes that contribute to the shaping of submarine slopes, with the redistribution of sediments in contourite systems. Despite numerous recent studies on contourite systems, the complexity and diversity of these sedimentary systems are still not fully understood and often underestimated. Their understanding requires comprehensive works integrating all scales from seismic architecture to microfacies. This paper focuses on a contouritic ridge located between 2000 m and 2500 m water depth on the Mozambique margin. Bathymetry, seismic data and piston cores collected during the PAMELA-MOZ3 cruise allow a multi-scale study from large depositional geometries to sedimentary facies. At the seismic scale, the contouritic ridge shows three stages of evolution with: (i) initiation and development of the drift/moat system; (ii) an intermediate stage with successive incisions and aggradations; and (iii) moat infill and drift erosion during the Plio-Quaternary. Plio-Quaternary deposits are composed of hemipelagic, turbiditic and contouritic facies filling the moat. Coarse-grained contouritic facies, dominated by planktonic foraminifera, are identified on the western flank of the ridge between the moat infill and the erosional area at the top of the ridge. They consist of condensed deposits, with sedimentation rate about 0.3 cm/ka, indicating a strong and stable bottom current that winnows away the fine-grained component. This facies could be present more generally in an intermediate position between erosion and depositional areas in contourite systems. At present, the contourite system is located at the transition depth between North Atlantic Deep Water and Antarctic Intermediate Water. Trajectories of bottom currents are complex and interact with sporadic turbidity currents and anti-clockwise eddies that participate in reshaping the sea floor morphology. Although Plio-Quaternary depositional geometries indicate the end of drift/moat development, the moat filling and drift erosion are also related to bottom currents and constitute atypical contouritic sedimentation.</t>
  </si>
  <si>
    <t>[Babonneau, Nathalie; Genet, Adrien; Lopes, Ugo; Fierens, Ruth; Revillon, Sidonie; Rabineau, Marina; Droz, Laurence; Belleney, Deborah; Moulin, Maryline; Aslanian, Daniel] Univ Bretagne Sud, IFREMER, CNRS, Univ Brest,UMR GEOOCEAN 6538, F-29280 Plouzane, France; [Raisson, Francois] TotalEnergies, CSTJF, Ave Larribau, F-64000 Pau, France; [Miramontes, Elda] Univ Bremen, MARUM Ctr Marine Environm Sci, D-28359 Bremen, Germany; [Miramontes, Elda] Univ Bremen, Fac Geosci, D-28359 Bremen, Germany; [Revillon, Sidonie] SEDISOR, Pl N Copernic, F-29280 Plouzane, France; [Belleney, Deborah] UBO, Inst Univ Europeen Mer, IFTG Littoral Environm Teledetect Geomat, UMR 6554, Pl Copern, F-29280 Plouzane, France</t>
  </si>
  <si>
    <t>Ifremer; Universite de Bretagne Occidentale; Centre National de la Recherche Scientifique (CNRS); Total SA; Centre Scientifique et Technique Jean Feger (CSTJF); University of Bremen; University of Bremen; Centre National de la Recherche Scientifique (CNRS); CNRS - Institute of Ecology &amp; Environment (INEE); Universite de Bretagne Occidentale; Institut Universitaire Europeen de la Mer (IUEM)</t>
  </si>
  <si>
    <t>Babonneau, N (corresponding author), Univ Bretagne Sud, IFREMER, CNRS, Univ Brest,UMR GEOOCEAN 6538, F-29280 Plouzane, France.</t>
  </si>
  <si>
    <t>nathalie.babonneau@univ-brest.fr</t>
  </si>
  <si>
    <t>BABONNEAU, Nathalie/F-8034-2012; Aslanian, Daniel/JWA-0851-2024; Moulin, Maryline/D-5242-2016; Rabineau, Marina/E-3408-2010</t>
  </si>
  <si>
    <t>Aslanian, Daniel/0000-0002-9394-606X; Moulin, Maryline/0000-0002-5685-2451; RAISSON, Francois/0000-0001-7920-8506; Rabineau, Marina/0000-0001-8420-1587; Revillon, Sidonie/0000-0001-8370-4545</t>
  </si>
  <si>
    <t>0037-0746</t>
  </si>
  <si>
    <t>1365-3091</t>
  </si>
  <si>
    <t>Sedimentology</t>
  </si>
  <si>
    <t>10.1111/sed.13045</t>
  </si>
  <si>
    <t>A3WI6</t>
  </si>
  <si>
    <t>hybrid, Green Published, Green Submitted</t>
  </si>
  <si>
    <t>WOS:000876331600001</t>
  </si>
  <si>
    <t>Kim, T; Kim, Y; Cheong, W; Cho, M; Lee, JI</t>
  </si>
  <si>
    <t>Kim, Taehwan; Kim, Yoonsup; Cheong, Wonseok; Cho, Moonsup; Lee, Jong Ik</t>
  </si>
  <si>
    <t>Ediacaran mafic magmatism recorded in Cambrian eclogites of the Ross orogen, Antarctica: Implications for the Neoproterozoic rifting episodes along the Pacific-Gondwana margin</t>
  </si>
  <si>
    <t>TERRA NOVA</t>
  </si>
  <si>
    <t>NORTHERN VICTORIA LAND; CENTRAL TRANSANTARCTIC MOUNTAINS; PB ZIRCON AGE; LANTERMAN RANGE; PASSIVE-MARGIN; BEARDMORE GROUP; VOLCANIC-ROCKS; BREAK-UP; GEOCHEMISTRY; EVOLUTION</t>
  </si>
  <si>
    <t>We report the first finding of Ediacaran mafic magmatism in northern Victoria Land of the Ross orogen, Antarctica, based on ca. 600-590 Ma magmatic zircon cores in Cambrian eclogites. The mafic magmatism could be either linked to ca. 615-590 Ma incipient convergent margin magmatism in central segment of the Ross orogen, or ca. 600-580 Ma continental rift-related volcanism widespread in eastern Australia. The latter is preferred based on the trace-element compositions distinctive from those of arc-related basalts and the depleted mantle-like Hf isotopic compositions of zircon. Our results suggest dual rifting episodes during both the Ediacaran and Cryogenian (ca. 670-650 Ma) in the East Antarctic margin, correlative with those in eastern Australia. A spatial distribution of coeval rifting and subduction along the Ediacaran margin of East Antarctica is readily accounted for by rift inheritance; the upper- and lower-plate geometry resulting from detachment and transform faulting.</t>
  </si>
  <si>
    <t>[Kim, Taehwan; Lee, Jong Ik] Korea Polar Res Inst, Div Earth Sci, Incheon, South Korea; [Kim, Yoonsup; Cheong, Wonseok; Cho, Moonsup] Chungbuk Natl Univ, Dept Earth &amp; Environm Sci, Cheongju 28644, South Korea</t>
  </si>
  <si>
    <t>Korea Polar Research Institute (KOPRI); Chungbuk National University</t>
  </si>
  <si>
    <t>Kim, Y (corresponding author), Chungbuk Natl Univ, Dept Earth &amp; Environm Sci, Cheongju 28644, South Korea.</t>
  </si>
  <si>
    <t>yoonsup@cbnu.ac.kr</t>
  </si>
  <si>
    <t>Kim, Taehwan/0000-0002-0586-3433</t>
  </si>
  <si>
    <t>Korea Polar Research Institute; Ministry of Oceans and Fisheries [KOPRI PE22050]</t>
  </si>
  <si>
    <t>Korea Polar Research Institute(Korea Polar Research Institute of Marine Research Placement (KOPRI)); Ministry of Oceans and Fisheries</t>
  </si>
  <si>
    <t>Korea Polar Research Institute; Ministry of Oceans and Fisheries, Grant/Award Number: KOPRI PE22050</t>
  </si>
  <si>
    <t>0954-4879</t>
  </si>
  <si>
    <t>1365-3121</t>
  </si>
  <si>
    <t>Terr. Nova</t>
  </si>
  <si>
    <t>10.1111/ter.12626</t>
  </si>
  <si>
    <t>7P2AP</t>
  </si>
  <si>
    <t>WOS:000876784800001</t>
  </si>
  <si>
    <t>Talis, EJ; Che-Castaldo, C; Sen, B; Krumhardt, K; Lynch, HJ</t>
  </si>
  <si>
    <t>Talis, Emma J.; Che-Castaldo, Christian; Sen, Bilgecan; Krumhardt, Kristen; Lynch, Heather J.</t>
  </si>
  <si>
    <t>Variability, skipped breeding and heavy-tailed dynamics in an Antarctic seabird</t>
  </si>
  <si>
    <t>JOURNAL OF ANIMAL ECOLOGY</t>
  </si>
  <si>
    <t>abundance; age-structured model; heavy-tailed dynamics; seabird; simulation; skipped breeding; time series; variability</t>
  </si>
  <si>
    <t>BLACK-SWAN EVENTS; POPULATION-DYNAMICS; PYGOSCELIS-ADELIAE; SOUTH SHETLAND; CLIMATE; SURVIVAL; DISTRIBUTIONS; REVEALS; IMPACT</t>
  </si>
  <si>
    <t>The population dynamics of many colonially breeding seabirds are characterized by large interannual fluctuations that cannot be explained by environmental conditions alone. This variation may be particularly confounded by the use of skipped breeding by seabirds as a life-history strategy, which directly impacts the number of breeding pairs and may affect the accuracy of breeding abundance as a metric of population health. Additionally, large fluctuations in time series may suggest that the underlying population dynamics are heavy tailed, allowing for a higher likelihood of extreme events than expected under Gaussian dynamics. Here, we investigated the effect of demography on time series for abundance of the Adelie penguin Pygoscelis adeliae and explored the occurrence of heavy-tailed dynamics in observed Adelie time series. We focus this study on the Adelie penguin as it is an important bellwether species long used to track the impacts of climate change and fishing on the Southern Ocean ecosystem and shares life-history traits with many colonial seabirds. We quantified the impacts of demographic rates, including skipped breeding, on time series of Adelie abundance simulated using an age-structured model. We also used observed time series of Adelie breeding abundance at all known Antarctic colonies to classify distributions for abundance as Gaussian or non-Gaussian heavy tailed. We then identified the cause of such heavy-tailed dynamics in simulated time series and linked these to spatial patterns in Adelie food resource variability. We found that breeding propensity drives observed breeding fluctuations more than any other vital rate, with high variability in skipped breeding decoupling true abundance from observed breeding abundance. We also found several Antarctic regions characterized by heavy-tailed dynamics in abundance. These regions were often also characterized by high variability in zooplankton availability. In simulated time series, heavy-tailed dynamics were strongly linked to high variability in adult survival. Our results illustrate that stochastic variability in abundance dynamics, particularly the presence of variable rates of skipped breeding, can challenge our interpretation of fluctuations in abundance through time and obscure the relationship between key environmental drivers and population abundance.</t>
  </si>
  <si>
    <t>[Talis, Emma J.] SUNY Stony Brook, Dept Appl Math &amp; Stat, Stony Brook, NY 11794 USA; [Talis, Emma J.; Che-Castaldo, Christian; Lynch, Heather J.] SUNY Stony Brook, Inst Adv Computat Sci, Stony Brook, NY 11794 USA; [Sen, Bilgecan; Lynch, Heather J.] SUNY Stony Brook, Dept Ecol &amp; Evolut, Stony Brook, NY 11794 USA; [Krumhardt, Kristen] Natl Ctr Atmospher Res NCAR, Climate &amp; Global Dynam, Boulder, CO USA</t>
  </si>
  <si>
    <t>State University of New York (SUNY) System; State University of New York (SUNY) Stony Brook; State University of New York (SUNY) System; State University of New York (SUNY) Stony Brook; State University of New York (SUNY) System; State University of New York (SUNY) Stony Brook; National Center Atmospheric Research (NCAR) - USA</t>
  </si>
  <si>
    <t>Talis, EJ (corresponding author), SUNY Stony Brook, Dept Appl Math &amp; Stat, Stony Brook, NY 11794 USA.;Talis, EJ (corresponding author), SUNY Stony Brook, Inst Adv Computat Sci, Stony Brook, NY 11794 USA.</t>
  </si>
  <si>
    <t>emma.talis@stonybrook.edu</t>
  </si>
  <si>
    <t>Sen, Bilgecan/I-1628-2019</t>
  </si>
  <si>
    <t>Sen, Bilgecan/0000-0002-7393-1805; Talis, Emma/0000-0002-7231-2607; Lynch, Heather/0000-0002-9026-1612; Che-Castaldo, Christian/0000-0002-7670-2178; Krumhardt, Kristen/0000-0002-8980-056X</t>
  </si>
  <si>
    <t>[19-IDS19-0028]</t>
  </si>
  <si>
    <t>We thank Stephanie Jenouvrier, Michelle LaRue and Matt Long for useful discussions that led to this study. E.J.T. also thanks Clare Flynn for helpful discussions throughout the development of the age-structured model. We also wish to acknowledge funding on NASA award 19-IDS19-0028, a seed award provided by the Stony Brook Office of the Vice President for Research (H.J.L.), as well as a graduate award provided by Stony Brook's Institute for Advanced Computational Sciences (E.J.T.).</t>
  </si>
  <si>
    <t>0021-8790</t>
  </si>
  <si>
    <t>1365-2656</t>
  </si>
  <si>
    <t>J ANIM ECOL</t>
  </si>
  <si>
    <t>J. Anim. Ecol.</t>
  </si>
  <si>
    <t>10.1111/1365-2656.13827</t>
  </si>
  <si>
    <t>Ecology; Zoology</t>
  </si>
  <si>
    <t>Environmental Sciences &amp; Ecology; Zoology</t>
  </si>
  <si>
    <t>7Q5KM</t>
  </si>
  <si>
    <t>WOS:000876771100001</t>
  </si>
  <si>
    <t>Bogdanov, I; Cherkezov, D; Velev, S; Darlenski, R</t>
  </si>
  <si>
    <t>Bogdanov, Ivan; Cherkezov, Dimitar; Velev, Stefan; Darlenski, Razvigor</t>
  </si>
  <si>
    <t>UV Radiation Exposure of Outdoor Workers in Antarctica</t>
  </si>
  <si>
    <t>PHOTOCHEMISTRY AND PHOTOBIOLOGY</t>
  </si>
  <si>
    <t>The Antarctic region is a place of increasing interest. A growing number of personnel are working outdoors in extreme environmental conditions. They receive significant exposure to solar ultraviolet radiation (UVR) and are thereby at increased risk of adverse consequences. The aim of this study was to evaluate the UVR dose received by the outdoor workers at the Bulgarian Antarctic Base. Ten Caucasian healthy subjects, 8 males and 2 females with a mean age of 38 years (29-51) were enrolled. Of them, 5 were scientists and 5 were logistic workers. We measured the accumulated daily dose of UVR assessed by standard erythemal dose (SED) in the two groups. All subjects wore personal dosimeters located near the face-he only noncovered skin area. The dosimeters were factory calibrated for use in the Antarctic region. No statistical difference (P = 0.441) could be revealed between the SEDs in the two groups. The maximum UVR dose detected in a single day was 67.9 SEDs, and the highest cumulative dose was 548.03 SEDs. Study results are showing extreme measurements of UVR received by the members of the expeditions. We suggest meticulous UV protection for outdoor workers.</t>
  </si>
  <si>
    <t>[Bogdanov, Ivan; Cherkezov, Dimitar; Darlenski, Razvigor] Acibadem Cityclin Tokuda Hosp, Dept Dermatol &amp; Venereol, Sofia, Bulgaria; [Velev, Stefan] Bulgarian Antarctic Inst, Sofia, Bulgaria; [Darlenski, Razvigor] Trakia Univ, Dept Dermatol &amp; Venereol, Stara Zagora, Bulgaria</t>
  </si>
  <si>
    <t>Trakia University</t>
  </si>
  <si>
    <t>Bogdanov, I (corresponding author), Acibadem Cityclin Tokuda Hosp, Dept Dermatol &amp; Venereol, Sofia, Bulgaria.</t>
  </si>
  <si>
    <t>iv.bogdanov@gmail.com</t>
  </si>
  <si>
    <t>Bogdanov, Ivan/HLP-6528-2023</t>
  </si>
  <si>
    <t>Bogdanov, Ivan/0000-0002-2845-6224</t>
  </si>
  <si>
    <t>National Program for Polar Research 2017-2021 of the Council of Ministers of Bulgaria [718]</t>
  </si>
  <si>
    <t>National Program for Polar Research 2017-2021 of the Council of Ministers of Bulgaria</t>
  </si>
  <si>
    <t>This study was supported by the National Program for Polar Research 2017-2021 adopted by Decision No. 718 of 29.08.2016 of the Council of Ministers of Bulgaria.</t>
  </si>
  <si>
    <t>0031-8655</t>
  </si>
  <si>
    <t>1751-1097</t>
  </si>
  <si>
    <t>PHOTOCHEM PHOTOBIOL</t>
  </si>
  <si>
    <t>Photochem. Photobiol.</t>
  </si>
  <si>
    <t>10.1111/php.13733</t>
  </si>
  <si>
    <t>Q7YR4</t>
  </si>
  <si>
    <t>WOS:000876806700001</t>
  </si>
  <si>
    <t>Bennetts, LG; Bitz, CM; Feltham, DL; Kohout, AL; Meylan, MH</t>
  </si>
  <si>
    <t>Bennetts, L. G.; Bitz, C. M.; Feltham, D. L.; Kohout, A. L.; Meylan, M. H.</t>
  </si>
  <si>
    <t>Marginal ice zone dynamics: future research perspectives and pathways</t>
  </si>
  <si>
    <t>PHILOSOPHICAL TRANSACTIONS OF THE ROYAL SOCIETY A-MATHEMATICAL PHYSICAL AND ENGINEERING SCIENCES</t>
  </si>
  <si>
    <t>marginal ice zone; sea ice; climate change</t>
  </si>
  <si>
    <t>ANTARCTIC SEA-ICE; FLOE SIZE; WAVE; TRANSECTS; BREAKUP; MODEL</t>
  </si>
  <si>
    <t>Perspectives are discussed on future directions for the field of marginal ice zone (MIZ) dynamics, based on the extraordinary progress made over the past decade in its theory, modelling and observations. Research themes are proposed that would shift the field's focus towards the broader implications of MIZ dynamics in the climate system. In particular, pathways are recommended for research that highlights the impacts of trends in the MIZ on the responses of Arctic and Antarctic sea ice to climate change.This article is part of the theme issue 'Theory, modelling and observations of marginal ice zone dynamics: multidisciplinary perspectives and outlooks'.</t>
  </si>
  <si>
    <t>[Bennetts, L. G.] Univ Adelaide, Sch Math Sci, Adelaide, SA 5005, Australia; [Bitz, C. M.] Univ Washington, Dept Atmospher Sci, Seattle, WA USA; [Feltham, D. L.] Univ Reading, Dept Meteorol, Reading, England; [Kohout, A. L.] Natl Inst Water &amp; Atmospher Res, Christchurch, New Zealand; [Meylan, M. H.] Univ Newcastle, Sch Math &amp; Phys Sci, Callaghan, NSW 2308, Australia</t>
  </si>
  <si>
    <t>University of Adelaide; University of Washington; University of Washington Seattle; University of Reading; National Institute of Water &amp; Atmospheric Research (NIWA) - New Zealand; University of Newcastle</t>
  </si>
  <si>
    <t>Bennetts, LG (corresponding author), Univ Adelaide, Sch Math Sci, Adelaide, SA 5005, Australia.</t>
  </si>
  <si>
    <t>luke.bennetts@adelaide.edu.au</t>
  </si>
  <si>
    <t>Bitz, Cecilia M/S-8423-2016; Bennetts, Luke/N-1448-2019; Meylan, Michael/A-7341-2010</t>
  </si>
  <si>
    <t>Bennetts, Luke/0000-0001-9386-7882; Meylan, Michael/0000-0002-3164-1367; Kohout, Alison/0000-0001-7193-8977</t>
  </si>
  <si>
    <t>1364-503X</t>
  </si>
  <si>
    <t>1471-2962</t>
  </si>
  <si>
    <t>PHILOS T R SOC A</t>
  </si>
  <si>
    <t>Philos. Trans. R. Soc. A-Math. Phys. Eng. Sci.</t>
  </si>
  <si>
    <t>OCT 31</t>
  </si>
  <si>
    <t>10.1098/rsta.2021.0267</t>
  </si>
  <si>
    <t>5A5JX</t>
  </si>
  <si>
    <t>WOS:000862925000004</t>
  </si>
  <si>
    <t>Bennetts, Luke G.; Bitz, Cecilia M.; Feltham, Daniel L.; Kohout, Alison L.; Meylan, Michael H.</t>
  </si>
  <si>
    <t>Theory, modelling and observations of marginal ice zone dynamics: multidisciplinary perspectives and outlooks</t>
  </si>
  <si>
    <t>marginal ice zone; dynamics; sea ice; ocean waves; wave-ice interactions; ice floes</t>
  </si>
  <si>
    <t>FLOATING ELASTIC DISCS; OCEAN WAVES; HYDROELASTIC RESPONSE; SEA-ICE; ATTENUATION</t>
  </si>
  <si>
    <t>The marginal ice zone (MIZ) is the dynamic interface between the open ocean and sea ice-covered ocean. It is characterized by interactions between surface gravity waves and granular ice covers consisting of relatively small, thin chunks of sea ice known as floes. This structure gives the MIZ markedly different properties to the thicker, quasi-continuous ice cover of the inner pack that waves do not reach, strongly influencing various atmosphere-ocean fluxes, especially the heat flux. The MIZ is a significant component of contemporary sea ice covers in both the Antarctic, where the ice cover is surrounded by the Southern Ocean and its fierce storms, and the Arctic, where the MIZ now occupies vast expanses in areas that were perennial only a decade or two ago. The trend towards the MIZ is set to accelerate, as it reinforces positive feedbacks weakening the ice cover. Therefore, understanding the complex, multiple-scale dynamics of the MIZ is essential to understanding how sea ice is evolving and to predicting its future. This article is part of the theme issue 'Theory, modelling and observations of marginal ice zone dynamics: multidisciplinary perspectives and outlooks'.</t>
  </si>
  <si>
    <t>[Bennetts, Luke G.] Univ Adelaide, Sch Math Sci, Adelaide, SA 5005, Australia; [Bitz, Cecilia M.] Univ Washington, Dept Atmospher Sci, Seattle, WA 98195 USA; [Feltham, Daniel L.] Univ Reading, Dept Meteorol, Reading, Berks, England; [Kohout, Alison L.] Natl Inst Water &amp; Atmospher Res, Christchurch, New Zealand; [Meylan, Michael H.] Univ Newcastle, Sch Math &amp; Phys Sci, Callaghan, NSW 2308, Australia</t>
  </si>
  <si>
    <t>Meylan, Michael/A-7341-2010; Bennetts, Luke G/F-1623-2010; Bitz, Cecilia M/S-8423-2016</t>
  </si>
  <si>
    <t>Meylan, Michael/0000-0002-3164-1367; Kohout, Alison/0000-0001-7193-8977</t>
  </si>
  <si>
    <t>Australian Research Council Future Fellowship; Australian Research Council Discovery Project [FT190100404]; United States National Science Foundation [DP200102828]; [PLR-1643431]; Australian Research Council [DP200102828] Funding Source: Australian Research Council</t>
  </si>
  <si>
    <t>Australian Research Council Future Fellowship(Australian Research Council); Australian Research Council Discovery Project(Australian Research Council); United States National Science Foundation(National Science Foundation (NSF)); ; Australian Research Council(Australian Research Council)</t>
  </si>
  <si>
    <t>L.G.B. is supported by an Australian Research Council Future Fellowship (FT190100404). L.G.B.and M.H.M. are supported by an Australian Research Council Discovery Project (DP200102828). C.M.B. is supported by the United States National Science Foundation (PLR-1643431).</t>
  </si>
  <si>
    <t>10.1098/rsta.2021.0265</t>
  </si>
  <si>
    <t>WOS:000862925000006</t>
  </si>
  <si>
    <t>Cooper, VT; Roach, LA; Thomson, J; Brenner, SD; Smith, MM; Meylan, MH; Bitz, CM</t>
  </si>
  <si>
    <t>Cooper, V. T.; Roach, L. A.; Thomson, J.; Brenner, S. D.; Smith, M. M.; Meylan, M. H.; Bitz, C. M.</t>
  </si>
  <si>
    <t>Wind waves in sea ice of the western Arctic and a global coupled wave-ice model</t>
  </si>
  <si>
    <t>sea ice; ocean waves; marginal ice zone; coupled wave-ice model; field observations; wave attenuation</t>
  </si>
  <si>
    <t>FLOE SIZE DISTRIBUTION; IN-SITU MEASUREMENTS; OCEAN WAVES; EQUILIBRIUM RANGE; ATTENUATION; CLIMATE; DISSIPATION; THICKNESS; PANCAKE; STRESS</t>
  </si>
  <si>
    <t>The retreat of Arctic sea ice is enabling increased ocean wave activity at the sea ice edge, yet the interactions between surface waves and sea ice are not fully understood. Here, we examine in situ observations of wave spectra spanning 2012-2021 in the western Arctic marginal ice zone (MIZ). Swells exceeding 30 cm are rarely observed beyond 100 km inside the MIZ. However, local wind waves are observed in patches of open water amid partial ice cover during the summer. These local waves remain fetch-limited between ice floes with heights less than 1 m. To investigate these waves at climate scales, we conduct experiments varying wave attenuation and generation in ice with a global model including coupled interactions between waves and sea ice. A weak high-frequency attenuation rate is required to simulate the local waves in observations. The choices of attenuation scheme and wind input in ice have a remarkable impact on the extent of wave activity across ice-covered oceans, particularly in the Antarctic. As well as demonstrating the need for stronger constraints on wave attenuation, our results suggest that further attention should be directed towards locally generated wind waves and their role in sea ice evolution.This article is part of the theme issue 'Theory, modelling and observations of marginal ice zone dynamics: multidisciplinary perspectives and outlooks'.</t>
  </si>
  <si>
    <t>[Cooper, V. T.; Roach, L. A.; Bitz, C. M.] Univ Washington, Dept Atmospher Sci, Seattle, WA 98195 USA; [Thomson, J.; Brenner, S. D.; Smith, M. M.] Univ Washington, Appl Phys Lab, Seattle, WA 98105 USA; [Meylan, M. H.] Univ Newcastle, Sch Informat &amp; Phys Sci, Callaghan, NSW 2308, Australia; [Roach, L. A.] Columbia Univ, NASA Goddard Inst Space Studies, New York, NY USA; [Roach, L. A.] Columbia Univ, Ctr Climate Syst Res, New York, NY USA</t>
  </si>
  <si>
    <t>University of Washington; University of Washington Seattle; University of Washington; University of Washington Seattle; University of Newcastle; National Aeronautics &amp; Space Administration (NASA); NASA Goddard Space Flight Center; Goddard Institute for Space Studies; Columbia University; Columbia University</t>
  </si>
  <si>
    <t>Cooper, VT (corresponding author), Univ Washington, Dept Atmospher Sci, Seattle, WA 98195 USA.</t>
  </si>
  <si>
    <t>vcooper@uw.edu</t>
  </si>
  <si>
    <t>Roach, Lettie/HKV-2511-2023; Smith, Madison/JME-8685-2023; Bitz, Cecilia M/S-8423-2016; Meylan, Michael/A-7341-2010; Thomson, Jim/C-7610-2012</t>
  </si>
  <si>
    <t>Roach, Lettie/0000-0003-4189-3928; Meylan, Michael/0000-0002-3164-1367; Cooper, Vincent/0000-0001-9697-1992; Brenner, Samuel/0000-0002-0826-1294; Smith, Madison/0000-0003-2259-042X; Thomson, Jim/0000-0002-8929-0088</t>
  </si>
  <si>
    <t>US Deptartment of Defense through a National Defense Science and Engineering Graduate Fellowship; US National Science Foundation (NSF) [OPP-1643431]; New Zealand Ministry of Business, Innovation and Employment-Science Investment Contract [C01X1914]; ONR [N00014-18-1-2687, N00014-16-1-2349]; NSF [OPP-1724467, OPP-1724748]; Office of Naval Research (ONR) through a National Defense Science and Engineering Graduate Fellowship; New Zealand Ministry of Business, Innovation &amp; Employment (MBIE) [C01X1914] Funding Source: New Zealand Ministry of Business, Innovation &amp; Employment (MBIE)</t>
  </si>
  <si>
    <t>US Deptartment of Defense through a National Defense Science and Engineering Graduate Fellowship; US National Science Foundation (NSF)(National Science Foundation (NSF)); New Zealand Ministry of Business, Innovation and Employment-Science Investment Contract; ONR(Office of Naval Research); NSF(National Science Foundation (NSF)); Office of Naval Research (ONR) through a National Defense Science and Engineering Graduate Fellowship(Office of Naval Research); New Zealand Ministry of Business, Innovation &amp; Employment (MBIE)(New Zealand Ministry of Business, Innovation and Employment (MBIE))</t>
  </si>
  <si>
    <t>V.T.C. thanks the US Deptartment of Defense and Office of Naval Research (ONR) for support through a National Defense Science and Engineering Graduate Fellowship. This work was supported by the US National Science Foundation (NSF) grant no. OPP-1643431 (V.T.C., L.A.R., C.M.B.), the New Zealand Ministry of Business, Innovation and Employment-Science Investment Contract C01X1914 (L.A.R.), ONR grant no. N00014-16-1-2349 (J.T.), ONR grant no. N00014-18-1-2687 (S.D.B.), and NSF grant nos OPP-1724467 and OPP-1724748 (M.M.S)</t>
  </si>
  <si>
    <t>10.1098/rsta.2021.0258</t>
  </si>
  <si>
    <t>WOS:000862925000017</t>
  </si>
  <si>
    <t>Squire, VA</t>
  </si>
  <si>
    <t>Squire, Vernon A.</t>
  </si>
  <si>
    <t>A prognosticative synopsis of contemporary marginal ice zone research</t>
  </si>
  <si>
    <t>marginal ice zone; waves; floe size distribution; dynamics; modelling; measurements</t>
  </si>
  <si>
    <t>SEA-ICE; OCEAN WAVES; ATTENUATION; EVOLUTION; SPECTRA</t>
  </si>
  <si>
    <t>Commentary narrated in this theme issue is recast to contextualize the diverse themes presented into a forward-looking conversation that synthesizes, debates opportunities for multidisciplinary advances and highlights topics that deserve enduring sharpened attention. Research oriented towards foundational elements of the marginal ice zone that relates to three unifying topic subclasses-namely (i) wave propagation through sea ice, (ii) floe size distributions and (iii) ice dynamics and break-up-and is encapsulated in mini-reviews provided by Thomson, Horvat and Dumont is revisited to distill it into a blueprint for the future guided by the cutting-edge, present-day knowledge documented herein by leading practitioners in the field. Six threads are signalled as imperative for prospective research, each with a bearing on Arctic and Antarctic sea-ice canopies in which the propensity for marginal ice zones to coexist with pack ice is greater as a result of global climate change reducing sea-ice resilience while increasing the prevalence and forcefulness of injurious storm winds and waves. This article is part of the theme issue 'Theory, modelling and observations of marginal ice zone dynamics: multidisciplinary perspectives and outlooks'.</t>
  </si>
  <si>
    <t>[Squire, Vernon A.] Univ Otago, Dept Math &amp; Stat, POB 56, Dunedin 9016, New Zealand</t>
  </si>
  <si>
    <t>University of Otago</t>
  </si>
  <si>
    <t>Squire, VA (corresponding author), Univ Otago, Dept Math &amp; Stat, POB 56, Dunedin 9016, New Zealand.</t>
  </si>
  <si>
    <t>vernon.squire@otago.ac.nz</t>
  </si>
  <si>
    <t>V.A.S. is appreciative of the continued support provided by the University of Otago over a long career up to the present day and especially acknowledges the graduate students and postdoctoral fellows who have taught him so much along the way.</t>
  </si>
  <si>
    <t>10.1098/rsta.2022.0094</t>
  </si>
  <si>
    <t>WOS:000862925000013</t>
  </si>
  <si>
    <t>Marginal ice zone dynamics</t>
  </si>
  <si>
    <t>marginal ice zone; waves; dynamics; morphology</t>
  </si>
  <si>
    <t>OCEAN WAVES; SEA-ICE</t>
  </si>
  <si>
    <t>For the best part of my entire career, I have focused on the marginal ice zone, abbreviated to MIZ by most sea ice scientists. Defined perfunctorily by the National Snow &amp; Ice Data Center as the part of the seasonal ice zone where waves, swells and other open ocean processes affect the sea ice, the MIZ habitually extends from the ice edge some 100-200 km into the ice pack with morphology that varies dramatically spatially and with time. In general, the Antarctic MIZ is wider than MIZs in the Arctic, recognizing that increases in the ferocity and incidence of storms and the durability of ice due to global climate change are already affecting the physical attributes of each MIZ. I provide here a somewhat historically tailored preamble to a unique compilation of up-to-the-minute MIZ research in this theme issue that includes the nexus between contemporary theoretical, modelling and experimental projects. A prognosticative synopsis of these projects is also included later in the volume, framed in the context of the ongoing ontogenesis of the research field. This article is part of the theme issue 'Theory, modelling and observations of marginal ice zone dynamics: multidisciplinary perspectives and outlooks'.</t>
  </si>
  <si>
    <t>[Squire, Vernon A.] Univ Otago, Dept Math &amp; Stat, POB 56, Dunedin, New Zealand</t>
  </si>
  <si>
    <t>Squire, VA (corresponding author), Univ Otago, Dept Math &amp; Stat, POB 56, Dunedin, New Zealand.</t>
  </si>
  <si>
    <t>10.1098/rsta.2021.0266</t>
  </si>
  <si>
    <t>WOS:000862925000015</t>
  </si>
  <si>
    <t>Waseda, T; Alberello, A; Nose, T; Toyota, T; Kodaira, T; Fujiwara, Y</t>
  </si>
  <si>
    <t>Waseda, Takuji; Alberello, Alberto; Nose, Takehiko; Toyota, Takenobu; Kodaira, Tsubasa; Fujiwara, Yasushi</t>
  </si>
  <si>
    <t>Observation of anomalous spectral downshifting of waves in the Okhotsk Sea Marginal Ice Zone</t>
  </si>
  <si>
    <t>Marginal Ice Zone; wave attenuation; spectral downshifting; nonlinear wave interaction; wave modelling; ocean waves</t>
  </si>
  <si>
    <t>OCEAN WAVES; RESONANT INTERACTION; ENERGY-TRANSFER; SOURCE TERMS; MODEL; ATTENUATION; DISSIPATION; EVOLUTION; THICKNESS; BREAKING</t>
  </si>
  <si>
    <t>Waves in the Marginal Ice Zone in the Okhotsk Sea are less studied compared to the Antarctic and Arctic. In February 2020, wave observations were conducted for the first time in the Okhotsk Sea, during the observational program by Patrol Vessel Soya. A wave buoy was deployed on the ice, and in situ wave observations were made by a ship-borne stereo imaging system and Inertial Measurement Unit. Sea ice was observed visually and by aerial photographs by drone, while satellite synthetic aperture radar provided basin-wide spatial distribution. On 12 February, a swell system propagating from east northeast was detected by both the stereo imaging system and the buoy-on-ice. The wave system attenuated from 0.34 m significant wave height to 0.25 m in about 90 km, while the wave period increased from 10 s to 15-17 s. This anomalous spectral downshifting was not reproduced by numerical hindcast and by applying conventional frequency-dependent exponential attenuation to the incoming frequency spectrum. The estimated rate of spectral downshifting, defined as a ratio of momentum and energy losses, was close to that of uni-directional wave evolution accompanied by breaking dissipation: this indicates that dissipation-driven nonlinear downshifting may be at work for waves propagating in ice.This article is part of the theme issue 'Theory, modelling and observations of marginal ice zone dynamics: multidisciplinary perspectives and outlooks'.</t>
  </si>
  <si>
    <t>[Waseda, Takuji; Nose, Takehiko; Kodaira, Tsubasa] Univ Tokyo, Grad Sch Frontier Sci, Kashiwa 2778563, Japan; [Alberello, Alberto] Univ East Anglia, Sch Math, Norwich NR4 7TJ, England; [Toyota, Takenobu] Hokkaido Univ, Inst Low Temp Sci, Sapporo 0600819, Japan; [Fujiwara, Yasushi] Kobe Univ, Grad Sch Maritime Sci, Kobe 6580022, Japan</t>
  </si>
  <si>
    <t>University of Tokyo; University of East Anglia; Hokkaido University; Kobe University</t>
  </si>
  <si>
    <t>Waseda, T (corresponding author), Univ Tokyo, Grad Sch Frontier Sci, Kashiwa 2778563, Japan.</t>
  </si>
  <si>
    <t>waseda@k.u-tokyo.ac.jp</t>
  </si>
  <si>
    <t>Waseda, Takuji/F-1445-2019; Toyota, Takenobu/D-9101-2012</t>
  </si>
  <si>
    <t>Fujiwara, Yasushi/0000-0003-2797-2072; Toyota, Takenobu/0000-0003-1264-1844; Waseda, Takuji/0000-0001-5403-5303</t>
  </si>
  <si>
    <t>Japanese Society for the Promotion of Science; [PE19055]; Grants-in-Aid for Scientific Research [22K12341] Funding Source: KAKEN</t>
  </si>
  <si>
    <t>Japanese Society for the Promotion of Science(Ministry of Education, Culture, Sports, Science and Technology, Japan (MEXT)Japan Society for the Promotion of Science); ; Grants-in-Aid for Scientific Research(Ministry of Education, Culture, Sports, Science and Technology, Japan (MEXT)Japan Society for the Promotion of ScienceGrants-in-Aid for Scientific Research (KAKENHI))</t>
  </si>
  <si>
    <t>A part of the research was conducted under the Arctic Challenge for Sustainability II (MEXT) and Kakenhi (JSPS) 19H00801, 19H05512, 22H00241. ALOS-2/PALSAR-2 images were provided by Japan Aerospace Exploration Agency (JAXA) through the 2nd Research Project on the Earth Observations (PI: ER2A4N012). A.A. was supported by the Japanese Society for the Promotion of Science (PE19055).</t>
  </si>
  <si>
    <t>10.1098/rsta.2021.0256</t>
  </si>
  <si>
    <t>WOS:000862925000001</t>
  </si>
  <si>
    <t>Tremblay, J; Schreiber, L; Greer, CW</t>
  </si>
  <si>
    <t>Tremblay, Julien; Schreiber, Lars; Greer, Charles W.</t>
  </si>
  <si>
    <t>High-resolution shotgun metagenomics: the more data, the better?</t>
  </si>
  <si>
    <t>BRIEFINGS IN BIOINFORMATICS</t>
  </si>
  <si>
    <t>shotgun metagenomics; bioinformatics; high-performance computing</t>
  </si>
  <si>
    <t>COVERAGE; GENOMES; GENES</t>
  </si>
  <si>
    <t>In shotgun metagenomics (SM), the state-of-the-art bioinformatic workflows are referred to as high-resolution shotgun metagenomics (HRSM) and require intensive computing and disk storage resources. While the increase in data output of the latest iteration of high-throughput DNA sequencing systems can allow for unprecedented sequencing depth at a minimal cost, adjustments in HRSM workflows will be needed to properly process these ever-increasing sequence datasets. One potential adaptation is to generate so-called shallow SM datasets that contain fewer sequencing data per sample as compared with the more classic high coverage sequencing. While shallow sequencing is a promising avenue for SM data analysis, detailed benchmarks using real-data are lacking. In this case study, we took four public SM datasets, one massive and the others moderate in size and subsampled each dataset at various levels to mimic shallow sequencing datasets of various sequencing depths. Our results suggest that shallow SM sequencing is a viable avenue to obtain sound results regarding microbial community structures and that high-depth sequencing does not bring additional elements for ecological interpretation. More specifically, results obtained by subsampling as little as 0.5 M sequencing clusters per sample were similar to the results obtained with the largest subsampled dataset for human gut and agricultural soil datasets. For an Antarctic dataset, which contained only a few samples, 4 M sequencing clusters per sample was found to generate comparable results to the full dataset. One area where ultra-deep sequencing and maximizing the usage of all data was undeniably beneficial was in the generation of metagenome-assembled genomes.</t>
  </si>
  <si>
    <t>[Tremblay, Julien; Schreiber, Lars] Natl Res Council Canada, Montreal, PQ, Canada; [Greer, Charles W.] Natl Res Council Canada, Genom &amp; Microbiomes Grp, Montreal, PQ, Canada</t>
  </si>
  <si>
    <t>National Research Council Canada; National Research Council Canada</t>
  </si>
  <si>
    <t>Tremblay, J (corresponding author), Natl Res Council Canada, Energy Min &amp; Environm Res Ctr, Montreal, PQ H4P 2R2, Canada.</t>
  </si>
  <si>
    <t>julien.tremblay@nrc-cnrc.gc.ca; lars.schreiber@nrc-cnrc.gc.ca; charles.greer@nrc-cnrc.gc.ca</t>
  </si>
  <si>
    <t>Schreiber, Lars/J-5937-2013</t>
  </si>
  <si>
    <t>Schreiber, Lars/0000-0003-3411-0083; Tremblay, Julien/0000-0002-6085-3481; Greer, Charles/0000-0002-8953-7810</t>
  </si>
  <si>
    <t>1467-5463</t>
  </si>
  <si>
    <t>1477-4054</t>
  </si>
  <si>
    <t>BRIEF BIOINFORM</t>
  </si>
  <si>
    <t>Brief. Bioinform.</t>
  </si>
  <si>
    <t>10.1093/bib/bbac443</t>
  </si>
  <si>
    <t>Biochemical Research Methods; Mathematical &amp; Computational Biology</t>
  </si>
  <si>
    <t>Biochemistry &amp; Molecular Biology; Mathematical &amp; Computational Biology</t>
  </si>
  <si>
    <t>8A4VG</t>
  </si>
  <si>
    <t>WOS:000880555900001</t>
  </si>
  <si>
    <t>Mayk, D; Harper, EM; Fietzke, J; Backeljau, T; Peck, LS</t>
  </si>
  <si>
    <t>Mayk, Dennis; Harper, Elizabeth M.; Fietzke, Jan; Backeljau, Thierry; Peck, Lloyd S.</t>
  </si>
  <si>
    <t>130 years of heavy metal pollution archived in the shell of the intertidal dog whelk, Nucella lapillus (Gastropoda, Muricidae)</t>
  </si>
  <si>
    <t>Museum collections; Environmental monitoring; Pollution management; Sewage; Lead emission</t>
  </si>
  <si>
    <t>NUCELLA-LAPILLUS; TRACE-METALS; SCHELDT ESTUARY; NORTH-SEA; LEAD; SEDIMENTS; DOGWHELK; ZINC; FOOD; CONTAMINATION</t>
  </si>
  <si>
    <t>Heavy metals in coastal waters are a great environmental concern in the North Sea since the middle of the 20th century. Regulatory efforts have led to a significant reduction in atmospheric and water-transported heavy metals. Still, high concentrations of these in sediments remain a risk for ecosystems, requiring close monitoring. Here, we investigated the applicability of Nucella lapillus museum collections as a tool for targeted tracking of chronic anthropogenic heavy metal pollution. We analysed the concentration ratios of the common heavy metals Cu, Cd, Pb, and Zn in relation to Ca in N. lapillus shells collected from the Dutch and Belgian intertidal zone over the last 130 years. We found that shell Cu/Ca and Zn/Ca concentration ratios remained remarkably constant, whereas Pb/Ca concentration trends were closely aligned with emissions of leaded petrol in Europe. Our results suggest that N. lapillus provides a suitable Pb pollution archive of the intertidal zone.</t>
  </si>
  <si>
    <t>[Mayk, Dennis; Harper, Elizabeth M.; Peck, Lloyd S.] Univ Cambridge, Dept Earth Sci, Downing St, Cambridge CB2 3EQ, England; [Mayk, Dennis; Harper, Elizabeth M.] British Antarctic Survey, Madingley Rd, Cambridge CB3 0ET, England; [Fietzke, Jan] Helmholtz Ctr Ocean Res, Geomar, Kiel, Germany; [Backeljau, Thierry] Royal Belgian Inst Nat Sci, Brussels, Belgium; [Backeljau, Thierry] Univ Antwerp, Evolutionary Ecol Grp, Antwerp, Belgium</t>
  </si>
  <si>
    <t>University of Cambridge; UK Research &amp; Innovation (UKRI); Natural Environment Research Council (NERC); NERC British Antarctic Survey; Helmholtz Association; GEOMAR Helmholtz Center for Ocean Research Kiel; Royal Belgian Institute of Natural Sciences; University of Antwerp</t>
  </si>
  <si>
    <t>Mayk, D (corresponding author), British Antarctic Survey, Madingley Rd, Cambridge CB3 0ET, England.</t>
  </si>
  <si>
    <t>dennis.mayk@cantab.net</t>
  </si>
  <si>
    <t>Harper, Elizabeth M/B-3890-2008</t>
  </si>
  <si>
    <t>NERC [NE/L002507/1]</t>
  </si>
  <si>
    <t>We are indebted to Dr. Yves Samyn, curator of the invertebrate collections of RBINS for allowing us to study the archival Nucella lapillus material under his care. This study was supported by a NERC studentship awarded to DM (NE/L002507/1).</t>
  </si>
  <si>
    <t>10.1016/j.marpolbul.2022.114286</t>
  </si>
  <si>
    <t>6C9IT</t>
  </si>
  <si>
    <t>WOS:000882318900003</t>
  </si>
  <si>
    <t>Chelchowski, M; Balazy, P; Kuklinski, P</t>
  </si>
  <si>
    <t>Chelchowski, Maciej; Balazy, Piotr; Kuklinski, Piotr</t>
  </si>
  <si>
    <t>Seasonal variability in macrobenthos assemblage parameters in the highly disturbed Antarctic intertidal zone-Relatively rich biodiversity year around</t>
  </si>
  <si>
    <t>ESTUARINE COASTAL AND SHELF SCIENCE</t>
  </si>
  <si>
    <t>Abundance; Diversity; Rocky shores; King George Island; Admiralty Bay</t>
  </si>
  <si>
    <t>KING GEORGE ISLAND; SOUTH SHETLAND ISLANDS; BENTHIC COMMUNITIES; ADMIRALTY BAY; ICE; COLONIZATION; TEMPERATURE; MACROALGAE; STRATEGIES; GASTROPODS</t>
  </si>
  <si>
    <t>To understand the impact of anthropogenically induced transformations of biological communities, their natu-rally occurring fluctuation must be recognized first. Therefore, the aim of this study was to investigate the variability in Antarctic intertidal benthic assemblage faunal composition during an annual cycle (King George Island 62 degrees S). Once a month, from December 2016 to November 2017, samples were collected at low-, mid-and high-tidal levels. Polychaetes were the most speciose group (15 species), followed by amphipods (12). Throughout the year, the most numerous taxa were gastropods (38% of the total number), followed by am-phipods (23%) and bivalves (22%). The general pattern of the number of species and their abundance and biomass depended on the season and exhibited the highest values in austral autumn (April-June). Both species richness and abundance were highest in June and lowest in August. This study discovered that Antarctic intertidal macrofauna assemblages quickly respond to changes in environmental conditions and thus reflect seasonal climate fluctuations. The rapid development of these assemblages when the conditions are favourable proves their opportunistic and highly adaptable nature, which is potentially a good prognosis for survival in this ever-changing ecosystem.</t>
  </si>
  <si>
    <t>[Chelchowski, Maciej; Balazy, Piotr; Kuklinski, Piotr] Polish Acad Sci, Marine Ecol Dept, Inst Oceanol, Powstancow Warszawy 55, PL-81712 Sopot, Poland</t>
  </si>
  <si>
    <t>Polish Academy of Sciences; Institute of Oceanology of the Polish Academy of Sciences</t>
  </si>
  <si>
    <t>Chelchowski, M (corresponding author), Polish Acad Sci, Marine Ecol Dept, Inst Oceanol, Powstancow Warszawy 55, PL-81712 Sopot, Poland.</t>
  </si>
  <si>
    <t>chelchowski@iopan.pl; balazy@iopan.pl; kuki@iopan.pl</t>
  </si>
  <si>
    <t>Chelchowski, Maciej/0000-0002-5742-1960</t>
  </si>
  <si>
    <t>National Science Centre Poland [2020/37/B/ST10/02905]; European Union [872690]; Marie Curie Actions (MSCA) [872690] Funding Source: Marie Curie Actions (MSCA)</t>
  </si>
  <si>
    <t>National Science Centre Poland(National Science Centre, Poland); European Union(European Union (EU)); Marie Curie Actions (MSCA)(Marie Curie Actions)</t>
  </si>
  <si>
    <t>This research was completed thanks to funding provided by a grant 2020/37/B/ST10/02905 to PK from the National Science Centre Poland. This study has received funding from the European Union's Horizon 2020 research and innovation programme under the Marie Skodowska-Curie grant agreement No 872690 CoastCarb.</t>
  </si>
  <si>
    <t>0272-7714</t>
  </si>
  <si>
    <t>1096-0015</t>
  </si>
  <si>
    <t>ESTUAR COAST SHELF S</t>
  </si>
  <si>
    <t>Estuar. Coast. Shelf Sci.</t>
  </si>
  <si>
    <t>10.1016/j.ecss.2022.108114</t>
  </si>
  <si>
    <t>6A0WD</t>
  </si>
  <si>
    <t>WOS:000880382200001</t>
  </si>
  <si>
    <t>Marchetti, A; Orlando, M; Mangiagalli, M; Lotti, M</t>
  </si>
  <si>
    <t>Marchetti, Alessandro; Orlando, Marco; Mangiagalli, Marco; Lotti, Marina</t>
  </si>
  <si>
    <t>A cold-active esterase enhances mesophilic properties through Mn2+ binding</t>
  </si>
  <si>
    <t>FEBS JOURNAL</t>
  </si>
  <si>
    <t>cold adaptation; enzyme stability; GDSx esterases; psychrophilic enzymes; temperature adaptation</t>
  </si>
  <si>
    <t>DIVALENT METAL-IONS; PSYCHROPHILIC METALLOPROTEASE; STRUCTURAL-ANALYSIS; ALPHA-AMYLASE; SP NOV.; X-RAY; PROTEIN; ENZYMES; SEQUENCE; SITES</t>
  </si>
  <si>
    <t>A key aspect of adaptation to cold environments is the production of cold-active enzymes by psychrophilic organisms. These enzymes not only have high activity at low temperatures, but also exhibit remarkable structural flexibility and thermolability. In this context, the role of metal ions has been little explored, and the few available studies seem to suggest that metal binding counteracts structural flexibility. This article reports an investigation into the role of the binding of manganese ion (Mn2+) in the thermal adaptation of an esterase (M-Est) of the GDSx family, identified in the genome of the Antarctic bacterium Marinomonas sp. ef1. M-Est is specific for esters containing acetate groups and turned out to be a highly thermolabile cold-active enzyme, with a catalysis optimum temperature of 5 degrees C and a melting temperature of 31.7 degrees C. A combination of biochemical and computational analyses, including molecular dynamics simulations, revealed that M-Est binds Mn2+ ions via a single binding site located on the surface of the enzyme, close to the active site. Although the interaction between M-Est and Mn2+ induces only local conformational changes involving the active site, quite surprisingly they trigger an improvement in both thermal stability and catalytic efficiency under mild temperature conditions. These results, together with the conservation of the Mn2+ binding site among psychrophilic and psychrotolerant homologues, suggest that Mn2+ binding may be a useful, albeit atypical, strategy to mitigate the detrimental effects of temperature on true cold-active enzymes.</t>
  </si>
  <si>
    <t>[Marchetti, Alessandro; Orlando, Marco; Mangiagalli, Marco; Lotti, Marina] Univ Milano Bicocca, Dept Biotechnol &amp; Biosci, Piazza Sci 2, I-20126 Milan, Italy; [Orlando, Marco] Univ Insubria, Dept Biotechnol &amp; Life Sci, Varese, Italy</t>
  </si>
  <si>
    <t>University of Milano-Bicocca; University of Insubria</t>
  </si>
  <si>
    <t>Mangiagalli, M (corresponding author), Univ Milano Bicocca, Dept Biotechnol &amp; Biosci, Piazza Sci 2, I-20126 Milan, Italy.</t>
  </si>
  <si>
    <t>marco.mangiagalli@unimib.it</t>
  </si>
  <si>
    <t>Orlando, Marco/GXG-1979-2022; MANGIAGALLI, MARCO/Q-9988-2018</t>
  </si>
  <si>
    <t>Orlando, Marco/0000-0002-5914-3052; MANGIAGALLI, MARCO/0000-0001-8211-165X; Marchetti, Alessandro/0000-0003-3866-5676; LOTTI, MARINA/0000-0001-5419-7572</t>
  </si>
  <si>
    <t>Fondo Ateneo per la Ricerca; Italian national PhD programme; Milano-Bicocca University</t>
  </si>
  <si>
    <t>The authors thank Mara Lumia for her contribution in the experimental set up and Sandra Pucciarelli of the University of Camerino for making genomic data available. This work was partly supported by Fondo Ateneo per la Ricerca to ML. AM acknowledges support by the Italian national PhD programme. MM and MO benefit from a post-doctoral fellowship from Milano-Bicocca University.</t>
  </si>
  <si>
    <t>1742-464X</t>
  </si>
  <si>
    <t>1742-4658</t>
  </si>
  <si>
    <t>FEBS J</t>
  </si>
  <si>
    <t>FEBS J.</t>
  </si>
  <si>
    <t>MAY</t>
  </si>
  <si>
    <t>10.1111/febs.16661</t>
  </si>
  <si>
    <t>Biochemistry &amp; Molecular Biology</t>
  </si>
  <si>
    <t>F3UH9</t>
  </si>
  <si>
    <t>WOS:000875857800001</t>
  </si>
  <si>
    <t>Zheng, HY; Ding, YH; Xue, YA; Xiao, KY; Zhu, JC; Liu, YG; Cai, MH</t>
  </si>
  <si>
    <t>Zheng, Hongyuan; Ding, Yunhao; Xue, Yingang; Xiao, Kaiyan; Zhu, Jincai; Liu, Yanguang; Cai, Minghong</t>
  </si>
  <si>
    <t>Occurrence, seasonal variations, and eco-risk of currently using organochlorine pesticides in surface seawater of the East China Sea and Western Pacific Ocean</t>
  </si>
  <si>
    <t>Currently using organochlorine pesticides; Western Pacific Ocean; East China Sea; Ecological risk; Seasonal variations</t>
  </si>
  <si>
    <t>ORGANOPHOSPHORUS PESTICIDES; AIR; ATMOSPHERE; CUPS</t>
  </si>
  <si>
    <t>We studied 19 targets currently using organochlorine pesticides (CUOCPs) from 98 samples in the Western Pacific Ocean and the East China Sea collected in 2019, 2020, and 2021. The samples were analyzed using a novel High-throat/High-volume Solid-Phase Extraction method. Eighteen individual CUOCPs were above the method detection limits. The levels of n-ary sumation 19CUOCPs ranged from 0.13 to 17.80 ng/L, with an average of 3.13 +/- 14.67 ng/L. Dicofol was the main pollutant in the Western Pacific Ocean, while Pyridaben dominated the East China Sea. In the summer, land-source input was the primary source in the Western Pacific Ocean and the East China Sea. Historical residues were the main source in the East China Sea in spring. In the summer, the ecological risk assessment results indicated a relatively low risk to the Western Pacific Ocean and the East China Sea.</t>
  </si>
  <si>
    <t>[Zheng, Hongyuan; Xiao, Kaiyan] Tongji Univ, Coll Environm Sci &amp; Engn, Shanghai 200092, Peoples R China; [Zheng, Hongyuan; Ding, Yunhao; Xiao, Kaiyan; Zhu, Jincai; Cai, Minghong] Polar Res Inst China, Minist Nat Resources, Key Lab Polar Sci, 451 Jinqiao Rd, Shanghai 200136, Peoples R China; [Ding, Yunhao; Xue, Yingang] Changzhou Univ, Sch Environm &amp; Safety Engn, Changzhou 213164, Jiangsu, Peoples R China; [Liu, Yanguang] Minist Nat Resources MNR, Inst Oceanog 1, Key Lab Marine Geol &amp; Metallogeny, Qingdao 266061, Peoples R China; [Zhu, Jincai; Cai, Minghong] Polar Res Inst China, Antarctic Great Wall Ecol Natl Observat &amp; Res Stn, 1000 Xuelong Rd, Shanghai 201209, Peoples R China; [Zhu, Jincai; Cai, Minghong] Shanghai Jiao Tong Univ, Sch Oceanog, 1954 Huashan Rd, Shanghai 200030, Peoples R China; [Liu, Yanguang] Minist Nat Resources MNR, Inst Oceanog 1, Qingdao 266061, Peoples R China; [Cai, Minghong] Polar Res Inst China, 451 Jinqiao Rd, Shanghai 200136, Peoples R China</t>
  </si>
  <si>
    <t>Tongji University; Polar Research Institute of China; Ministry of Natural Resources of the People's Republic of China; Changzhou University; Ministry of Natural Resources of the People's Republic of China; Polar Research Institute of China; Shanghai Jiao Tong University; Ministry of Natural Resources of the People's Republic of China; Polar Research Institute of China</t>
  </si>
  <si>
    <t>Liu, YG (corresponding author), Minist Nat Resources MNR, Inst Oceanog 1, Qingdao 266061, Peoples R China.;Cai, MH (corresponding author), Polar Res Inst China, 451 Jinqiao Rd, Shanghai 200136, Peoples R China.</t>
  </si>
  <si>
    <t>yanguangliu@fio.org.cn; caiminghong@pric.org.cn</t>
  </si>
  <si>
    <t>ZHENG, HONGYUAN/ABF-9513-2020</t>
  </si>
  <si>
    <t>ZHENG, HONGYUAN/0000-0002-0225-3883; JINCAI, ZHU/0000-0001-7998-9373</t>
  </si>
  <si>
    <t>National Natural Science Foun-dation of China; National Key Researchand Development Program of China; [41776202]; [2021YFC2801103]</t>
  </si>
  <si>
    <t>National Natural Science Foun-dation of China(National Natural Science Foundation of China (NSFC)); National Key Researchand Development Program of China; ;</t>
  </si>
  <si>
    <t>Acknowledgment This research was supported by the National Natural Science Foun-dation of China through Grant 41776202 and the National Key Researchand Development Program of China through Grant 2021YFC2801103.</t>
  </si>
  <si>
    <t>10.1016/j.marpolbul.2022.114300</t>
  </si>
  <si>
    <t>6C7QC</t>
  </si>
  <si>
    <t>WOS:000882202800001</t>
  </si>
  <si>
    <t>Laubenstein, T; Smith, TF; Hobday, AJ; Pecl, GT; Evans, K; Fulton, EA; O'Donnell, T</t>
  </si>
  <si>
    <t>Laubenstein, Taryn; Smith, Timothy F.; Hobday, Alistair J.; Pecl, Gretta T.; Evans, Karen; Fulton, Elizabeth A.; O'Donnell, Tayanah</t>
  </si>
  <si>
    <t>Threats to Australia's oceans and coasts: A systematic review</t>
  </si>
  <si>
    <t>Australia; Blue economy; Blue ribbon; Ecosystem services; Future; Ocean and coastal governance; Oceans and coasts sustainability</t>
  </si>
  <si>
    <t>GREAT-BARRIER-REEF; NEW-SOUTH-WALES; MARINE PROTECTED AREAS; SYDNEY ROCK OYSTER; GREEN SEA-TURTLES; CLIMATE-CHANGE; PLASTIC POLLUTION; RISK-ASSESSMENT; METAL CONTAMINATION; KAKADU REGION</t>
  </si>
  <si>
    <t>Oceans and coasts provide important ecosystem, livelihood, and cultural values to humans and the planet but face current and future compounding threats from anthropogenic activities associated with expanding pop-ulations and their use of and reliance on these environments. To respond to and mitigate these threats, there is a need to first systematically understand and categorise them. This paper reviewed 226 articles from the period 2010-2020 on threats to Australia's oceans and coasts, resulting in the identification of a total of 307 threats. Threats were grouped into three broad categories - threats from use and extraction; environmental and human -induced threats; and policy and socio-political threats -then ranked by frequency. The most common 'threats from use and extraction' were recreational activities, non-point source pollution, and urban development; the most common 'environmental and human-induced threat' was increased temperatures; and the most common 'policy and socio-political threat' was policy gaps and failures (e.g., a lack of coastal climate adaptation policies). The identification of threats across all three categories increased over time; however, the identification of 'threats from use and extraction' increased most rapidly over the last four years (2017-2020). Threats were most often described for their impacts on environmental values (68%), followed by economic (14%), socio-cultural (12%), and Indigenous (6%) values. Only 45 of the 226 papers (20%) discussed multiple threats. The threats facing Australia's oceans and coasts are rising, cumulative, and multi-faceted, and the inherent tensions between varied uses, along with intensification of uses that derive short-term anthropogenic benefit, will continue to degrade the ecological sustainability of ocean and coastal systems if actions are not taken.</t>
  </si>
  <si>
    <t>[Laubenstein, Taryn; O'Donnell, Tayanah] Australian Natl Univ, Fenner Sch Environm, Canberra, ACT, Australia; [Smith, Timothy F.] Univ Sunshine Coast, Sch Law &amp; Soc, Sustainabil Res Ctr, Sippy Downs, Qld, Australia; [Smith, Timothy F.] Brock Univ, Environm Sustainabil Res Ctr, St Catharines, ON, Canada; [Smith, Timothy F.] Uppsala Univ, SWEDESD, Dept Womens &amp; Childrens Hlth, Uppsala, Sweden; [Hobday, Alistair J.; Evans, Karen; Fulton, Elizabeth A.] CSIRO Oceans &amp; Atmosphere, Hobart, Tas 7000, Australia; [Hobday, Alistair J.; Pecl, Gretta T.; Fulton, Elizabeth A.] Univ Tasmania, Ctr Marine Socioecol, Hobart, Tas 7000, Australia; [Pecl, Gretta T.] Univ Tasmania, Inst Marine &amp; Antarctic Studies, Hobart, Tas 7000, Australia</t>
  </si>
  <si>
    <t>Australian National University; University of the Sunshine Coast; Brock University; Uppsala University; Commonwealth Scientific &amp; Industrial Research Organisation (CSIRO); University of Tasmania; University of Tasmania</t>
  </si>
  <si>
    <t>Laubenstein, T (corresponding author), Australian Natl Univ, Fenner Sch Environm, Canberra, ACT, Australia.</t>
  </si>
  <si>
    <t>taryn.laubenstein@anu.edu.au</t>
  </si>
  <si>
    <t>Pecl, Gretta/D-7267-2011; Huy, Hiep/JPY-1918-2023; Fulton, Beth/AAJ-1398-2021; Hobday, Alistair/A-1460-2012</t>
  </si>
  <si>
    <t>Pecl, Gretta/0000-0003-0192-4339; Fulton, Beth/0000-0002-5904-7917;</t>
  </si>
  <si>
    <t>Australian Government through the Australian Research Council [FT180100652]</t>
  </si>
  <si>
    <t>Australian Government through the Australian Research Council(Australian Research Council)</t>
  </si>
  <si>
    <t>This publication was linked to the Future Earth Australia and Australian Academy of Science National Strategy for Sustainable Oceans and Coasts 2021-2030'. TS acknowledges support of the Australian Government through the Australian Research Council's Discovery Projects Funding Scheme (Project FT180100652). The views expressed herein are those of the authors and are not necessarily those of the Australian Government or Australian Research Council.</t>
  </si>
  <si>
    <t>10.1016/j.ocecoaman.2022.106331</t>
  </si>
  <si>
    <t>6C9OE</t>
  </si>
  <si>
    <t>WOS:000882333000004</t>
  </si>
  <si>
    <t>Kim, H; Kim, HW; Lee, JH; Park, J; Lee, H; Kim, S; Shin, SC</t>
  </si>
  <si>
    <t>Kim, Heesoo; Kim, Han-Woo; Lee, Jun Hyuck; Park, Joonho; Lee, Hyoungseok; Kim, Sanghee; Shin, Seung Chul</t>
  </si>
  <si>
    <t>Gene family expansions in Antarctic winged midge as a strategy for adaptation to cold environments</t>
  </si>
  <si>
    <t>PAROCHLUS-STEINENII; GENOME; ANNOTATION; ALIGNMENT; TOLL; TEMPERATURES; DESATURASES; CYTOSCAPE; STRESS; TOOL</t>
  </si>
  <si>
    <t>Parochlus steinenii is the only flying insect native to Antarctica. To elucidate the molecular mechanisms underlying its adaptation to cold environments, we conducted comparative genomic analyses of P. steinenii and closely related lineages. In an analysis of gene family evolution, 68 rapidly evolving gene families, involved in the innate immune system, unfolded protein response, DNA packaging, protein folding, and unsaturated fatty acid biosynthesis were detected. Some gene families were P. steinenii-specific and showed phylogenetic instability. Acyl-CoA delta desaturase and heat shock cognate protein 70 (Hsc70) were representative gene families, showing signatures of positive selection with multiple gene duplication events. Acyl-CoA delta desaturases may play pivotal roles in membrane fluidity, and expanded Hsc70 genes may function as chaperones or thermal sensors in cold environments. These findings suggest that multiple gene family expansions contributed to the adaptation of P. steinenii to cold environments.</t>
  </si>
  <si>
    <t>[Kim, Heesoo; Lee, Hyoungseok; Kim, Sanghee; Shin, Seung Chul] Korea Polar Res Inst KOPRI, Div Life Sci, Incheon 21990, South Korea; [Kim, Heesoo] Nakdonggang Natl Inst Biol Resources NNIBR, Anim &amp; Plant Res Dept, Sangju Si, South Korea; [Kim, Han-Woo; Lee, Jun Hyuck] Korea Polar Res Inst, Res Unit Cryogen Novel Mat, Incheon 21990, South Korea; [Kim, Han-Woo; Lee, Jun Hyuck; Lee, Hyoungseok] Univ Sci &amp; Technol, Dept Polar Sci, Incheon 21990, South Korea; [Park, Joonho] Seoul Natl Univ Sci &amp; Technol, Dept Fine Chem, Seoul, South Korea</t>
  </si>
  <si>
    <t>Korea Polar Research Institute (KOPRI); Korea Polar Research Institute (KOPRI); Seoul National University of Science &amp; Technology</t>
  </si>
  <si>
    <t>Kim, S; Shin, SC (corresponding author), Korea Polar Res Inst KOPRI, Div Life Sci, Incheon 21990, South Korea.</t>
  </si>
  <si>
    <t>sangheekim@kopri.re.kr; biotech21@gmail.com</t>
  </si>
  <si>
    <t>Korea Polar Research Institute [PE22130, 22140]</t>
  </si>
  <si>
    <t>Korea Polar Research Institute(Korea Polar Research Institute of Marine Research Placement (KOPRI))</t>
  </si>
  <si>
    <t>This work was supported by the Korea Polar Research Institute (Grant Nos. PE22130 and 22140).</t>
  </si>
  <si>
    <t>OCT 29</t>
  </si>
  <si>
    <t>10.1038/s41598-022-23268-9</t>
  </si>
  <si>
    <t>5U5TK</t>
  </si>
  <si>
    <t>WOS:000876608900039</t>
  </si>
  <si>
    <t>Chenoli, SN; Diong, JY; Nor, MFFM; Yip, WS; Xavier, P; Chang, NK; Abu Samah, A</t>
  </si>
  <si>
    <t>Chenoli, Sheeba Nettukandy; Diong, Jeong Yik; Nor, Mohd Fadzil Firdzaus Mohd; Yip, Weng Sang; Xavier, Prince; Chang, Nursalleh K.; Abu Samah, Azizan</t>
  </si>
  <si>
    <t>Objective determination of the winter monsoon onset dates and its interannual variability in Malaysia</t>
  </si>
  <si>
    <t>Asian winter monsoon; ENSO and monsoon; IOD and monsoon; monsoon onset; monsoon onset date; monsoon season; northeast monsoon; northeast monsoon onset</t>
  </si>
  <si>
    <t>EAST ASIAN TELECONNECTION; SUMMER MONSOON; INDIAN-OCEAN; RAINFALL VARIABILITY; SOUTHEAST-ASIA; DIURNAL CYCLE; DIPOLE MODE; ENSO; CLIMATOLOGY; DEFINITION</t>
  </si>
  <si>
    <t>The northeast/winter monsoon over Malaysia often leads to extreme rainfall events and floods over the windward side of terrain due to the strong northeasterly winds. Comparatively, much less rain falls over the other are sheltered by the mountain ranges. Based on this consideration, the onset of monsoon in the region is best determined operationally using 925 hPa winds. Therefore, we propose the first, simple, single-variable-based method to determine the onset dates of winter monsoon is yet reliable and can be closely monitored for operational purposes. The onset date is defined in the third pentad when the average of three pentads of 925 hPa northerly wind speed is greater than 1 m center dot s(-1), and at least one of three pentads must be greater than 2.5 m center dot s(-1). The study also investigates the relationship between the interannual variability of onset date and El Nino-Southern Oscillation (ENSO) and Indian Ocean Dipole (IOD). Late-onset can be expected when La Nina develops in the boreal fall season. However, a similar association between monsoon onset and El Nino condition was not observed. The lead-lag correlation between the IOD and the onset dates shows that the onset is significantly negatively correlated with the IOD. During negative (positive) IOD events, a delay (early) onset is expected. Results also show that the relationship between the onset and IOD is more robust and linear than the ENSO.</t>
  </si>
  <si>
    <t>[Chenoli, Sheeba Nettukandy; Abu Samah, Azizan] Univ Malaya, Fac Arts &amp; Social Sci, Dept Geog, Kuala Lumpur, Malaysia; [Chenoli, Sheeba Nettukandy; Nor, Mohd Fadzil Firdzaus Mohd; Abu Samah, Azizan] Univ Malaya, Inst Ocean &amp; Earth Sci, IAS Bldg, Kuala Lumpur, Malaysia; [Chenoli, Sheeba Nettukandy; Nor, Mohd Fadzil Firdzaus Mohd; Abu Samah, Azizan] Univ Malaya, Natl Antarctic Res Ctr, IAS Bldg, Kuala Lumpur, Malaysia; [Diong, Jeong Yik; Yip, Weng Sang; Chang, Nursalleh K.] Malaysian Meteorol Dept, Res &amp; Tech Dev Div, Petaling Jaya, Malaysia; [Xavier, Prince] Met Off, Exeter, Devon, England</t>
  </si>
  <si>
    <t>Universiti Malaya; Universiti Malaya; Universiti Malaya; Met Office - UK</t>
  </si>
  <si>
    <t>Nor, MFFM (corresponding author), Univ Malaya, Inst Ocean &amp; Earth Sci, IAS Bldg, Kuala Lumpur, Malaysia.</t>
  </si>
  <si>
    <t>fadzilinnor84@gmail.com</t>
  </si>
  <si>
    <t>Chenoli, Sheeba Nettukandy/G-6726-2012; Mohd Nor, Mohd Fadzil Firdzaus/Y-7123-2018; ABU SAMAH, AZIZAN HJ/B-8295-2010; Diong, Jeongyik/AAD-4212-2019</t>
  </si>
  <si>
    <t>Mohd Nor, Mohd Fadzil Firdzaus/0000-0002-6145-6381; Diong, Jeongyik/0000-0003-1128-7425</t>
  </si>
  <si>
    <t>Ministry of Higher Education, Malaysia [LR001-2020, LRGS-MRUN 2016-1, LRGS/1/2016/ UTM/01/1/3]; FIO-UM Joint Center of Marine Science and Technology (JCMST); Met Office Weather and Climate Science for Service Partnership (WCSSP) Southeast Asia</t>
  </si>
  <si>
    <t>Ministry of Higher Education, Malaysia(Ministry of Education, Malaysia); FIO-UM Joint Center of Marine Science and Technology (JCMST); Met Office Weather and Climate Science for Service Partnership (WCSSP) Southeast Asia</t>
  </si>
  <si>
    <t>Ministry of Higher Education, Malaysia, Grant/Award Numbers: LR001-2020, LRGS-MRUN 2016-1, LRGS/1/2016/ UTM/01/1/3; FIO-UM Joint Center of Marine Science and Technology (JCMST); Met Office Weather and Climate Science for Service Partnership (WCSSP) Southeast Asia</t>
  </si>
  <si>
    <t>10.1002/joc.7895</t>
  </si>
  <si>
    <t>8L9QK</t>
  </si>
  <si>
    <t>WOS:000875574500001</t>
  </si>
  <si>
    <t>Martínez-Puchol, S; Cardona, L; Drago, M; Gazo, M; Bofill-Mas, S</t>
  </si>
  <si>
    <t>Martinez-Puchol, Sandra; Cardona, Luis; Drago, Massimiliano; Gazo, Manel; Bofill-Mas, Silvia</t>
  </si>
  <si>
    <t>Viral metagenomics reveals persistent as well as dietary acquired viruses in Antarctic fur seals</t>
  </si>
  <si>
    <t>ARCTOCEPHALUS-GAZELLA; IDENTIFICATION; VARIABILITY</t>
  </si>
  <si>
    <t>Viruses linked to animals inhabiting Antarctic latitudes remain poorly studied. Remote environments hosting large pinniped populations may be prone to exposure of immunologically naive animals to new infectious agents due to increasing human presence or introduction of new animal species. Antarctic fur seals (Arctocephalus gazella) inhabiting the Western Antarctic Peninsula and the South Shetland Islands are challenged because of climate change and increased anthropogenic activity. In the present study, the fecal and serum virome of A. gazella was characterized by applying target enrichment next generation sequencing. The resulting viromes were dominated by CRESS-DNA sequences. Viruses known to infect vertebrate and invertebrate hosts were also observed in fecal samples. Fur seal picornavirus was present in all the fecal pools studied suggesting it is a prevalent virus in these species. Six different viruses presenting similarities with previously described A. gazella viruses or other otariids and mammal viruses were identified as potential new A. gazella viruses. Also, diet-derived viruses such as crustacean viruses were present in fecal content. Penguin viruses, but not fish viruses, were also detected. Obtained results contribute to a better understanding of the viral community present in these species, which is relevant for its conservation.</t>
  </si>
  <si>
    <t>[Martinez-Puchol, Sandra; Bofill-Mas, Silvia] Univ Barcelona UB, Fac Biol, Dept Genet Microbiol &amp; Estadist, Lab Viruses Contaminants Water &amp; Food, Barcelona, Spain; [Martinez-Puchol, Sandra; Bofill-Mas, Silvia] Univ Barcelona UB, Inst Recerca Aigua IdRA, Barcelona, Spain; [Cardona, Luis; Drago, Massimiliano; Gazo, Manel] Univ Barcelona UB, Fac Biol, Inst Recerca Biodiversitat IRBio, Dept Biol Evolut Ecol &amp; Ciencies Ambientals, Barcelona, Spain</t>
  </si>
  <si>
    <t>University of Barcelona; University of Barcelona; University of Barcelona</t>
  </si>
  <si>
    <t>Martínez-Puchol, S (corresponding author), Univ Barcelona UB, Fac Biol, Dept Genet Microbiol &amp; Estadist, Lab Viruses Contaminants Water &amp; Food, Barcelona, Spain.;Martínez-Puchol, S (corresponding author), Univ Barcelona UB, Inst Recerca Aigua IdRA, Barcelona, Spain.</t>
  </si>
  <si>
    <t>smartinezpuchol@ub.edu</t>
  </si>
  <si>
    <t>Gazo, Manel/F-6088-2012; Drago, Massimiliano/K-1863-2017; Drago, Massimiliano/JAN-9491-2023; Cardona, Luis/L-1680-2014</t>
  </si>
  <si>
    <t>Gazo, Manel/0000-0003-1159-322X; Drago, Massimiliano/0000-0003-2764-9849; Drago, Massimiliano/0000-0003-2764-9849; Cardona, Luis/0000-0002-7892-1323</t>
  </si>
  <si>
    <t>Ministerio de Ciencia, Innovacion y Universidades (Spain) [CTM2017-83319-P]; AEI/FEDER/UE</t>
  </si>
  <si>
    <t>Ministerio de Ciencia, Innovacion y Universidades (Spain)(Spanish Government); AEI/FEDER/UE</t>
  </si>
  <si>
    <t>This project was financed by grant CTM2017-83319-P from Ministerio de Ciencia, Innovacion y Universidades (Spain) and supported by AEI/FEDER/UE. Silvia Bofill-Mas is a Serra-Hunter fellow at the University of Barcelona. We thank Marta Rusinol and Marta Itarte for their critical revision of the manuscript.</t>
  </si>
  <si>
    <t>OCT 28</t>
  </si>
  <si>
    <t>10.1038/s41598-022-23114-y</t>
  </si>
  <si>
    <t>5W7RB</t>
  </si>
  <si>
    <t>WOS:000878106700083</t>
  </si>
  <si>
    <t>Parada-Pozo, G; Bravo, LA; Sáez, PL; Cavieres, LA; Reyes-Díaz, M; Abades, S; Alfaro, FD; De la Iglesia, R; Trefault, N</t>
  </si>
  <si>
    <t>Parada-Pozo, Genesis; Bravo, Leon A.; Saez, Patricia L.; Cavieres, Lohengrin A.; Reyes-Diaz, Marjorie; Abades, Sebastian; Alfaro, Fernando D.; De la Iglesia, Rodrigo; Trefault, Nicole</t>
  </si>
  <si>
    <t>Vegetation drives the response of the active fraction of the rhizosphere microbial communities to soil warming in Antarctic vascular plants</t>
  </si>
  <si>
    <t>Antarctica; climate change; global warming; plant rhizosphere; soil microorganisms; vegetation cover</t>
  </si>
  <si>
    <t>BACTERIAL DIVERSITY; BIODIVERSITY; BIOGEOGRAPHY; SEQUENCES; PATTERNS; IMPACT; RANGE; ORDER</t>
  </si>
  <si>
    <t>In the Antarctic Peninsula, increases in mean annual temperature are associated with the coverage and population density of the two Antarctic vascular plant species-Deschampsia antarctica and Colobanthus quitensis-potentially modifying critical soil processes. In this study, we characterized the diversity and community composition of active microorganisms inhabiting the vascular plant rhizosphere in two sites with contrasting vegetation cover in King George Island, Western Antarctic Peninsula. We assessed the interplay between soil physicochemical properties and microbial diversity and composition, evaluating the effect of an in situ experimental warming on the microbial communities of the rhizosphere from D. antarctica and C. quitensis. Bacteria and Eukarya showed different responses to warming in both sites, and the effect was more noticeable in microbial eukaryotes from the low vegetation site. Furthermore, important changes were found in the relative abundance of Tepidisphaerales (Bacteria) and Ciliophora (Eukarya) between warming and control treatments. Our results showed that rhizosphere eukaryal communities are more sensitive to in situ warming than bacterial communities. Overall, our results indicate that vegetation drives the response of the active fraction of the microbial communities from the rhizosphere of Antarctic vascular plants to soil warming.</t>
  </si>
  <si>
    <t>[Parada-Pozo, Genesis; Abades, Sebastian; Alfaro, Fernando D.; Trefault, Nicole] Univ Mayor, Fac Ciencias, Ctr GEMA Genom, Ecologia Medio Ambiente, Santiago 8580745, Chile; [Bravo, Leon A.] Univ La Frontera, Fac Ciencias Agropecuarias Medioambiente, Dept Ciencias Agronom Recursos Natur, Temuco 4811230, Chile; [Saez, Patricia L.] Univ Concepcion, Fac Ciencias Forest, Dept Silvicultura, Ctr Biotecnol, Concepcion 4070386, Chile; [Saez, Patricia L.; Cavieres, Lohengrin A.] Inst Ecologia Biodiversidad IEB, Santiago 775000, Chile; [Cavieres, Lohengrin A.] Univ Concepcion, Fac Ciencias Natur &amp; Oceanograf, Dept Botan, Concepcion 4070386, Chile; [Reyes-Diaz, Marjorie] Univ La Frontera, Fac Ingn &amp; Ciencias, Dept Ciencias Quim Recursos Natur, Temuco 4811230, Chile; [Reyes-Diaz, Marjorie] Univ La Frontera, Ctr Plant, Soil Interact &amp; Nat Resources Biotechnol, Sci &amp; Technol Bioresource Nucleus BIOREN, Temuco 4811230, Chile; [De la Iglesia, Rodrigo] Pontificia Univ Catolica Chile, Dept Genet Mol Microbiologia, Santiago 8320000, Chile</t>
  </si>
  <si>
    <t>Universidad Mayor; Universidad de La Frontera; Universidad de Concepcion; Universidad de Concepcion; Universidad de La Frontera; Universidad de La Frontera; Pontificia Universidad Catolica de Chile</t>
  </si>
  <si>
    <t>Trefault, N (corresponding author), Camino Piramide 5750,Huechuraba, Santiago 8580745, Chile.</t>
  </si>
  <si>
    <t>nicole.trefault@umayor.cl</t>
  </si>
  <si>
    <t>Bravo, León/AAO-8437-2020; Cavieres, Lohengrin A./A-9542-2010; Alfaro, Fernando D./ABA-2789-2020</t>
  </si>
  <si>
    <t>Bravo, León/0000-0003-4705-4842; Cavieres, Lohengrin A./0000-0001-9122-3020; Saez, Patricia L./0000-0002-8594-7329; Alfaro Ayllon, Fernando Daniel/0000-0003-2922-1838; Abades, Sebastian/0000-0001-5704-4037; Parada-Pozo, Genesis/0000-0003-3721-1488; De la Iglesia, Rodrigo/0000-0002-2000-8697</t>
  </si>
  <si>
    <t>Associative Research Program of CONICYT [CONICYT-PIA ART-1102]; INACH [AN-02-12]; FONDECYT [1190879, INACH RT_34-17]; ANID/BASAL [FB210006]</t>
  </si>
  <si>
    <t>Associative Research Program of CONICYT; INACH; FONDECYT(Comision Nacional de Investigacion Cientifica y Tecnologica (CONICYT)CONICYT FONDECYT); ANID/BASAL</t>
  </si>
  <si>
    <t>This work was supported by The Associative Research Program of CONICYT (CONICYT-PIA ART-1102), INACH (AN-02-12), FONDECYT No 1190879, INACH RT_34-17 and ANID/BASAL FB210006.</t>
  </si>
  <si>
    <t>fiac099</t>
  </si>
  <si>
    <t>10.1093/femsec/fiac099</t>
  </si>
  <si>
    <t>5T3CV</t>
  </si>
  <si>
    <t>WOS:000875750100001</t>
  </si>
  <si>
    <t>Liautaud, P; Huybers, P</t>
  </si>
  <si>
    <t>Liautaud, Parker; Huybers, Peter</t>
  </si>
  <si>
    <t>Uniformitarian Prediction of Early-Pleistocene Atmospheric CO2</t>
  </si>
  <si>
    <t>CO2; Pleistocene; glacial cycle; Milankovitch; Bayesian; sea level</t>
  </si>
  <si>
    <t>CARBON-DIOXIDE CONCENTRATION; VOSTOK ICE CORE; ANTARCTIC ICE; OXYGEN-ISOTOPE; SEA-LEVEL; CLIMATE; TEMPERATURE; TRANSITION; VOLUME; EVOLUTION</t>
  </si>
  <si>
    <t>Despite recent empirical and modeling advances, atmospheric CO2 concentrations during the early Pleistocene remain uncertain. Using a recently-developed Bayesian paleoclimate model, an ensemble of seven different CO2 records is inferred conditional on reconstructions of past sea level. Five ensemble members give a consensus prediction that CO2 concentrations averaged 241 ppm (238-245 ppm 95% CI) between 2 and 0.8 Ma. Uncertainty estimates account for contributions from orbital forcing, age uncertainties, and other factors. Our consensus prediction aligns well with a compilation of previously published delta B-11-based CO2 reconstructions after calibration to late-Pleistocene ice-core CO2 values, as well as with 60 early-Pleistocene CO2 measurements from the Allan Hills in East Antarctica. Our consensus prediction can be definitively tested by obtaining continuous ice-core atmospheric CO2 records that extend into the early Pleistocene.</t>
  </si>
  <si>
    <t>[Liautaud, Parker; Huybers, Peter] Harvard Univ, Dept Earth &amp; Planetary Sci, 20 Oxford St, Cambridge, MA 02138 USA</t>
  </si>
  <si>
    <t>Harvard University</t>
  </si>
  <si>
    <t>Liautaud, P (corresponding author), Harvard Univ, Dept Earth &amp; Planetary Sci, 20 Oxford St, Cambridge, MA 02138 USA.</t>
  </si>
  <si>
    <t>parker_liautaud@g.harvard.edu</t>
  </si>
  <si>
    <t>Liautaud, Parker/0000-0001-5227-0844; Huybers, Peter/0000-0002-3734-8145</t>
  </si>
  <si>
    <t>NSF [2123295]; Division Of Ocean Sciences; Directorate For Geosciences [2123295] Funding Source: National Science Foundation</t>
  </si>
  <si>
    <t>NSF(National Science Foundation (NSF)); Division Of Ocean Sciences; Directorate For Geosciences(National Science Foundation (NSF)NSF - Directorate for Geosciences (GEO))</t>
  </si>
  <si>
    <t>This study was supported by the NSF Award 2123295. Edward Brook and Peter Clark (Oregon State University) provided helpful comments.</t>
  </si>
  <si>
    <t>e2022GL100304</t>
  </si>
  <si>
    <t>10.1029/2022GL100304</t>
  </si>
  <si>
    <t>5N3UQ</t>
  </si>
  <si>
    <t>Bronze, Green Submitted</t>
  </si>
  <si>
    <t>WOS:000871717000001</t>
  </si>
  <si>
    <t>Medley, B; Lenaerts, JTM; Dattler, M; Keenan, E; Wever, N</t>
  </si>
  <si>
    <t>Medley, B.; Lenaerts, J. T. M.; Dattler, M.; Keenan, E.; Wever, N.</t>
  </si>
  <si>
    <t>Predicting Antarctic Net Snow Accumulation at the Kilometer Scale and Its Impact on Observed Height Changes</t>
  </si>
  <si>
    <t>Antarctica; surface mass balance; altimetry</t>
  </si>
  <si>
    <t>SURFACE MASS-BALANCE; ELEVATION MODEL; WEST ANTARCTICA; ICE; VARIABILITY; CLIMATE; LAND</t>
  </si>
  <si>
    <t>Sub-grid-scale processes occurring at or near the surface of an ice sheet have a potentially large impact on local and integrated net accumulation of snow via redistribution and sublimation. Given observational complexity, they are either ignored or parameterized over large-length scales. Here, we train random forest (RF) models to predict variability in net accumulation over the Antarctic Ice Sheet using atmospheric variables and topographic characteristics as predictors at 1 km resolution. Observations of net snow accumulation from both in situ and airborne radar data provide the input observable targets needed to train the RF models. We find that local net accumulation deviates by as much as 172% of the atmospheric model mean. The correlation in space between the predicted net accumulation variability and satellite-derived surface-height change indicates that surface processes operate differently through time, driven largely by the seasonal anomalies in snow accumulation.</t>
  </si>
  <si>
    <t>[Medley, B.; Dattler, M.] NASA, Goddard Space Flight Ctr, Cryospher Sci Lab, Greenbelt, MD 20771 USA; [Lenaerts, J. T. M.; Keenan, E.; Wever, N.] Univ Colorado, Dept Atmospher &amp; Ocean Sci, Boulder, CO USA; [Dattler, M.] Univ Maryland Pk, Dept Atmospher &amp; Ocean Sci, College Pk, MD USA</t>
  </si>
  <si>
    <t>National Aeronautics &amp; Space Administration (NASA); NASA Goddard Space Flight Center; University of Colorado System; University of Colorado Boulder</t>
  </si>
  <si>
    <t>Medley, B (corresponding author), NASA, Goddard Space Flight Ctr, Cryospher Sci Lab, Greenbelt, MD 20771 USA.</t>
  </si>
  <si>
    <t>brooke.c.medley@nasa.gov</t>
  </si>
  <si>
    <t>; Lenaerts, Jan/D-9423-2012</t>
  </si>
  <si>
    <t>Wever, Nander/0000-0002-4829-8585; Lenaerts, Jan/0000-0003-4309-4011; Dattler, Marissa/0000-0002-3922-0006</t>
  </si>
  <si>
    <t>NASA</t>
  </si>
  <si>
    <t>NASA(National Aeronautics &amp; Space Administration (NASA))</t>
  </si>
  <si>
    <t>The work was supported by the NASA Studies with ICESat and CryoSat-2 and Interdisciplinary Research in Earth Sciences programs.</t>
  </si>
  <si>
    <t>e2022GL099330</t>
  </si>
  <si>
    <t>10.1029/2022GL099330</t>
  </si>
  <si>
    <t>5L6HO</t>
  </si>
  <si>
    <t>WOS:000870512700001</t>
  </si>
  <si>
    <t>D'Amico, M; Gambaro, A; Barbante, C; Barbaro, E; Caiazzo, L; Vecchiato, M</t>
  </si>
  <si>
    <t>D'Amico, Marianna; Gambaro, Andrea; Barbante, Carlo; Barbaro, Elena; Caiazzo, Laura; Vecchiato, Marco</t>
  </si>
  <si>
    <t>Occurrence of the UV-filter 2-Ethylhexyl 4-methoxycinnimate (EHMC) in Antarctic snow: First results</t>
  </si>
  <si>
    <t>MICROCHEMICAL JOURNAL</t>
  </si>
  <si>
    <t>Antarctica; Snow; UV-filter; EHMC</t>
  </si>
  <si>
    <t>PERSONAL CARE PRODUCTS; LONG-RANGE TRANSPORT; ENVIRONMENTAL-IMPACT; CHEMICALS; STATION</t>
  </si>
  <si>
    <t>The distribution of Personal Care Products in Antarctica is still far from being well documented. A pilot study was conducted to evaluate the presence of organic UV filters in Antarctica using GC-MS/MS. The 2-Ethylhexyl 4-methoxycinnimate (EHMC), also known as octinoxate, was detected for the first time in Antarctic surface snow, and also in snowmelt and ponds with concentrations from 0.4 ng/L up to 3.1 ng/L. In this pristine environment, human activities in scientific bases and facilities are a potential primary local source of EHMC. However, the results presented in this study suggest that long-range sources might also be responsible for the presence of EHMC in Antarctica. Considering the physicochemical properties of EHMC, long-range atmospheric transport is plausibly a relevant process involved in its deposition and accumulation in Antarctic snow. Two modelling studies on contaminants' long-range transport potential are compared to investigate the behaviour of EHMC in polar environments and its transport potential.</t>
  </si>
  <si>
    <t>[D'Amico, Marianna; Gambaro, Andrea; Barbante, Carlo; Vecchiato, Marco] CaFoscari Univ Venice, Dept Environm Sci v, Via Torino 155, I-30172 Venice, Venice, Italy; [Gambaro, Andrea; Barbante, Carlo; Barbaro, Elena; Vecchiato, Marco] Natl Res Council ISP CNR, Inst Polar Sci, Via Torino 155, I-30172 Venice, Venice, Italy; [Caiazzo, Laura] ENEA, Lab Observat &amp; Measurements Environm &amp; Climate, I-00123 Rome, Italy; [Vecchiato, Marco] Natl Res Council ISP CNR, Inst Polar Sci, Via Torino 155, I-30172 Venice, Venice, Italy</t>
  </si>
  <si>
    <t>Universita Ca Foscari Venezia; Consiglio Nazionale delle Ricerche (CNR); Istituto di Scienze Polari (ISP-CNR); Italian National Agency New Technical Energy &amp; Sustainable Economics Development; Consiglio Nazionale delle Ricerche (CNR); Istituto di Scienze Polari (ISP-CNR)</t>
  </si>
  <si>
    <t>Vecchiato, M (corresponding author), Natl Res Council ISP CNR, Inst Polar Sci, Via Torino 155, I-30172 Venice, Venice, Italy.</t>
  </si>
  <si>
    <t>vecchiato@unive.it</t>
  </si>
  <si>
    <t>D'Amico, Marianna/0000-0002-7838-5727; Vecchiato, Marco/0000-0002-5112-8472; BARBARO, ELENA/0000-0003-2639-7475</t>
  </si>
  <si>
    <t>Italian National Program for Research in Antarctica (PNRA18_00229 ECO AS:TRA project)</t>
  </si>
  <si>
    <t>Funds were provided by the Italian National Program for Research in Antarctica (PNRA18_00229 ECO AS:TRA project). We wish to thank Silvia Illuminati for her help during sampling. The authors thank Elga Lab water, High Wycombe UK for supplying the pure water systems used in this study.</t>
  </si>
  <si>
    <t>0026-265X</t>
  </si>
  <si>
    <t>1095-9149</t>
  </si>
  <si>
    <t>MICROCHEM J</t>
  </si>
  <si>
    <t>Microchem J.</t>
  </si>
  <si>
    <t>10.1016/j.microc.2022.108060</t>
  </si>
  <si>
    <t>5X5QQ</t>
  </si>
  <si>
    <t>WOS:000878654600003</t>
  </si>
  <si>
    <t>Saunderson, D; Mackintosh, A; McCormack, F; Jones, RS; Picard, G</t>
  </si>
  <si>
    <t>Saunderson, Dominic; Mackintosh, Andrew; McCormack, Felicity; Jones, Richard Selwyn; Picard, Ghislain</t>
  </si>
  <si>
    <t>Surface melt on the Shackleton Ice Shelf, East Antarctica (2003-2021)</t>
  </si>
  <si>
    <t>SELF-ORGANIZING MAPS; MASS-BALANCE; MICROWAVE RADIOMETERS; BUNGER HILLS; BREAK-UP; RETREAT; RECORD; WIND; SNOW; VARIABILITY</t>
  </si>
  <si>
    <t>Melt on the surface of Antarctic ice shelves can potentially lead to their disintegration, accelerating the flow of grounded ice to the ocean and raising global sea levels. However, the current understanding of the processes driving surface melt is incomplete, increasing uncertainty in predictions of ice shelf stability and thus of Antarctica's contribution to sea-level rise. Previous studies of surface melt in Antarctica have usually focused on either a process-level understanding of melt through energy-balance investigations or used metrics such as the annual number of melt days to quantify spatiotemporal variability in satellite observations of surface melt. Here, we help bridge the gap between work at these two scales. Using daily passive microwave observations from the AMSR-E and AMSR-2 sensors and the machine learning approach of a self-organising map, we identify nine representative spatial distributions (patterns) of surface melt on the Shackleton Ice Shelf in East Antarctica from 2002/03-2020/21. Combined with output from the RACMO2.3p3 regional climate model and surface topography from the REMA digital elevation model, our results point to a significant role for surface air temperatures in controlling the interannual variability in summer melt and also reveal the influence of localised controls on melt. In particular, prolonged melt along the grounding line shows the importance of katabatic winds and surface albedo. Our approach highlights the necessity of understanding both local and large-scale controls on surface melt and demonstrates that self-organising maps can be used to investigate the variability in surface melt on Antarctic ice shelves.</t>
  </si>
  <si>
    <t>[Saunderson, Dominic; Mackintosh, Andrew; McCormack, Felicity; Jones, Richard Selwyn] Monash Univ, Sch Earth Atmosphere &amp; Environm, Securing Antarct Environm Future, Clayton, Vic 3800, Australia; [Picard, Ghislain] Univ Grenoble Alpes, CNRS, Inst Geosci Environm IGE, UMR 5001, Grenoble, France; [Picard, Ghislain] Geol Survey Denmark &amp; Greenland GEUS, DK-1350 Copenhagen, Denmark</t>
  </si>
  <si>
    <t>Monash University; Communaute Universite Grenoble Alpes; Universite Grenoble Alpes (UGA); Centre National de la Recherche Scientifique (CNRS); CNRS - National Institute for Earth Sciences &amp; Astronomy (INSU); Geological Survey Of Denmark &amp; Greenland</t>
  </si>
  <si>
    <t>Saunderson, D (corresponding author), Monash Univ, Sch Earth Atmosphere &amp; Environm, Securing Antarct Environm Future, Clayton, Vic 3800, Australia.</t>
  </si>
  <si>
    <t>dominic.saunderson@monash.edu</t>
  </si>
  <si>
    <t>Picard, Ghislain/D-4246-2013; Jones, Richard Selwyn/AAJ-3949-2021; McCormack, Felicity/B-9218-2015</t>
  </si>
  <si>
    <t>Picard, Ghislain/0000-0003-1475-5853; Jones, Richard Selwyn/0000-0003-2988-0999; Saunderson, Dominic/0000-0001-7440-0101; Mackintosh, Andrew/0000-0002-6430-4711; McCormack, Felicity/0000-0002-2324-2120</t>
  </si>
  <si>
    <t>Monash Graduate Scholarship (MGS); Monash International Tuition Scholarship (MITS); Australian Research Council (ARC) [SR200100005]; ARC Discovery Early Career Research [DE210101433, DE210101923]; [ESA/AO/1-9570/18/I-DT - 4DAntarctica]; Australian Research Council [SR200100005, DE210101923, DE210101433] Funding Source: Australian Research Council</t>
  </si>
  <si>
    <t>Monash Graduate Scholarship (MGS)(Monash University); Monash International Tuition Scholarship (MITS); Australian Research Council (ARC)(Australian Research Council); ARC Discovery Early Career Research(Australian Research Council); ; Australian Research Council(Australian Research Council)</t>
  </si>
  <si>
    <t>Dominic Saunderson was supported by the Monash Graduate Scholarship (MGS) and Monash International Tuition Scholarship (MITS). This research was carried out as part of the Australian Research Council (ARC) SRIEAS grant SR200100005, Securing Antarctica's Environmental Future. Felicity McCormack and Richard Selwyn Jones were also respectively supported by ARC Discovery Early Career Research awards DE210101433 and DE210101923. Ghislain Picard was supported by ESA/AO/1-9570/18/I-DT - 4DAntarctica.</t>
  </si>
  <si>
    <t>OCT 27</t>
  </si>
  <si>
    <t>10.5194/tc-16-4553-2022</t>
  </si>
  <si>
    <t>5Q5ME</t>
  </si>
  <si>
    <t>WOS:000873874800001</t>
  </si>
  <si>
    <t>Dow, CF; Ross, N; Jeofry, H; Siu, K; Siegert, MJ</t>
  </si>
  <si>
    <t>Dow, C. F.; Ross, N.; Jeofry, H.; Siu, K.; Siegert, M. J.</t>
  </si>
  <si>
    <t>Antarctic basal environment shaped by high-pressure flow through a subglacial river system</t>
  </si>
  <si>
    <t>WEDDELL SEA SECTOR; ICE SHELF CAVITY; GROUNDING LINE; SHEET MODEL; WATER; DRAINAGE; CHANNEL; BENEATH; MELT; MELTWATER</t>
  </si>
  <si>
    <t>The stability of ice sheets and their contributions to sea level are modulated by high-pressure water that lubricates the base ofthe ice, facilitating rapid flow into the ocean. In Antarctica, subglacial processes are poorly characterized, limiting understanding of ice-sheet flow and its sensitivity to climate forcing. Here, using numerical modelling and geophysical data, we provide evidence of extensive, up to 460 km long, dendritically organized subglacial hydrological systems that stretch from the ice-sheet interior to the grounded margin. We show that these channels transport large fluxes (similar to 24 m(3) s(-1)) of freshwater at high pressure, potentially facilitating enhanced ice flow above. The water exits the ice sheet at specific locations, appearing to drive ice-shelf melting in these areas critical for ice-sheet stability. Changes in subglacial channel size can affect the water depth and pressure ofthe surrounding drainage system up to 100 km either side of the primary channel. Our results demonstrate the importance of incorporating catchment-scale basal hydrology in calculations of ice-sheet flow and in assessments of ice-shelf melt at grounding zones. Thus, understanding how marginal regions of Antarctica operate, and may change in the future, requires knowledge of processes acting within, and initiating from, the ice-sheet interior.</t>
  </si>
  <si>
    <t>[Dow, C. F.] Univ Waterloo, Dept Geog &amp; Environm Management, Waterloo, ON, Canada; [Dow, C. F.; Siu, K.] Univ Waterloo, Dept Appl Math, Waterloo, ON, Canada; [Ross, N.] Newcastle Univ, Sch Geog Polit &amp; Sociol, Newcastle Upon Tyne, Tyne &amp; Wear, England; [Jeofry, H.] Univ Malaysia Terengganu, Fac Sci &amp; Marine Environm, Kuala Nerus, Malaysia; [Jeofry, H.] Univ Malaysia Terengganu, Inst Oceanog &amp; Environm, Kuala Nerus, Malaysia; [Siegert, M. J.] Imperial Coll London, Grantham Inst, London, England; [Siegert, M. J.] Imperial Coll London, Dept Earth Sci &amp; Engn, London, England</t>
  </si>
  <si>
    <t>University of Waterloo; University of Waterloo; Newcastle University - UK; Universiti Malaysia Terengganu; Universiti Malaysia Terengganu; Imperial College London; Imperial College London</t>
  </si>
  <si>
    <t>Dow, CF (corresponding author), Univ Waterloo, Dept Geog &amp; Environm Management, Waterloo, ON, Canada.;Dow, CF (corresponding author), Univ Waterloo, Dept Appl Math, Waterloo, ON, Canada.</t>
  </si>
  <si>
    <t>christine.dow@uwaterloo.ca</t>
  </si>
  <si>
    <t>Siegert, Martin/M-9939-2019</t>
  </si>
  <si>
    <t>Siegert, Martin/0000-0002-0090-4806; Jeofry, Muhammad Hafeez/0000-0003-4638-4516; Dow, Christine/0000-0003-1346-2258; Siu, Kevin/0000-0002-5622-4535</t>
  </si>
  <si>
    <t>Natural Sciences and Engineering Research Council of Canada (NSERC) [RGPIN-03761-2017]; Canada Research Chairs Program [950-231237]; UK Natural Environment Research Council AFI [NE/G013071/1]; Newcastle University Humanities and Social Science (HASS) bid preparation fund; NSERC; University of Waterloo; University of Kansas; NASA Operation IceBridge grant [NNX16AH54G]; NSF [ANT-0424589]</t>
  </si>
  <si>
    <t>Natural Sciences and Engineering Research Council of Canada (NSERC)(Natural Sciences and Engineering Research Council of Canada (NSERC)); Canada Research Chairs Program(Canada Research Chairs); UK Natural Environment Research Council AFI; Newcastle University Humanities and Social Science (HASS) bid preparation fund; NSERC(Natural Sciences and Engineering Research Council of Canada (NSERC)); University of Waterloo; University of Kansas; NASA Operation IceBridge grant; NSF(National Science Foundation (NSF))</t>
  </si>
  <si>
    <t>We thank M. Werder for use of the Glacier Drainage System (GlaDS) model and M. Morlighem for provision of ISSM basal ice velocity and melt rates. C.F.D. was supported by the Natural Sciences and Engineering Research Council of Canada (NSERC; RGPIN-03761-2017) and the Canada Research Chairs Program (950-231237). M.J.S. and N.R. acknowledge support by the UK Natural Environment Research Council AFI grant NE/G013071/1. N.R. acknowledges funding from the Newcastle University Humanities and Social Science (HASS) bid preparation fund. K.S. was supported by NSERC and the University of Waterloo. We thank Compute Canada for provision of supercomputer resources. We acknowledge the use of data and/or data products from CReSIS generated with support from the University of Kansas, NSF grant ANT-0424589 and NASA Operation IceBridge grant NNX16AH54G.</t>
  </si>
  <si>
    <t>10.1038/s41561-022-01059-1</t>
  </si>
  <si>
    <t>6G9SM</t>
  </si>
  <si>
    <t>WOS:000874422500002</t>
  </si>
  <si>
    <t>Kazmierczak, E; Sun, SN; Coulon, V; Pattyn, F</t>
  </si>
  <si>
    <t>Kazmierczak, Elise; Sun, Sainan; Coulon, Violaine; Pattyn, Frank</t>
  </si>
  <si>
    <t>Subglacial hydrology modulates basal sliding response of the Antarctic ice sheet to climate forcing</t>
  </si>
  <si>
    <t>FREE-SURFACE FLOW; MODEL PISM-PIK; WATER-FLOW; GLACIER; MELT; GREENLAND; DRAINAGE; INSTABILITY; DEFORMATION; PROJECTIONS</t>
  </si>
  <si>
    <t>Major uncertainties in the response of ice sheets to environmental forcing are due to subglacial processes. These processes pertain to the type of sliding or friction law as well as the spatial and temporal evolution of the effective pressure at the base of ice sheets. We evaluate the classic Weertman-Budd sliding law for different power exponents (viscous to near plastic) and for different representations of effective pressure at the base of the ice sheet, commonly used for hard and soft beds. The sensitivity of the above slip laws is evaluated for the Antarctic ice sheet in two types of experiments: (i) the ABUMIP experiments in which ice shelves are instantaneously removed, leading to rapid grounding-line retreat and ice sheet collapse, and (ii) the ISMIP6 experiments with realistic ocean and atmosphere forcings for different Representative Concentration Pathway (RCP) scenarios. Results confirm earlier work that the power in the sliding law is the most determining factor in the sensitivity of the ice sheet to climatic forcing, where a higher power in the sliding law leads to increased mass loss for a given forcing. Here we show that spatial and temporal changes in water pressure or water flux at the base modulate basal sliding for a given power, especially for high-end scenarios, such as ABUMIP. In particular, subglacial models depending on subglacial water pressure decrease effective pressure significantly near the grounding line, leading to an increased sensitivity to climatic forcing for a given power in the sliding law. This dependency is, however, less clear under realistic forcing scenarios (ISMIP6).</t>
  </si>
  <si>
    <t>[Kazmierczak, Elise; Sun, Sainan; Coulon, Violaine; Pattyn, Frank] Univ Libre Bruxelles ULB, Lab Glaciol, Brussels, Belgium; [Sun, Sainan] Northumbria Univ, Dept Geog &amp; Environm Sci, Newcastle Upon Tyne, Tyne &amp; Wear, England</t>
  </si>
  <si>
    <t>Universite Libre de Bruxelles; Northumbria University</t>
  </si>
  <si>
    <t>Kazmierczak, E (corresponding author), Univ Libre Bruxelles ULB, Lab Glaciol, Brussels, Belgium.</t>
  </si>
  <si>
    <t>elise.kazmierczak@ulb.be</t>
  </si>
  <si>
    <t>Pattyn, Frank/AAA-9640-2019</t>
  </si>
  <si>
    <t>Pattyn, Frank/0000-0003-4805-5636; Coulon, Violaine/0000-0003-2683-7434; Sun, Sainan/0000-0002-1614-2658; Kazmierczak, Elise/0000-0001-9606-6132</t>
  </si>
  <si>
    <t>Universite libre de Bruxelles; European Union [869304]</t>
  </si>
  <si>
    <t>Universite libre de Bruxelles; European Union(European Union (EU))</t>
  </si>
  <si>
    <t>This research has been supported by a scholarship of the Universite libre de Bruxelles and partly by the European Union's Horizon 2020 research and innovation programme under grant agreement no. 869304.</t>
  </si>
  <si>
    <t>10.5194/tc-16-4537-2022</t>
  </si>
  <si>
    <t>5Q5ND</t>
  </si>
  <si>
    <t>WOS:000873877300001</t>
  </si>
  <si>
    <t>Morgenstern, O; Kinnison, DE; Mills, M; Michou, M; Horowitz, LW; Lin, P; Deushi, M; Yoshida, K; O'Connor, FM; Tang, YM; Abraham, NL; Keeble, J; Dennison, F; Rozanov, E; Egorova, T; Sukhodolov, T; Zeng, G</t>
  </si>
  <si>
    <t>Morgenstern, Olaf; Kinnison, Douglas E.; Mills, Michael; Michou, Martine; Horowitz, Larry W.; Lin, Pu; Deushi, Makoto; Yoshida, Kohei; O'Connor, Fiona M.; Tang, Yongming; Abraham, N. Luke; Keeble, James; Dennison, Fraser; Rozanov, Eugene; Egorova, Tatiana; Sukhodolov, Timofei; Zeng, Guang</t>
  </si>
  <si>
    <t>Comparison of Arctic and Antarctic Stratospheric Climates in Chemistry Versus No-Chemistry Climate Models</t>
  </si>
  <si>
    <t>ozone-climate interaction; ozone depletion; deep coupling; climate model; tuning; non-orographic gravity wave</t>
  </si>
  <si>
    <t>OZONE DEPLETION; REANALYSIS</t>
  </si>
  <si>
    <t>Using nine chemistry-climate and eight associated no-chemistry models, we investigate the persistence and timing of cold episodes occurring in the Arctic and Antarctic stratosphere during the period 1980-2014. We find systematic differences in behavior between members of these model pairs. In a first group of chemistry models whose dynamical configurations mirror their no-chemistry counterparts, we find an increased persistence of such cold polar vortices, such that these cold episodes often start earlier and last longer, relative to the times of occurrence of the lowest temperatures. Also the date of occurrence of the lowest temperatures, both in the Arctic and the Antarctic, is often delayed by 1-3 weeks in chemistry models, versus their no-chemistry counterparts. This behavior exacerbates a widespread problem occurring in most or all models, a delayed occurrence, in the median, of the most anomalously cold day during such cold winters. In a second group of model pairs there are differences beyond just ozone chemistry. In particular, here the chemistry models feature more levels in the stratosphere, a raised model top, and differences in non-orographic gravity wave drag versus their no-chemistry counterparts. Such additional dynamical differences can completely mask the above influence of ozone chemistry. The results point toward a need to retune chemistry-climate models versus their no-chemistry counterparts.</t>
  </si>
  <si>
    <t>[Morgenstern, Olaf; Zeng, Guang] Natl Inst Water &amp; Atmospher Res, Wellington, New Zealand; [Kinnison, Douglas E.; Mills, Michael] Natl Ctr Atmospher Res, POB 3000, Boulder, CO 80307 USA; [Michou, Martine] Ctr Natl Rech Meteorol CNRM, Toulouse, France; [Horowitz, Larry W.] NOAA, Geophys Fluid Dynam Lab GFDL, Princeton, NJ USA; [Lin, Pu] Princeton Univ, Program Atmospher &amp; Ocean Sci, Princeton, NJ 08544 USA; [Deushi, Makoto; Yoshida, Kohei] Japan Meteorol Agcy, Meteorol Res Inst MRI, Tsukuba, Ibaraki, Japan; [O'Connor, Fiona M.; Tang, Yongming] Hadley Ctr MetOff, Exeter, Devon, England; [Abraham, N. Luke; Keeble, James] Univ Cambridge, Dept Chem, Cambridge, England; [Abraham, N. Luke; Keeble, James] Univ Cambridge, Natl Ctr Atmospher Sci, Cambridge, England; [Dennison, Fraser] CSIRO, Aspendale, Vic, Australia; [Rozanov, Eugene; Egorova, Tatiana; Sukhodolov, Timofei] World Radiat Ctr, Phys Meteorol Observ, Davos, Switzerland; [Rozanov, Eugene] Swiss Fed Inst Technol, Inst Atmospher &amp; Climate Sci, Zurich, Switzerland; [Rozanov, Eugene; Sukhodolov, Timofei] St Petersburg State Univ, St Petersburg, Russia; [Sukhodolov, Timofei] Univ Nat Resources &amp; Life Sci, Inst Meteorol &amp; Climatol, Vienna, Austria</t>
  </si>
  <si>
    <t>National Institute of Water &amp; Atmospheric Research (NIWA) - New Zealand; National Center Atmospheric Research (NCAR) - USA; National Oceanic Atmospheric Admin (NOAA) - USA; Princeton University; National Oceanic Atmospheric Admin (NOAA) - USA; Japan Meteorological Agency; University of Cambridge; UK Research &amp; Innovation (UKRI); Natural Environment Research Council (NERC); NERC National Centre for Atmospheric Science; University of Cambridge; Commonwealth Scientific &amp; Industrial Research Organisation (CSIRO); Swiss Federal Institutes of Technology Domain; ETH Zurich; Saint Petersburg State University; BOKU University</t>
  </si>
  <si>
    <t>Morgenstern, O (corresponding author), Natl Inst Water &amp; Atmospher Res, Wellington, New Zealand.</t>
  </si>
  <si>
    <t>olaf.morgenstern@niwa.co.nz</t>
  </si>
  <si>
    <t>Egorova, Tatiana/ABB-4664-2021; Horowitz, Larry W/D-8048-2014; Lin, Pu/D-4393-2014; Mills, Michael/B-5068-2010</t>
  </si>
  <si>
    <t>Egorova, Tatiana/0000-0001-8300-3642; Horowitz, Larry W/0000-0002-5886-3314; Lin, Pu/0000-0003-2577-6094; Kinnison, Douglas/0000-0002-3418-0834; Deushi, Makoto/0000-0002-0373-3918; Sukhodolov, Timofei/0000-0001-7100-738X; O'Connor, Fiona/0000-0003-2893-4828; Yoshida, Kohei/0000-0002-2422-5584; Morgenstern, Olaf/0000-0002-9967-9740; Mills, Michael/0000-0002-8054-1346</t>
  </si>
  <si>
    <t>IGAC; SPARC; CEDA; NZ Government's Strategic Science Investment Fund (SSIF) through the NIWA programme CACV; Japan Society for the Promotion of Science KAKENHI [JP20K04070]; Met Office Hadley Centre Climate Programme - BEIS; National Oceanic and Atmospheric Administration, U.S. Department of Commerce [NA18OAR4320123]; Swiss National Supercomputing Centre (CSCS) [S-901, 154, S-1029, 249, S-903]; Swiss National Science Foundation (SNSF) project POLE [200020-182239]; Ministry of Science and Higher Education of the Russian Federation [075-15-2021-583]</t>
  </si>
  <si>
    <t>IGAC; SPARC; CEDA; NZ Government's Strategic Science Investment Fund (SSIF) through the NIWA programme CACV; Japan Society for the Promotion of Science KAKENHI(Ministry of Education, Culture, Sports, Science and Technology, Japan (MEXT)Japan Society for the Promotion of ScienceGrants-in-Aid for Scientific Research (KAKENHI)); Met Office Hadley Centre Climate Programme - BEIS; National Oceanic and Atmospheric Administration, U.S. Department of Commerce(National Oceanic Atmospheric Admin (NOAA) - USA); Swiss National Supercomputing Centre (CSCS); Swiss National Science Foundation (SNSF) project POLE(Swiss National Science Foundation (SNSF)); Ministry of Science and Higher Education of the Russian Federation</t>
  </si>
  <si>
    <t>We acknowledge the World Climate Research Programme, which, through its Working Group on Coupled Modelling, coordinated and promoted CMIP6. We thank the climate modeling groups for producing and making available their model output, the Earth System Grid Federation (ESGF) for archiving the data and providing access, and the multiple funding agencies who support CMIP6 and ESGF. We also acknowledge IGAC, SPARC, and CEDA for their support of CCMI. We acknowledge NOAA/OAR/ESRL PSL, Boulder, Colorado, USA, for providing the NCEP/DOE Reanalysis 2 data, ECMWF for providing the ERA5 data, and KNMI for providing the MSR-2 total-column ozone climatology. OM and GZ were supported by the NZ Government's Strategic Science Investment Fund (SSIF) through the NIWA programme CACV. MD was supported by the Japan Society for the Promotion of Science KAKENHI (grant number: JP20K04070). FMO'C and YT were supported by the Met Office Hadley Centre Climate Programme funded by BEIS. PL is under award NA18OAR4320123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 All calculations with the SOCOLv4.0 model were supported by the Swiss National Supercomputing Centre (CSCS) under projects S-901 (ID 154), S-1029 (ID 249), and S-903. ER, TE, and TS were supported by the Swiss National Science Foundation (SNSF) project POLE (Grant No. 200020-182239). TS and ER have also been partly supported by the Ministry of Science and Higher Education of the Russian Federation (Grant No. 075-15-2021-583). Open access publishing facilitated by National Institute of Water and Atmospheric Research, as part of the Wiley - National Institute of Water and Atmospheric Research agreement via the Council of Australian University Librarians.</t>
  </si>
  <si>
    <t>e2022JD037123</t>
  </si>
  <si>
    <t>10.1029/2022JD037123</t>
  </si>
  <si>
    <t>5N7KG</t>
  </si>
  <si>
    <t>WOS:000871966500001</t>
  </si>
  <si>
    <t>Tan, YH; Poong, SW; Yang, CH; Lim, PE; John, B; Pai, TW; Phang, SM</t>
  </si>
  <si>
    <t>Tan, Yong-Hao; Poong, Sze-Wan; Yang, Cing-Han; Lim, Phaik-Eem; John, Beardall; Pai, Tun-Wen; Phang, Siew-Moi</t>
  </si>
  <si>
    <t>Transcriptomic analysis reveals distinct mechanisms of adaptation of a polar picophytoplankter under ocean acidification conditions</t>
  </si>
  <si>
    <t>MARINE ENVIRONMENTAL RESEARCH</t>
  </si>
  <si>
    <t>Ocean acidification; Transcriptomics; Picochlorophyte</t>
  </si>
  <si>
    <t>CARBON-CONCENTRATING MECHANISMS; WATER-WATER CYCLE; NITRIC-OXIDE; PHOTOSYSTEM-II; STRUCTURAL ORGANIZATION; FLAVODIIRON PROTEINS; MICROMONAS-PUSILLA; GENOME REVEALS; ELEVATED CO2; GROWTH</t>
  </si>
  <si>
    <t>Human emissions of carbon dioxide are causing irreversible changes in our oceans and impacting marine phytoplankton, including a group of small green algae known as picochlorophytes. Picochlorophytes grown in natural phytoplankton communities under future predicted levels of carbon dioxide have been demonstrated to thrive, along with redistribution of the cellular metabolome that enhances growth rate and photosynthesis. Here, using next-generation sequencing technology, we measured levels of transcripts in a picochlorophyte Chlorella, isolated from the sub-Antarctic and acclimated under high and current ambient CO2 levels, to better understand the molecular mechanisms involved with its ability to acclimate to elevated CO2. Compared to other phyto-plankton taxa that induce broad transcriptomic responses involving multiple parts of their cellular metabolism, the changes observed in Chlorella focused on activating gene regulation involved in different sets of pathways such as light harvesting complex binding proteins, amino acid synthesis and RNA modification, while carbon metabolism was largely unaffected. Triggering a specific set of genes could be a unique strategy of small green phytoplankton under high CO2 in polar oceans.</t>
  </si>
  <si>
    <t>[Tan, Yong-Hao] Univ Malaya, Inst Adv Studies, Kuala Lumpur, Malaysia; [Tan, Yong-Hao; Poong, Sze-Wan; Lim, Phaik-Eem; Phang, Siew-Moi] Univ Malaya, Inst Ocean &amp; Earth Sci, Kuala Lumpur, Malaysia; [Yang, Cing-Han; Pai, Tun-Wen] Natl Taiwan Ocean Univ, Dept Comp Sci &amp; Engn, Keelung, Taiwan; [John, Beardall] Monash Univ, Sch Biol Sci, Clayton, Australia; [Pai, Tun-Wen] Natl Taipei Univ Technol, Dept Comp Sci &amp; Informat Engn, Taipei, Taiwan; [Phang, Siew-Moi] UCSI Univ, Fac Appl Sci, Dept Biotechnol, Kuala Lumpur, Malaysia; [Phang, Siew-Moi] UCSI Univ, Kuala Lumpur, Malaysia</t>
  </si>
  <si>
    <t>Universiti Malaya; Universiti Malaya; National Taiwan Ocean University; Monash University; National Taipei University of Technology; UCSI University; UCSI University</t>
  </si>
  <si>
    <t>Lim, PE (corresponding author), Univ Malaya, Inst Ocean &amp; Earth Sci, Kuala Lumpur, Malaysia.</t>
  </si>
  <si>
    <t>phaikeem@um.edu.my</t>
  </si>
  <si>
    <t>LIM, Phaik Eem/B-5331-2010; Phang, Siew Moi/A-7653-2008; Poong, Sze Wan/S-2212-2016</t>
  </si>
  <si>
    <t>LIM, Phaik Eem/0000-0001-9186-1487; Poong, Sze Wan/0000-0003-4033-864X</t>
  </si>
  <si>
    <t>Ministry of Higher Education, Malaysia [IOES-2014H]; NTUT-UM Joint Research Program [NTUT-UM-110-01]; University of Malaya (UM) [RP026B-18SUS]; Ministry of Higher Education Malaysia-University of Malaya Top-University Grant [TU001C-2018]</t>
  </si>
  <si>
    <t>Ministry of Higher Education, Malaysia(Ministry of Education, Malaysia); NTUT-UM Joint Research Program; University of Malaya (UM)(Universiti Malaya); Ministry of Higher Education Malaysia-University of Malaya Top-University Grant</t>
  </si>
  <si>
    <t>This research was supported by a HICoE research grant (IOES-2014H) from the Ministry of Higher Education, Malaysia. Dr. Tun-Wen Pai is supported by the NTUT-UM Joint Research Program (NTUT-UM-110-01) . The authors acknowledge partial funding from the University of Malaya (UM) Research Grant Programme (RP026B-18SUS) and Ministry of Higher Education Malaysia-University of Malaya Top-University Grant (TU001C-2018) .</t>
  </si>
  <si>
    <t>0141-1136</t>
  </si>
  <si>
    <t>1879-0291</t>
  </si>
  <si>
    <t>MAR ENVIRON RES</t>
  </si>
  <si>
    <t>Mar. Environ. Res.</t>
  </si>
  <si>
    <t>10.1016/j.marenvres.2022.105782</t>
  </si>
  <si>
    <t>Environmental Sciences; Marine &amp; Freshwater Biology; Toxicology</t>
  </si>
  <si>
    <t>Environmental Sciences &amp; Ecology; Marine &amp; Freshwater Biology; Toxicology</t>
  </si>
  <si>
    <t>5Y2EP</t>
  </si>
  <si>
    <t>WOS:000879101000004</t>
  </si>
  <si>
    <t>Wu, YX; Qi, D</t>
  </si>
  <si>
    <t>Wu, Yingxu; Qi, Di</t>
  </si>
  <si>
    <t>Inconsistency between ship- and Argo float-based pCO2 at the intense upwelling region o the Drake Passage, Southern Ocean</t>
  </si>
  <si>
    <t>CO2 partial pressure; upwelling; CO2 outgassing; Drake Passage; Southern Ocean</t>
  </si>
  <si>
    <t>DISSOLVED INORGANIC CARBON; SURFACE OCEAN; OVERTURNING CIRCULATION; ANTHROPOGENIC CO2; TIME-SERIES; PH; VARIABILITY; SINK; ALKALINITY; SATURATION</t>
  </si>
  <si>
    <t>The Southern Ocean absorbs a quarter of anthropogenic carbon dioxide (CO2) from the atmosphere to modulate the climate system. However, less attention has been paid to the CO2 outgassing phenomenon at the Antarctic Circumpolar Current (ACC) region of the Southern Ocean due to strong upwelling. Recent studies using autonomous biogeochemical-Argo float revealed a greater winter CO2 outgassing than previously estimated at ACC zone of the Southern Ocean, which, however, remains controversial and urgently needs to be validated. Here we take the Drake Passage as a case study to present new insights into the Southern Ocean carbon cycle and examine the validity of float-based CO2 outgassing. Upon integrating the ship-based data over the past two decades, we investigate the spatiotemporal variability of sea surface CO2 partial pressure (pCO(2)) in Drake Passage. We show that Drake Passage is acting as a year-round weak CO2 sink, although some CO2 uptake is counteracted by winter CO2 outgassing. The float-based pCO(2) values are overall higher than ship-based values in winter, by 6 to 20 mu atm (averaged 14 mu atm) at the most intensive upwelling region. We then develop a surface carbon balance calculation (considering mixing between surface, subsurface, and upwelled waters) to estimate the potential of surface pCO(2) increase due to upwelling, and we find that upwelling of CO2-rich subsurface waters in Drake Passage cannot support an excess Delta pCO(2) of 14 mu atm as suggested by float detections. We further compare our results to previous study and find that, although we used same datasets and obtained comparable results, the way to conclude the bias in float-based pCO(2) would cause significant difference: an uncertainty of +/- 2.7% (i.e., +/- 11 mu atm) in float-based pCO(2) estimated by other study seems acceptable, however, it is five times larger than the typical ship-based pCO(2 )uncertainty ( +/- 2 mu atm), and would cause similar to 180% bias in CO2 flux estimates. Going forward, there is special need for caution when interpreting the float-based CO2 flux; meanwhile, further comparisons and corrections between float- and ship-based pCO(2) are clearly warranted.</t>
  </si>
  <si>
    <t>[Wu, Yingxu; Qi, Di] Jimei Univ, Polar &amp; Marine Res Inst, Xiamen, Peoples R China; [Wu, Yingxu] Univ Southampton, Natl Oceanog Ctr Southampton, Ocean &amp; Earth Sci, Southampton, England</t>
  </si>
  <si>
    <t>Jimei University; NERC National Oceanography Centre; University of Southampton</t>
  </si>
  <si>
    <t>Qi, D (corresponding author), Jimei Univ, Polar &amp; Marine Res Inst, Xiamen, Peoples R China.</t>
  </si>
  <si>
    <t>qidi@jmu.edu.cn</t>
  </si>
  <si>
    <t>Wu, Yingxu/HDO-0449-2022</t>
  </si>
  <si>
    <t>Wu, Yingxu/0000-0002-7847-6215</t>
  </si>
  <si>
    <t>Independent Research Projects of Southern Marine Science and Engineering Guangdong Laboratory (Zhuhai) [SML2021SP306]; National Key Research and Development Program of China [2019YFE0114800, 2019YFC1509101]; National Natural Science Foundation of China [42106222]; Natural Science Foundation of Fujian Province, China [2020J05075, 2019J05148]; Scientific Research Foundation of Ministry of Natural Resources [2019032]</t>
  </si>
  <si>
    <t>Independent Research Projects of Southern Marine Science and Engineering Guangdong Laboratory (Zhuhai); National Key Research and Development Program of China; National Natural Science Foundation of China(National Natural Science Foundation of China (NSFC)); Natural Science Foundation of Fujian Province, China(Natural Science Foundation of Fujian Province); Scientific Research Foundation of Ministry of Natural Resources</t>
  </si>
  <si>
    <t>This study was funded by the Independent Research Projects of Southern Marine Science and Engineering Guangdong Laboratory (Zhuhai) (SML2021SP306), National Key Research and Development Program of China (2019YFE0114800, 2019YFC1509101), National Natural Science Foundation of China (42106222), Natural Science Foundation of Fujian Province, China (2020J05075, 2019J05148), and the Scientific Research Foundation of Ministry of Natural Resources (2019032).</t>
  </si>
  <si>
    <t>OCT 26</t>
  </si>
  <si>
    <t>10.3389/fmars.2022.1002398</t>
  </si>
  <si>
    <t>6D1XK</t>
  </si>
  <si>
    <t>WOS:000882492200001</t>
  </si>
  <si>
    <t>Horowitz, BZ</t>
  </si>
  <si>
    <t>Horowitz, B. Zane</t>
  </si>
  <si>
    <t>Did hypervitaminosis A have a role in Mawson's ill-fated Antarctic exploration?</t>
  </si>
  <si>
    <t>CLINICAL TOXICOLOGY</t>
  </si>
  <si>
    <t>Hypervitaminosis; Vitamin A; Mawson; Antarctica; Liver &lt; Organ; tissue specific &lt; complications of poisoning</t>
  </si>
  <si>
    <t>VITAMIN-A CONTENT; LIVER; BEAR</t>
  </si>
  <si>
    <t>Douglas Mawson is a national hero of Australia, having led the Australasian Antarctic expedition of 1911, and survived. His three-man sledging team was beset by a series of catastrophes. First, expert skier Belgrave Ninnis died after he fell into a deep crevasse taking with him half the dogs and a sledge of essential food and supplies. The remaining two explorers immediately turned back to base which was 315 miles away. With their rations diminished they resorted to eating their remaining six dogs over 23 days. Xavier Mertz became progressively ill with diarrhea, delirium, vocal outbursts in rages, and finally several seizures. He died after another seizure. Mawson, alone with negligible food and no dogs for transportation, through his own sheer grit made it back to base camp a month later and was saved. His journal records medical complications with skin desquamation, alopecia, and muscle pain. It has been proposed that these symptoms in both Mertz and Mawson were the manifestations of hypervitaminosis A. They likely consumed greater than a 1,200,000 IU of vitamin A each day from the dog liver they decided was essential to eat to survive. Mertz, a vegetarian, possibly consumed more of the liver than muscle meat, and consequently suffered the more severe encephalopathy and seizures associated with acute vitamin A poisoning.</t>
  </si>
  <si>
    <t>[Horowitz, B. Zane] Oregon Hlth &amp; Sci Univ, Oregon Alaska Poison Ctr, Portland, OR 97034 USA</t>
  </si>
  <si>
    <t>Oregon Health &amp; Science University</t>
  </si>
  <si>
    <t>Horowitz, BZ (corresponding author), Oregon Hlth &amp; Sci Univ, Oregon Alaska Poison Ctr, Portland, OR 97034 USA.</t>
  </si>
  <si>
    <t>horowiza@ohsu.edu</t>
  </si>
  <si>
    <t>1556-3650</t>
  </si>
  <si>
    <t>1556-9519</t>
  </si>
  <si>
    <t>CLIN TOXICOL</t>
  </si>
  <si>
    <t>Clin. Toxicol.</t>
  </si>
  <si>
    <t>10.1080/15563650.2022.2128366</t>
  </si>
  <si>
    <t>Toxicology</t>
  </si>
  <si>
    <t>6N9NN</t>
  </si>
  <si>
    <t>WOS:000876626900001</t>
  </si>
  <si>
    <t>Tebbe, J; Ottensmann, M; Havenstein, K; Efstratiou, A; Lenz, TL; Caspers, BA; Forcada, J; Tiedemann, R; Hoffman, JI</t>
  </si>
  <si>
    <t>Tebbe, Jonas; Ottensmann, Meinolf; Havenstein, Katja; Efstratiou, Artemis; Lenz, Tobias L.; Caspers, Barbara A.; Forcada, Jaume; Tiedemann, Ralph; Hoffman, Joseph, I</t>
  </si>
  <si>
    <t>Intronic primers reveal unexpectedly high major histocompatibility complex diversity in Antarctic fur seals</t>
  </si>
  <si>
    <t>LIMITED MHC POLYMORPHISM; GENETIC DIVERSITY; ARCTOCEPHALUS-GAZELLA; PARENTAL RELATEDNESS; NATURAL-SELECTION; R-PACKAGE; HETEROZYGOSITY; LOCI; DRB; POPULATION</t>
  </si>
  <si>
    <t>The major histocompatibility complex (MHC) is a group of genes comprising one of the most important components of the vertebrate immune system. Consequently, there has been much interest in characterising MHC variation and its relationship with fitness in a variety of species. Due to the exceptional polymorphism of MHC genes, careful PCR primer design is crucial for capturing all of the allelic variation present in a given species. We therefore developed intronic primers to amplify the full-length 267 bp protein-coding sequence of the MHC class II DQB exon 2 in the Antarctic fur seal. We then characterised patterns of MHC variation among mother-offspring pairs from two breeding colonies and detected 19 alleles among 771 clone sequences from 56 individuals. The distribution of alleles within and among individuals was consistent with a single-copy, classical DQB locus showing Mendelian inheritance. Amino acid similarity at the MHC was significantly associated with genome-wide relatedness, but no relationship was found between MHC heterozygosity and genome-wide heterozygosity. Finally, allelic diversity was several times higher than reported by a previous study based on partial exon sequences. This difference appears to be related to allele-specific amplification bias, implying that primer design can strongly impact the inference of MHC diversity.</t>
  </si>
  <si>
    <t>[Tebbe, Jonas; Ottensmann, Meinolf; Hoffman, Joseph, I] Bielefeld Univ, Dept Anim Behav, D-33501 Bielefeld, Germany; [Havenstein, Katja; Tiedemann, Ralph] Univ Potsdam, Inst Biochem &amp; Biol, Unit Evolutionary Biol Systemat Zool, Potsdam, Germany; [Efstratiou, Artemis; Lenz, Tobias L.] Univ Hamburg, Dept Biol, Res Unit Evolutionary Immunogen, Martin Luther King Pl 3, D-20146 Hamburg, Germany; [Caspers, Barbara A.] Bielefeld Univ, Dept Behav Ecol, D-33501 Bielefeld, Germany; [Forcada, Jaume; Hoffman, Joseph, I] British Antarctic Survey, Madingley Rd, Cambridge CB3 0ET, England</t>
  </si>
  <si>
    <t>University of Bielefeld; University of Potsdam; University of Hamburg; University of Bielefeld; UK Research &amp; Innovation (UKRI); Natural Environment Research Council (NERC); NERC British Antarctic Survey</t>
  </si>
  <si>
    <t>Hoffman, JI (corresponding author), Bielefeld Univ, Dept Anim Behav, D-33501 Bielefeld, Germany.;Hoffman, JI (corresponding author), British Antarctic Survey, Madingley Rd, Cambridge CB3 0ET, England.</t>
  </si>
  <si>
    <t>joseph.hoffman@uni-bielefeld.de</t>
  </si>
  <si>
    <t>Caspers, Barbara A/C-5573-2011; Hoffman, Joseph/K-7725-2012</t>
  </si>
  <si>
    <t>Efstratiou, Artemis/0000-0002-6911-9558; Hoffman, Joseph/0000-0001-5895-8949</t>
  </si>
  <si>
    <t>Projekt DEAL</t>
  </si>
  <si>
    <t>10.1038/s41598-022-21658-7</t>
  </si>
  <si>
    <t>5R7RZ</t>
  </si>
  <si>
    <t>WOS:000874705000051</t>
  </si>
  <si>
    <t>Antarctic geothermal heat flow and its implications for tectonics and ice sheets</t>
  </si>
  <si>
    <t>WEST ANTARCTICA; EAST ANTARCTICA; UPPER-MANTLE; RIFT SYSTEM; SUBGLACIAL GEOLOGY; VELOCITY STRUCTURE; CONTINENTAL-CRUST; RAYLEIGH-WAVE; FLUX BENEATH; MODEL</t>
  </si>
  <si>
    <t>Geothermal heat flow (GHF) is an elusive physical property, yet it can reveal past and present plate tectonic processes. In Antarctica, GHF has further consequences in predicting the response of ice sheets to climate change. In this Review, we discuss variations in Antarctic GHF models based on geophysical methods and draw insights into tectonics and GHF model usage for ice sheet modelling. The inferred GHF at continental scale for West Antarctica (up to 119 mW m(-2), 95th percentile) points to numerous contributing influences, including non-steady state neotectonic processes. Combined influences cause especially high values in the vicinity of the Thwaites Glacier, a location critical for the accurate prediction of accelerated loss of Antarctic ice mass. The inferred variations across East Antarctica are more subtle (up to 66 mW m(-2), 95th percentile), where slightly elevated values in some locations correspond to the influence of thinned lithosphere and tectonic units with concentrations of heat-producing elements. Fine-scale anomalies owing to heat-producing elements and horizontal components of heat flow are important for regional modelling. GHF maps comprising central values with these fine-scale anomalies captured within uncertainty bounds can thus enable improved ensemble-based ice sheet model predictions of Antarctic ice loss. Geothermal heat flow, a driver of tectonic processes, must be inferred by indirect means in Antarctica. This Review probes variations in Antarctic heat flow maps, discusses the corresponding tectonic insights and provides recommendations for the use of such maps in ice sheet modelling.</t>
  </si>
  <si>
    <t>[Reading, Anya M.; Stal, Tobias] Univ Tasmania, Sch Nat Sci Phys, Hobart, Tas, Australia; [Reading, Anya M.; Stal, Tobias; Halpin, Jacqueline A.] Univ Tasmania, Australian Ctr Excellence Antarctic Sci, Hobart, Tas, Australia; [Halpin, Jacqueline A.] Univ Tasmania, Inst Marine &amp; Antarctic Studies, Hobart, Tas, Australia; [Losing, Mareen; Ebbing, Jorg] Univ Kiel, Inst Geosci, Kiel, Germany; [Shen, Weisen] SUNY Stony Brook, Dept Geosci, Stony Brook, NY 11794 USA; [McCormack, Felicity S.] Monash Univ, Sch Earth Atmosphere &amp; Environm, Securing Antarct Environm Future, Clayton, Vic, Australia; [Siddoway, Christine S.] Colorado Coll, Dept Geol, Colorado Springs, CO 80903 USA; [Hasterok, Derrick] Univ Adelaide, Dept Earth Sci, North Terrace, SA, Australia</t>
  </si>
  <si>
    <t>University of Tasmania; University of Tasmania; University of Tasmania; University of Kiel; State University of New York (SUNY) System; State University of New York (SUNY) Stony Brook; Monash University; Colorado College; University of Adelaide</t>
  </si>
  <si>
    <t>Reading, AM (corresponding author), Univ Tasmania, Sch Nat Sci Phys, Hobart, Tas, Australia.;Reading, AM (corresponding author), Univ Tasmania, Australian Ctr Excellence Antarctic Sci, Hobart, Tas, Australia.</t>
  </si>
  <si>
    <t>Ebbing, Joerg/B-8796-2013; Siddoway, Christine/HKV-0895-2023; Reading, Anya M/E-6728-2012; McCormack, Felicity/B-9218-2015; Hasterok, Derrick/H-9392-2012; Halpin, Jacqueline/A-3776-2014</t>
  </si>
  <si>
    <t>Ebbing, Joerg/0000-0001-7492-5338; Reading, Anya M/0000-0002-9316-7605; Stal, Tobias/0000-0002-4323-6748; McCormack, Felicity/0000-0002-2324-2120; Siddoway, Christine Smith/0000-0003-0478-6138; Hasterok, Derrick/0000-0002-8257-7975; Shen, Weisen/0000-0002-3766-632X; Losing, Mareen/0000-0002-9222-2107; Halpin, Jacqueline/0000-0002-4992-8681</t>
  </si>
  <si>
    <t>Australian Research Council (ARC) [ARC DP190100418]; ARC SRI Antarctica Gateway Partnership [SR140300001]; ARC SRI Australian Centre for Excellence in Antarctic Science [SR200100008]; ARC [DP180104074]; ARC DECRA [DE210101433]; Deutsche Forschungsgemeinschaft [SPP 1158, EB 255/8-1]; Australian Research Council [SR200100008, DE210101433] Funding Source: Australian Research Council</t>
  </si>
  <si>
    <t>Australian Research Council (ARC)(Australian Research Council); ARC SRI Antarctica Gateway Partnership; ARC SRI Australian Centre for Excellence in Antarctic Science; ARC(Australian Research Council); ARC DECRA(Australian Research Council); Deutsche Forschungsgemeinschaft(German Research Foundation (DFG)); Australian Research Council(Australian Research Council)</t>
  </si>
  <si>
    <t>This work was supported in part by the Australian Research Council (ARC), through ARC DP190100418 (A.M.R., T.S.). Additional support was provided through ARC SRI Antarctica Gateway Partnership, SR140300001 (T.S.), ARC SRI Australian Centre for Excellence in Antarctic Science, SR200100008 (A.M.R., T.S., J.A.H.), ARC DP180104074 (J.A.H., D.H.) and ARC DECRA DE210101433 (F.S.M.). Further support was provided by the Deutsche Forschungsgemeinschaft in the framework of the priority programme 'Antarctic Research with comparative investigations in Arctic ice areas' SPP 1158 (grant no. EB 255/8-1, M.L., J.E.). The authors thank the many participants of the Scientific Committee on Antarctic Research, Scientific Research Program on Solid Earth Response and influence on Cryosphere Evolution (SCAR, SERCE, to 2020) and its successor, Instabilities and Thresholds in Antarctica, subcommittee on Geothermal Heat Flow (SCAR, INSTANT, from 2021) for discussions that informed this Review.</t>
  </si>
  <si>
    <t>10.1038/s43017-022-00348-y</t>
  </si>
  <si>
    <t>6W6HY</t>
  </si>
  <si>
    <t>WOS:000873460400001</t>
  </si>
  <si>
    <t>Castillo, DJ; Dithugoe, CD; Bezuidt, OK; Makhalanyane, TP</t>
  </si>
  <si>
    <t>Castillo, Diego J.; Dithugoe, Choaro D.; Bezuidt, Oliver K.; Makhalanyane, Thulani P.</t>
  </si>
  <si>
    <t>Microbial ecology of the Southern Ocean</t>
  </si>
  <si>
    <t>archaea; bacteria; biogeochemical cycling; microbial ecology; phytoplankton; Southern Ocean; viruses</t>
  </si>
  <si>
    <t>DISSOLVED ORGANIC-MATTER; FERTILIZED PHYTOPLANKTON BLOOM; NATURAL IRON FERTILIZATION; CLIMATE-CHANGE; COMMUNITY COMPOSITION; MARINE BACTERIAL; SUMMER BACTERIOPLANKTON; ANTHROPOGENIC CARBON; VIRAL-INFECTION; SAR11 BACTERIA</t>
  </si>
  <si>
    <t>The Southern Ocean (SO) distributes climate signals and nutrients worldwide, playing a pivotal role in global carbon sequestration. Microbial communities are essential mediators of primary productivity and carbon sequestration, yet we lack a comprehensive understanding of microbial diversity and functionality in the SO. Here, we examine contemporary studies in this unique polar system, focusing on prokaryotic communities and their relationships with other trophic levels (i.e. phytoplankton and viruses). Strong seasonal variations and the characteristic features of this ocean are directly linked to community composition and ecosystem functions. Specifically, we discuss characteristics of SO microbial communities and emphasise differences from the Arctic Ocean microbiome. We highlight the importance of abundant bacteria in recycling photosynthetically derived organic matter. These heterotrophs appear to control carbon flux to higher trophic levels when light and iron availability favour primary production in spring and summer. Conversely, during winter, evidence suggests that chemolithoautotrophs contribute to prokaryotic production in Antarctic waters. We conclude by reviewing the effects of climate change on marine microbiota in the SO.</t>
  </si>
  <si>
    <t>[Castillo, Diego J.; Dithugoe, Choaro D.; Bezuidt, Oliver K.; Makhalanyane, Thulani P.] Univ Pretoria, Dept Biochem Genet &amp; Microbiol, Microbiome Res Grp, ZA-0028 Pretoria, South Africa; [Castillo, Diego J.; Dithugoe, Choaro D.; Bezuidt, Oliver K.; Makhalanyane, Thulani P.] Univ Pretoria, Dept Sci, ZA-0028 Pretoria, South Africa; [Castillo, Diego J.; Dithugoe, Choaro D.; Bezuidt, Oliver K.; Makhalanyane, Thulani P.] Univ Pretoria, Innovat South African Res Chair Marine Microbiom, Dept Biochem Genet &amp; Microbiol, ZA-0028 Pretoria, South Africa</t>
  </si>
  <si>
    <t>University of Pretoria; University of Pretoria; University of Pretoria</t>
  </si>
  <si>
    <t>Makhalanyane, TP (corresponding author), Univ Pretoria, Dept Biochem Genet &amp; Microbiol, Microbiome Res Grp, ZA-0028 Pretoria, South Africa.;Makhalanyane, TP (corresponding author), Univ Pretoria, Dept Sci, ZA-0028 Pretoria, South Africa.;Makhalanyane, TP (corresponding author), Univ Pretoria, Innovat South African Res Chair Marine Microbiom, Dept Biochem Genet &amp; Microbiol, ZA-0028 Pretoria, South Africa.</t>
  </si>
  <si>
    <t>thulani.makhalanyane@up.ac.za</t>
  </si>
  <si>
    <t>Makhalanyane, Thulani P./C-6815-2012</t>
  </si>
  <si>
    <t>Makhalanyane, Thulani P./0000-0002-8173-1678; Dithugoe, Choaro David/0000-0003-2540-7758</t>
  </si>
  <si>
    <t>National Research Foundation of South Africa (NRF) [UID 110717]; European Union [862923]; Technology Innovation Agency (TIA)</t>
  </si>
  <si>
    <t>National Research Foundation of South Africa (NRF)(National Research Foundation - South Africa); European Union(European Union (EU)); Technology Innovation Agency (TIA)</t>
  </si>
  <si>
    <t>We wish to acknowledge the following funding bodies for their financial support: National Research Foundation of South Africa (NRF) under the grant number: UID 110717. We acknowledge funding received from the European Union's Horizon 2020 research and innovation programme as part of the AtlantECO project under grant agreement No 862923. We also thank the Technology Innovation Agency (TIA) for supporting this project.</t>
  </si>
  <si>
    <t>fiac123</t>
  </si>
  <si>
    <t>10.1093/femsec/fiac123</t>
  </si>
  <si>
    <t>5Q8IE</t>
  </si>
  <si>
    <t>WOS:000874067600001</t>
  </si>
  <si>
    <t>Acosta, S; Canclini, L; Marizcurrena, JJ; Castro-Sowinski, S; Hernández, P</t>
  </si>
  <si>
    <t>Acosta, Silvina; Canclini, Lucia; Marizcurrena, Juan Jose; Castro-Sowinski, Susana; Hernandez, Paola</t>
  </si>
  <si>
    <t>Photo-repair effect of a bacterial Antarctic CPD-photolyase on UVC-induced DNA lesions in human keratinocytes</t>
  </si>
  <si>
    <t>ENVIRONMENTAL TOXICOLOGY AND PHARMACOLOGY</t>
  </si>
  <si>
    <t>Photolyase; DNA damage; Photo -repair; Ultraviolet light; Cyclobutane pyrimidine dimers; ?H2AX</t>
  </si>
  <si>
    <t>NUCLEOTIDE EXCISION-REPAIR; H2AX PHOSPHORYLATION; TOPICAL APPLICATION; HUMAN SKIN; XERODERMA-PIGMENTOSUM; DAMAGE; IRRADIATION; MECHANISMS; LIGHT; IMAGE</t>
  </si>
  <si>
    <t>Exposure to ultraviolet radiation from sunlight induces oxidative DNA lesions and bipyrimidine photoproducts that can lead to photo-aging and skin carcinogenesis. CPD-photolyases are flavoproteins that repair cyclobutane pyrimidine dimers using blue light as an energy source. In the present work, we evaluated the photo-repair effect of the recombinant CPD-photolyase PhrAHym from the Antarctic bacterium Hymenobacter sp. UV11 on DNA lesions in human keratinocytes induced by UVC light. By performing immunochemistry assays we observed that PhrAHym repairs in a highly efficient way the CPD-photoproducts and reduces the gamma H2AX formation. Since this enzyme is non-cytotoxic and repairs UVC-induced DNA lesions in human keratinocytes, we propose that PhrAHym could be used as a biotherapeutic agent against UV-induced skin cancer, photoaging, and related diseases.</t>
  </si>
  <si>
    <t>[Acosta, Silvina; Canclini, Lucia; Hernandez, Paola] Inst Invest Biol Clemente Estable, Dept Genet, Ave Italia 3318, Montevideo 11600, Uruguay; [Marizcurrena, Juan Jose; Castro-Sowinski, Susana] Univ Republica, Fac Ciencias, Secc Bioquim, Igua 4225, Montevideo 11400, Uruguay; [Castro-Sowinski, Susana] Inst Invest Biol Clemente Estable, Lab Microbiol Mol, Ave Italia 3318, Montevideo 11600, Uruguay</t>
  </si>
  <si>
    <t>Instituto de Investigaciones Biologicas Clemente Estable Uruguay; Universidad de la Republica, Uruguay; Instituto de Investigaciones Biologicas Clemente Estable Uruguay</t>
  </si>
  <si>
    <t>Hernández, P (corresponding author), Inst Invest Biol Clemente Estable, Dept Genet, Ave Italia 3318, Montevideo 11600, Uruguay.</t>
  </si>
  <si>
    <t>paohernz@gmail.com</t>
  </si>
  <si>
    <t>Canclini, Lucia/0000-0001-7421-611X; Hernandez, Paola/0000-0002-3515-1082</t>
  </si>
  <si>
    <t>Comision Honoraria de Lucha Contra el Cancer (Programa de Apoyo a la Investigacion 2018); PEDECIBA (Programa de Desarrollo de las Ciencias Basicas) , Uruguay</t>
  </si>
  <si>
    <t>This work was supported by Comision Honoraria de Lucha Contra el Cancer (Programa de Apoyo a la Investigacion 2018) and PEDECIBA (Programa de Desarrollo de las Ciencias Basicas) , Uruguay.</t>
  </si>
  <si>
    <t>1382-6689</t>
  </si>
  <si>
    <t>1872-7077</t>
  </si>
  <si>
    <t>ENVIRON TOXICOL PHAR</t>
  </si>
  <si>
    <t>Environ. Toxicol. Pharmacol.</t>
  </si>
  <si>
    <t>10.1016/j.etap.2022.104001</t>
  </si>
  <si>
    <t>Environmental Sciences; Pharmacology &amp; Pharmacy; Toxicology</t>
  </si>
  <si>
    <t>Environmental Sciences &amp; Ecology; Pharmacology &amp; Pharmacy; Toxicology</t>
  </si>
  <si>
    <t>9C0RJ</t>
  </si>
  <si>
    <t>WOS:000935134700001</t>
  </si>
  <si>
    <t>Silva, LCB; Segatto, MEV; Castellani, CES</t>
  </si>
  <si>
    <t>Silva, Luis C. B.; Segatto, Marcelo E. V.; Castellani, Carlos E. S.</t>
  </si>
  <si>
    <t>Raman scattering-based distributed temperature sensors: A comprehensive literature review over the past 37 years and towards new avenues</t>
  </si>
  <si>
    <t>OPTICAL FIBER TECHNOLOGY</t>
  </si>
  <si>
    <t>Nonlinear optics; Literature review; Distributed temperature sensors; Raman scattering; Fiber optic devices</t>
  </si>
  <si>
    <t>OPTICAL-FIBER SENSORS; AUTO-CORRECTION METHOD; GROUND SURFACE-TEMPERATURE; ANTARCTIC ICE SHELF; PINE ISLAND GLACIER; SINGLE-MODE FIBER; SPATIAL-RESOLUTION; MONITORING-SYSTEM; RAYLEIGH NOISE; SENSING SYSTEM</t>
  </si>
  <si>
    <t>Over the last 37 years, particular interest has been directed towards exploring the characteristics of the optical environment for sensing, giving rise to what would now be one of the largest applications of well-known optical fibers, typically employed to transmit data at high rates. Sensing temperature, pressure, liquid level, deformation, and other physical parameters utilizing optical fibers has become a growing branch of research and a business competing with well-established electrical sensors in the industry. Optical fiber sensors have all the inherent characteristics of a fiber optic cable, such as electromagnetic immunity, small size and weight, multiplexing, and so on. These exclusive features have made fiber sensors so versatile as to become a transformative technology by enabling several industrial processes to be carried out with higher reliability. Nowadays, there are several optical sensors, including fiber Bragg grating, interferometric, polarimetric, polymer fiber, distributed, and several others. Specifically, Raman-based distributed temperature sensor (RDTS) is a class of fiber optic sensors broadly employed in temperature measurement of large structures such as oil and gas wells, tunnels, and pipelines. Since 1985, many techniques have been proposed to break through the barriers of exploring Raman scattering as a distributed temperature measurement method. Range, spatial and temperature resolutions have been the most investigated parameters. In this perspective, this paper presents a comprehensive review focused on the progress of the RDTS technology over the past 37 years (1985-2022), covering an analysis of over 500 journal papers. First, a brief introduction to fiber optic sensor technology is presented as a theoretical basis, discussing the emergence of distributed sensors. Subsequently, Raman scattering in optical fibers is introduced, as well as how this nonlinear effect can be used to build temperature sensors. Next, RDTS technology is detailed, followed by a discussion of its applications and evolution over nearly four decades of development. Lastly, future perspectives are addressed in this review for the advancements in distributed temperature sensor technologies.</t>
  </si>
  <si>
    <t>[Silva, Luis C. B.; Segatto, Marcelo E. V.; Castellani, Carlos E. S.] Univ Fed Espirito Santo, Dept Elect Engn, Fernando Ferrari Ave, BR-29075910 Vitoria, Brazil</t>
  </si>
  <si>
    <t>Universidade Federal do Espirito Santo</t>
  </si>
  <si>
    <t>Silva, LCB (corresponding author), Univ Fed Espirito Santo, Dept Elect Engn, Fernando Ferrari Ave, BR-29075910 Vitoria, Brazil.</t>
  </si>
  <si>
    <t>bluiscicero@yahoo.com</t>
  </si>
  <si>
    <t>Silva, Luís/AAQ-9493-2020; Schmidt Castellani, Carlos Eduardo/L-9899-2018</t>
  </si>
  <si>
    <t>Schmidt Castellani, Carlos Eduardo/0000-0003-4154-5683; C. B. Silva, Luis/0000-0002-5259-9380</t>
  </si>
  <si>
    <t>Fundaco de Amparo Pesquisa e Inovaco do Espirito Santo (FAPES) , Brazil [013/2022]</t>
  </si>
  <si>
    <t>Fundaco de Amparo Pesquisa e Inovaco do Espirito Santo (FAPES) , Brazil</t>
  </si>
  <si>
    <t>The authors acknowledge the Fundaco de Amparo Pesquisa e Inovaco do Espirito Santo (FAPES) , Brazil, project CPID-ELEM number 013/2022, by funding this study.</t>
  </si>
  <si>
    <t>1068-5200</t>
  </si>
  <si>
    <t>1095-9912</t>
  </si>
  <si>
    <t>OPT FIBER TECHNOL</t>
  </si>
  <si>
    <t>Opt. Fiber Technol.</t>
  </si>
  <si>
    <t>10.1016/j.yofte.2022.103091</t>
  </si>
  <si>
    <t>Engineering, Electrical &amp; Electronic; Optics; Telecommunications</t>
  </si>
  <si>
    <t>Engineering; Optics; Telecommunications</t>
  </si>
  <si>
    <t>6C9AK</t>
  </si>
  <si>
    <t>WOS:000882297200006</t>
  </si>
  <si>
    <t>Halpern, BS; Frazier, M; Verstaen, J; Rayner, PE; Clawson, G; Blanchard, JL; Cottrell, RS; Froehlich, HE; Gephart, JA; Jacobsen, NS; Kuempel, CD; McIntyre, PB; Metian, M; Moran, D; Nash, KL; Többen, J; Williams, DR</t>
  </si>
  <si>
    <t>Halpern, Benjamin S.; Frazier, Melanie; Verstaen, Juliette; Rayner, Paul-Eric; Clawson, Gage; Blanchard, Julia L.; Cottrell, Richard S.; Froehlich, Halley E.; Gephart, Jessica A.; Jacobsen, Nis S.; Kuempel, Caitlin D.; McIntyre, Peter B.; Metian, Marc; Moran, Daniel; Nash, Kirsty L.; Tobben, Johannes; Williams, David R.</t>
  </si>
  <si>
    <t>The environmental footprint of global food production</t>
  </si>
  <si>
    <t>PRODUCTION SYSTEMS; WATER; EMISSIONS; NITROGEN; COASTAL; BLUE; SUSTAINABILITY; BIODIVERSITY; AQUACULTURE; ECOSYSTEM</t>
  </si>
  <si>
    <t>Producing sufficient food to support the planet's growing population places enormous strain on critical ecosystems. Quantifying and mapping the individual and cumulative pressures from greenhouse gases, freshwater use, habitat disturbance and nutrient pollution provides crucial insight into producing lower-impact, more sustainable foods. Feeding humanity puts enormous environmental pressure on our planet. These pressures are unequally distributed, yet we have piecemeal knowledge of how they accumulate across marine, freshwater and terrestrial systems. Here we present global geospatial analyses detailing greenhouse gas emissions, freshwater use, habitat disturbance and nutrient pollution generated by 99% of total reported production of aquatic and terrestrial foods in 2017. We further rescale and combine these four pressures to map the estimated cumulative pressure, or 'footprint', of food production. On land, we find five countries contribute nearly half of food's cumulative footprint. Aquatic systems produce only 1.1% of food but 9.9% of the global footprint. Which pressures drive these footprints vary substantially by food and country. Importantly, the cumulative pressure per unit of food production (efficiency) varies spatially for each food type such that rankings of foods by efficiency differ sharply among countries. These disparities provide the foundation for efforts to steer consumption towards lower-impact foods and ultimately the system-wide restructuring essential for sustainably feeding humanity.</t>
  </si>
  <si>
    <t>[Halpern, Benjamin S.; Frazier, Melanie; Verstaen, Juliette; Rayner, Paul-Eric; Clawson, Gage; Cottrell, Richard S.; Kuempel, Caitlin D.] Univ Calif Santa Barbara, Natl Ctr Ecol Anal &amp; Synth, Santa Barbara, CA 93106 USA; [Halpern, Benjamin S.] Univ Calif Santa Barbara, Bren Sch Environm Sci &amp; Management, Santa Barbara, CA 93106 USA; [Blanchard, Julia L.; Cottrell, Richard S.; Nash, Kirsty L.] Univ Tasmania, Inst Marine &amp; Antarctic Studies, Hobart, Tas, Australia; [Blanchard, Julia L.; Nash, Kirsty L.] Univ Tasmania, Ctr Marine Socioecol, Hobart, Tas, Australia; [Cottrell, Richard S.] Univ Queensland, Ctr Biodivers &amp; Conservat Sci, Brisbane, Qld, Australia; [Froehlich, Halley E.] Univ Calif Santa Barbara, Environm Studies, Santa Barbara, CA USA; [Froehlich, Halley E.] Univ Calif Santa Barbara, Ecol Evolut &amp; Marine Biol, Santa Barbara, CA USA; [Gephart, Jessica A.] Amer Univ, Dept Environm Sci, Washington, DC USA; [Jacobsen, Nis S.] Tech Univ Denmark, Natl Inst Aquat Resources, Lyngby, Denmark; [Kuempel, Caitlin D.] Griffith Univ, Australian Rivers Inst, Nathan, Qld, Australia; [McIntyre, Peter B.] Cornell Univ, Dept Nat Resources &amp; Environm, Ithaca, NY USA; [Metian, Marc] Int Atom Energy Agcy Marine Environm Labs IAEA ME, Radioecol Lab, Monaco, Monaco; [Moran, Daniel] Norwegian Univ Sci &amp; Technol, Dept Energy &amp; Proc Technol, Program Ind Ecol, Trondheim, Norway; [Tobben, Johannes] Inst Econ Struct Res GWS, Osnabruck, Germany; [Tobben, Johannes] Potsdam Inst Climate Impact Res, Social Metab &amp; Impacts, Potsdam, Germany; [Tobben, Johannes] Leibniz Assoc, Potsdam, Germany; [Williams, David R.] Univ Leeds, Sch Earth &amp; Environm, Sustainabil Res Inst, Leeds, W Yorkshire, England</t>
  </si>
  <si>
    <t>University of California System; University of California Santa Barbara; National Center for Ecological Analysis &amp; Synthesis; University of California System; University of California Santa Barbara; University of Tasmania; University of Tasmania; University of Queensland; University of California System; University of California Santa Barbara; University of California System; University of California Santa Barbara; American University; Technical University of Denmark; Griffith University; Cornell University; Norwegian University of Science &amp; Technology (NTNU); Potsdam Institut fur Klimafolgenforschung; University of Leeds</t>
  </si>
  <si>
    <t>Halpern, BS (corresponding author), Univ Calif Santa Barbara, Natl Ctr Ecol Anal &amp; Synth, Santa Barbara, CA 93106 USA.;Halpern, BS (corresponding author), Univ Calif Santa Barbara, Bren Sch Environm Sci &amp; Management, Santa Barbara, CA 93106 USA.</t>
  </si>
  <si>
    <t>halpern@nceas.ucsb.edu</t>
  </si>
  <si>
    <t>Kuempel, Caitlin D./AAV-8807-2020; Nash, Kirsty L/B-5456-2015; Gephart, Jessica/HCH-3165-2022</t>
  </si>
  <si>
    <t>Kuempel, Caitlin D./0000-0003-1609-9706; Nash, Kirsty L/0000-0003-0976-3197; Cottrell, Richard/0000-0002-6499-7503; McIntyre, Peter/0000-0003-1809-7552; Froehlich, Halley/0000-0001-7322-1523; Clawson, Samuel Gage/0000-0003-1463-8673</t>
  </si>
  <si>
    <t>German Federal Ministry of Education and Research [031B0792A]; Australian Research Council [DE210100606]; Zegar Family Foundation; Australian Research Council [DE210100606] Funding Source: Australian Research Council</t>
  </si>
  <si>
    <t>German Federal Ministry of Education and Research(Federal Ministry of Education &amp; Research (BMBF)); Australian Research Council(Australian Research Council); Zegar Family Foundation; Australian Research Council(Australian Research Council)</t>
  </si>
  <si>
    <t>This research was a collaborative endeavour conducted by the Global Food Systems Working Group at the National Center for Ecological Analysis and Synthesis at the University of California Santa Barbara. The Global Food Systems Working Group was funded by the Zegar Family Foundation. The National Center for Ecological Analysis and Synthesis at UC Santa Barbara provided invaluable infrastructural support for this work. J.T. was additionally supported by the German Federal Ministry of Education and Research (funding code 031B0792A). K.L.N. was supported by the Australian Research Council (DE210100606).</t>
  </si>
  <si>
    <t>10.1038/s41893-022-00965-x</t>
  </si>
  <si>
    <t>8R8LF</t>
  </si>
  <si>
    <t>Green Accepted, Green Submitted</t>
  </si>
  <si>
    <t>WOS:000871310200001</t>
  </si>
  <si>
    <t>de Souza, LMD; Ogaki, MB; Teixeira, EAA; de Menezes, GCA; Convey, P; Rosa, CA; Rosa, LH</t>
  </si>
  <si>
    <t>Drumond de Souza, Lauren Machado; Ogaki, Mayara Bapstitucci; Amancio Teixeira, Elisa Amorim; Alves de Menezes, Graciele Cunha; Convey, Peter; Rosa, Carlos Augusto; Rosa, Luiz Henrique</t>
  </si>
  <si>
    <t>Communities of culturable freshwater fungi present in Antarctic lakes and detection of their low-temperature-active enzymes</t>
  </si>
  <si>
    <t>Antarctica; Biotechnology; Freshwater; Fungi; Enzymes</t>
  </si>
  <si>
    <t>PSYCHROPHILIC ENZYMES; ENZYMATIC-ACTIVITIES; MARITIME ANTARCTICA; SP NOV.; YEASTS; DIVERSITY; BIODIVERSITY; ADAPTATION; MACROALGAE; ASCOMYCETE</t>
  </si>
  <si>
    <t>We evaluated the diversity and enzymatic activities of culturable fungi recovered from cotton baits submerged for 2 years in Hennequin Lake, King George Island, and from benthic biofilms in Kroner Lake, Deception Island, South Shetland Islands, maritime Antarctica. A total of 154 fungal isolates were obtained, representing in rank abundance the phyla Ascomycota, Basidiomycota and Mortierellomycota. Thelebolus globosus, Goffeauzyma sp., Pseudogymnoascus verrucosus and Metschnikowia australis were the most abundant taxa. The fungal community obtained from the biofilm was more diverse and richer than that recovered from the cotton baits. However, diversity indices suggested that the lakes may harbour further fungal diversity. The capabilities of all cultured fungi to produce the extracellular enzymes cellulase, protease, lipase, agarase, carrageenase, invertase, amylase, esterase, pectinase, inulinase and gelatinase at low temperature were evaluated. All enzymes were detected, but the most widely produced were protease and pectinase. The best enzymatic indices were obtained from Holtermanniella wattica (for invertase, esterase), Goffeauzyma sp. (amylase), Metschnikowia australis (protease), Mrakia blollopis (cellulase, pectinase), Pseudogymnoascus verrucosus (agarase, carrageenase) and Leucosporidium fragarium (inulinase). The detection of multiple enzymes reinforces the ecological role of fungi in nutrient cycling in Antarctic lakes, making nutrients available to the complex aquatic food web. Furthermore, such low-temperature-active enzymes may find application in different biotechnological processes, such as in the textile, pharmaceutical, food, detergent and paper industries, as well as environmental application in pollutant bioremediation processes.</t>
  </si>
  <si>
    <t>[Drumond de Souza, Lauren Machado; Ogaki, Mayara Bapstitucci; Amancio Teixeira, Elisa Amorim; Alves de Menezes, Graciele Cunha; Rosa, Carlos Augusto; Rosa, Luiz Henrique] Univ Fed Minas Gerais, Dept Microbiol, Belo Horizonte, MG, Brazil; [Convey, Peter] British Antarctic Survey, NERC, Madingley Rd, Cambridge CB3 0ET, England; [Convey, Peter] Univ Johannesburg, Dept Zool, POB 524,Auckland Pk, ZA-2006 Johannesburg, South Africa; [Convey, Peter] Millennium Inst Biodivers Antarctic &amp; Subantarct, Valdivia, Chile; [Convey, Peter] Cape Horn Int Ctr CHIC, Puerto Williams, Chile; [Rosa, Luiz Henrique] Univ Fed Minas Gerais, Inst Ciencias Biol, Dept Microbiol, Lab Microbiol Polar &amp; Conexoes Trop, POB 486, BR-31270901 Belo Horizonte, MG, Brazil</t>
  </si>
  <si>
    <t>Universidade Federal de Minas Gerais; UK Research &amp; Innovation (UKRI); Natural Environment Research Council (NERC); NERC British Antarctic Survey; University of Johannesburg; Universidade Federal de Minas Gerais</t>
  </si>
  <si>
    <t>Rosa, LH (corresponding author), Univ Fed Minas Gerais, Dept Microbiol, Belo Horizonte, MG, Brazil.;Rosa, LH (corresponding author), Univ Fed Minas Gerais, Inst Ciencias Biol, Dept Microbiol, Lab Microbiol Polar &amp; Conexoes Trop, POB 486, BR-31270901 Belo Horizonte, MG, Brazil.</t>
  </si>
  <si>
    <t>Convey, Peter/AAV-5728-2020</t>
  </si>
  <si>
    <t>CNPq; PROANTAR; FAPEMIG; Coordenacao de Aperfeicoamento de Pessoal de Nivel Superior (CAPES); NERC</t>
  </si>
  <si>
    <t>CNPq(Conselho Nacional de Desenvolvimento Cientifico e Tecnologico (CNPQ)); PROANTAR; FAPEMIG(Fundacao de Amparo a Pesquisa do Estado de Minas Gerais (FAPEMIG)); Coordenacao de Aperfeicoamento de Pessoal de Nivel Superior (CAPES)(Coordenacao de Aperfeicoamento de Pessoal de Nivel Superior (CAPES)); NERC(UK Research &amp; Innovation (UKRI)Natural Environment Research Council (NERC))</t>
  </si>
  <si>
    <t>This study received financial support from CNPq, PROANTAR, FAPEMIG, Coordenacao de Aperfeicoamento de Pessoal de Nivel Superior (CAPES). P. Convey is supported by NERC core funding to the British Antarctic Survey's `Biodiversity, Evolution and Adaptation' Team.</t>
  </si>
  <si>
    <t>SEP</t>
  </si>
  <si>
    <t>10.1007/s42770-022-00834-x</t>
  </si>
  <si>
    <t>FG3Z1</t>
  </si>
  <si>
    <t>WOS:000872087800001</t>
  </si>
  <si>
    <t>Schwoerbel, J; Visch, W; Wright, JT; Bellgrove, A; Sanderson, JC; MacLeod, C; Hurd, CL</t>
  </si>
  <si>
    <t>Schwoerbel, Jakop; Visch, Wouter; Wright, Jeffrey T.; Bellgrove, Alecia; Sanderson, J. Craig; MacLeod, Catriona; Hurd, Catriona L.</t>
  </si>
  <si>
    <t>Kelp nursery optimisation: density-dependent effects in early life-cycle stages of Ecklonia radiata (Laminariales)</t>
  </si>
  <si>
    <t>aquaculture; gametophyte; hatchery; seaweed; sporophyte</t>
  </si>
  <si>
    <t>HABITAT-FORMING KELP; MACROCYSTIS-PYRIFERA PHAEOPHYCEAE; GOAT-ISLAND BAY; GIANT-KELP; SACCHARINA-LATISSIMA; UNDARIA-PINNATIFIDA; SETTLEMENT DENSITY; REPRODUCTION; TEMPERATURE; GAMETOPHYTES</t>
  </si>
  <si>
    <t>Kelp aquaculture is an emerging industry outside of Asia. To be successful, this industry requires a reliable production of seedstock, the optimisation of which greatly benefits from a detailed physiological understanding of the microscopic life-cycle stages of the cultured species. This study investigated the impact of six zoospore densities (10-278 mm(-2)) on the subsequent development of Ecklonia radiata gametophytes and sporophytes. The results showed that germination rates and sex ratio were unaffected by initial zoospore density, but there were significant effects on gametophyte size and sporophyte production. After two weeks, female gametophytes were largest at an initial zoospore density of 40 mm(-2) while male gametophytes grew largest at densities below 40 mm(-2), but after four weeks gametophyte size showed a negative relationship with initial zoospore density. Significantly more sporophytes developed at initial zoospore densities below 40 individuals mm(-2) and no sporophytes were observed at the highest density (271 zoospores mm(-2)). These results clearly show the importance of initial zoospore density in optimising the nursery stage of kelp aquaculture.</t>
  </si>
  <si>
    <t>[Schwoerbel, Jakop; Visch, Wouter; Wright, Jeffrey T.; MacLeod, Catriona; Hurd, Catriona L.] Inst Marine &amp; Antarctic Studies, 20 Castray Esplanade, Battery Point, Tas 7004, Australia; [Bellgrove, Alecia] Deakin Univ, Ctr Integrat Ecol, Sch Life &amp; Environm Sci, Warrnambool Campus, Warrnambool, Vic 3280, Australia; [Sanderson, J. Craig] Tassal Grp Ltd, GPO Box 1645, Hobart, Tas 7001, Australia</t>
  </si>
  <si>
    <t>University of Tasmania; Deakin University</t>
  </si>
  <si>
    <t>Schwoerbel, J (corresponding author), Inst Marine &amp; Antarctic Studies, 20 Castray Esplanade, Battery Point, Tas 7004, Australia.</t>
  </si>
  <si>
    <t>jakop.schwoerbel@utas.edu.au; wouter.visch@utas.edu.au; jeffrey.wright@utas.edu.au; alecia.bellgrove@deakin.edu.au; craig.sanderson@iinet.net.au; catriona.macleod@utas.edu.au; catriona.hurd@utas.edu.au</t>
  </si>
  <si>
    <t>Hurd, Catriona L/J-2411-2013; Macleod, Catriona/J-7176-2014; Wright, Jeffrey/J-7536-2014; Bellgrove, Alecia/K-2601-2014</t>
  </si>
  <si>
    <t>Sanderson, John CRAIG/0000-0003-0456-7170; Visch, Wouter/0000-0003-4291-6239; Macleod, Catriona/0000-0002-0539-6361; Wright, Jeffrey/0000-0002-1085-4582; Schwoerbel, Jakop/0000-0002-9354-7608; Bellgrove, Alecia/0000-0002-0499-3439</t>
  </si>
  <si>
    <t>CRC-P Sustainable seaweed aquaculture [CRCPSIX000144]</t>
  </si>
  <si>
    <t>CRC-P Sustainable seaweed aquaculture</t>
  </si>
  <si>
    <t>This study was funded by the CRC-P Sustainable seaweed aquaculture (CRCPSIX000144).</t>
  </si>
  <si>
    <t>10.1515/bot-2022-0045</t>
  </si>
  <si>
    <t>6M4JR</t>
  </si>
  <si>
    <t>WOS:000871618500001</t>
  </si>
  <si>
    <t>Wang, R; Zhang, SW; Xiao, KY; Cai, MH; Liu, HL</t>
  </si>
  <si>
    <t>Wang, Rui; Zhang, Shengwei; Xiao, Kaiyan; Cai, Minghong; Liu, Hongling</t>
  </si>
  <si>
    <t>Occurrence, sources, and risk assessment of pyrethroid insecticides in surface water and tap water from Taihu Lake, China</t>
  </si>
  <si>
    <t>Pyrethroid insecticides; Surface water; Tap water; Risk assessment; Drinking water source</t>
  </si>
  <si>
    <t>POLYCYCLIC AROMATIC-HYDROCARBONS; PESTICIDE EXPOSURE; DRINKING-WATER; SOUTH CHINA; URBAN; SEDIMENT; TOXICITY; DELTA; REPELLENTS; TRANSPORT</t>
  </si>
  <si>
    <t>Pyrethroid insecticides are one of the most widely used insecticides globally, posing a severe threat to human health and the environment. In this study, we applied high-throughput organic analysis testing combined with high-volume solid-phase extraction (Hi-throat/Hi-volume SPE) to elucidate the occurrence of 11 pyrethroid insecticides in lake water (n = 37), tributary river water (n = 15), and tap water (n = 6) in the Taihu Lake Basin. Permethrin was found to be the major contributing pyrethroid insecticide (detection rate = 100%). The con-centrations of pyrethroid insecticides from different lake regions were revealed in the following descending order: southern &gt; eastern &gt; western &gt; northern. The principal component analysis and multiple linear regression demonstrated that landscape maintenance, agricultural cultivation, and livestock breeding were the main sources of pyrethroid insecticides in the Taihu Lake surface water. Moreover, runoff input plays an important role in their accumulation, while the surrounding rivers contribute 2292 kg of pyrethroid insecticides to Taihu Lake annually. The risk assessment analysis demonstrated that pyrethroid insecticides pose a high risk to both the ecological environment and the surrounding human populations, thereby necessitating effective countermeasures. Furthermore, the pyrethroid insecticides in the Yangtze River Delta region have to be controlled. Overall, this is the first study focused on China that revealed the residue levels in water sources and tap water.</t>
  </si>
  <si>
    <t>[Wang, Rui; Xiao, Kaiyan; Cai, Minghong] Polar Res Inst China, Minist Nat Resources Key Lab Polar Sci, 451 Jinqiao Rd, Shanghai 200136, Peoples R China; [Cai, Minghong] Shanghai Jiao Tong Univ, Sch Oceanog, 1954 Huashan Rd, Shanghai 200030, Peoples R China; [Cai, Minghong] Polar Res Inst China, Antarctic Great Wall Ecol Natl Observat &amp; Res Stn, 1000 Xuelong Rd, Shanghai 201209, Peoples R China; [Liu, Hongling] Sch Environm Nanjing Univ, State Key Lab Pollut Control &amp; Resource Reuse, Nanjing 210023, Peoples R China; [Zhang, Shengwei] Beijing Normal Univ, Sch Environm, State Key Lab Water Environm Simulat, Beijing 100875, Peoples R China; [Wang, Rui] Beijing Jiaotong Univ, Sch Civil Engn, Dept Municipal &amp; Environm Engn, Beijing 100044, Peoples R China</t>
  </si>
  <si>
    <t>Polar Research Institute of China; Shanghai Jiao Tong University; Polar Research Institute of China; Beijing Normal University; Beijing Jiaotong University</t>
  </si>
  <si>
    <t>Cai, MH (corresponding author), Polar Res Inst China, Minist Nat Resources Key Lab Polar Sci, 451 Jinqiao Rd, Shanghai 200136, Peoples R China.;Cai, MH (corresponding author), Shanghai Jiao Tong Univ, Sch Oceanog, 1954 Huashan Rd, Shanghai 200030, Peoples R China.;Cai, MH (corresponding author), Polar Res Inst China, Antarctic Great Wall Ecol Natl Observat &amp; Res Stn, 1000 Xuelong Rd, Shanghai 201209, Peoples R China.;Liu, HL (corresponding author), Sch Environm Nanjing Univ, State Key Lab Pollut Control &amp; Resource Reuse, Nanjing 210023, Peoples R China.</t>
  </si>
  <si>
    <t>caiminghong@pric.org.cn; hlliu@nju.edu.cn</t>
  </si>
  <si>
    <t>Zhang, Shengwei/HZI-0177-2023; Wang, Rui/JWA-4726-2024</t>
  </si>
  <si>
    <t>National Natural Science Foun-dation of China; National Key Research and Development Program of China; Major National Science and Technology Project of China; [41776202]; [22176095]; [2021YFC2801103]; [2018ZX0720708001]</t>
  </si>
  <si>
    <t>National Natural Science Foun-dation of China(National Natural Science Foundation of China (NSFC)); National Key Research and Development Program of China; Major National Science and Technology Project of China; ; ; ;</t>
  </si>
  <si>
    <t>Acknowledgments This research was supported by the National Natural Science Foun-dation of China through Grants 41776202 and 22176095, the National Key Research and Development Program of China through Grant 2021YFC2801103, the Major National Science and Technology Project of China through Grant 2018ZX0720708001.</t>
  </si>
  <si>
    <t>10.1016/j.jenvman.2022.116565</t>
  </si>
  <si>
    <t>6N5RX</t>
  </si>
  <si>
    <t>WOS:000889614700005</t>
  </si>
  <si>
    <t>Bergami, E; Ferrari, E; Löder, MGJ; Birarda, G; Laforsch, C; Vaccari, L; Corsi, I</t>
  </si>
  <si>
    <t>Bergami, E.; Ferrari, E.; Loeder, M. G. J.; Birarda, G.; Laforsch, C.; Vaccari, L.; Corsi, I</t>
  </si>
  <si>
    <t>Textile microfibers in wild Antarctic whelk Neobuccinum eatoni (Smith, 1875) from Terra Nova Bay (Ross Sea, Antarctica)</t>
  </si>
  <si>
    <t>Antarctica; Plastic pollution; Microfibers; Benthos; Gastropod; Ross sea</t>
  </si>
  <si>
    <t>MOLLUSK ASSEMBLAGES; DIGESTION PROTOCOL; RESEARCH STATION; MICROPLASTICS; CONTAMINATION; ACCUMULATION; ORGANISMS; RELEASE; FIBERS; DIVERSITY</t>
  </si>
  <si>
    <t>Antarctica has been affected directly and indirectly by human pressure for more than two centuries and recently plastic pollution has been recognized as a further potential threat for its unique biodiversity. Global long-range transport as well as local input from anthropogenic activities are potential sources of plastic pollution in both terrestrial and marine Antarctic territories. The present study evaluated the presence of microplastics in speci-mens of the Antarctic whelk Neobuccinum eatoni, a key species in benthic communities of the Ross Sea, one of the largest marine protected areas worldwide. To this aim, a thermo-oxidative extraction method was applied for microplastic isolation and quantification, and polymer identification was performed by manual mu-FTIR spec-troscopy. Textile (semi-)synthetic or composite microfibers (length range: 0.8-5.7 mm) were found in 27.3% of whelk specimens, suggesting a low risk of bioaccumulation along Antarctic benthic food webs in the Ross Sea. Their polymer composition (of polyethylene terephthalate and cellulose-polyamide composites) matched those of outdoor technical clothing in use by the personnel of the Italian Mario Zucchelli station near Terra Nova Bay in the Ross Sea. Such findings indicate that sewage from base stations may act as potential local sources of textile microplastic fibers in this remote environment. More in-depth monitoring studies aiming at defining the extent of microplastic contamination related to such sources in Antarctica are encouraged.</t>
  </si>
  <si>
    <t>[Bergami, E.; Ferrari, E.; Corsi, I] Univ Siena, Dept Phys Earth &amp; Environm Sci, I-53100 Siena, Italy; [Bergami, E.] Univ Modena &amp; Reggio Emilia, Dept Life Sci, Via Campi 213-D, I-41125 Modena, Italy; [Loeder, M. G. J.; Laforsch, C.] Univ Bayreuth, Dept Anim Ecol 1, D-95440 Bayreuth, Germany; [Loeder, M. G. J.; Laforsch, C.] Univ Bayreuth, BayCEER, D-95440 Bayreuth, Germany; [Birarda, G.; Vaccari, L.] Elettra Sincrotrone Trieste, SISSI Chem &amp; Life Sci Branch, SS 14 Km 163, I-34149 Trieste, Italy</t>
  </si>
  <si>
    <t>University of Siena; Universita di Modena e Reggio Emilia; University of Bayreuth; University of Bayreuth; Elettra Sincrotrone Trieste</t>
  </si>
  <si>
    <t>Bergami, E (corresponding author), Univ Modena &amp; Reggio Emilia, Dept Life Sci, Via Campi 213-D, I-41125 Modena, Italy.</t>
  </si>
  <si>
    <t>elisa.bergami@unimore.it</t>
  </si>
  <si>
    <t>Corsi, Ilaria/D-3795-2012; Birarda, Giovanni/ABW-3824-2022; Bergami, Elisa/JFJ-1703-2023; Laforsch, Christian/JOZ-3270-2023; Löder, Martin G. J./HDM-8961-2022</t>
  </si>
  <si>
    <t>Corsi, Ilaria/0000-0002-1811-3041; Bergami, Elisa/0000-0001-8149-9584; Laforsch, Christian/0000-0002-5889-4647; Ferrari, Emma/0000-0001-7544-6590</t>
  </si>
  <si>
    <t>Italian National Antarctic Research Program (PNRA) [PNRA 14_00090]; PNRA [2013/AZ1.09]; CERIC-ERIC Consortium [20167051]</t>
  </si>
  <si>
    <t>Italian National Antarctic Research Program (PNRA)(Ministry of Education, Universities and Research (MIUR)); PNRA; CERIC-ERIC Consortium</t>
  </si>
  <si>
    <t>This study received funding from the Italian National Antarctic Research Program (PNRA, project PNRA 14_00090, in collaboration with PNRA, 2013/AZ1.09 for sampling) . The authors also acknowledge the CERIC-ERIC Consortium (beamtime number: 20167051) for the access to Elettra Sincrotrone Trieste and the financial support.</t>
  </si>
  <si>
    <t>10.1016/j.envres.2022.114487</t>
  </si>
  <si>
    <t>6F0XW</t>
  </si>
  <si>
    <t>WOS:000883794600004</t>
  </si>
  <si>
    <t>Zheng, LJ; Minami, T; Takano, S; Sohrin, Y</t>
  </si>
  <si>
    <t>Zheng, Linjie; Minami, Tomoharu; Takano, Shotaro; Sohrin, Yoshiki</t>
  </si>
  <si>
    <t>Distributions of aluminum, manganese, cobalt, and lead in the western South Pacific: Interplay between the South and North Pacific</t>
  </si>
  <si>
    <t>GEOTRACES; Scavenged elements; Biogeochemical cycling; Weathering; Anthropogenic pollution</t>
  </si>
  <si>
    <t>TOTAL GEOSTROPHIC CIRCULATION; BIOACTIVE TRACE-METALS; DISSOLVED ALUMINUM; ATLANTIC-OCEAN; SURFACE WATERS; SEDIMENT RESUSPENSION; INDUSTRIAL LEAD; BIOGENIC SILICA; HELIUM ISOTOPE; FLOW PATTERNS</t>
  </si>
  <si>
    <t>Aluminum (Al), manganese (Mn), cobalt (Co), and lead (Pb) are strongly scavenged from seawater. We reported that each element is uniquely related to ocean circulation in the North Pacific (Zheng et al., 2019). Herein, we present the full-depth distributions of these elements in the western South Pacific, which include meridional sections along 170 &amp; DEG;W (GEOTRACES GP19). We determined dissolved (d) and total dissolvable (td) concentrations using filtered and unfiltered seawater without UV treatment, and we calculated labile particulate (lp) concentrations as the difference between td and d concentrations. This and the previous studies present the basin scale distributions, which enable us to investigate first order processes that drive the biogeochemistry of Al, Mn, Co, and Pb in the Pacific Ocean. The meridional section of dAl along 170 &amp; DEG;W (GP19)-160 &amp; DEG;W (GPc06) from 64 &amp; DEG;S to 54 &amp; DEG;N indicates that elevated concentra-tions (maximum 6.1 nmol/kg) occur between 40 &amp; DEG;S and 10 &amp; DEG;S from surface to bottom. However, the max-ima of lpAl occur at high latitudes. The lpAl/tdAl ratio has a minimum of 0.26 &amp; PLUSMN; 0.12 (ave &amp; PLUSMN; sd, n = 116) in the zone from 30 &amp; DEG;S to 0 &amp; DEG;S. Based on these results, we propose a hypothesis that weathering on land has a significant effect on the distribution of Al in the ocean. Intensive weathering on tropical and subtropical islands and Australia forms kaolinite-dominated soils and laterite. This process provides dAl and kaolinite to the ocean. The supply of kaolinite results in kaolinite-dominated sediments that become a major bot-tom source for dAl. In contrast, strong sources of Mn and Co are continental shelves around the northern boundary. Dissolved Mn and dCo are released from sediments by manganese reduction and carried by intermediate water circulation. In particular, dCo spreads in the North Pacific Intermediate Water (NPIW), Equatorial Pacific Intermediate Water (EqPIW), and Antarctic Intermediate Water (AAIW); 23- 59 pmol/kg at a potential density anomaly (rh) of 27.0. This is partly owing to the uptake of dCo by phy-toplankton and remineralization from settling particles. The dPb concentrations are 10 &amp; PLUSMN; 6 pmol/kg (n = 397) in the South Pacific and 30 &amp; PLUSMN; 20 pmol/kg (n = 566) in the North Pacific. The distribution of dPb is characterized by a maximum in the Subtropical Mode Water (SMW) and Central Mode Water (CMW) with rh-26 in the North Pacific. These results indicate that Pb is predominantly supplied by anthropogenic aerosols from Asia and Russia to the Pacific Ocean. Because Pb is not actively taken up by phytoplankton, Pb enters mode waters during winter convection and is transported with mode waters.(c) 2022 The Author(s). Published by Elsevier Ltd. This is an open access article under the CC BY-NC-ND license (http://creativecommons.org/licenses/by-nc-nd/4.0/).</t>
  </si>
  <si>
    <t>[Zheng, Linjie; Minami, Tomoharu; Takano, Shotaro; Sohrin, Yoshiki] Kyoto Univ, Inst Chem Res, Uji, Kyoto 6110011, Japan; [Minami, Tomoharu] Kanazawa Univ, Engn &amp; Technol Dept, Kanazawa, Ishikawa 9201192, Japan</t>
  </si>
  <si>
    <t>Kyoto University; Kanazawa University</t>
  </si>
  <si>
    <t>Sohrin, Y (corresponding author), Kyoto Univ, Inst Chem Res, Uji, Kyoto 6110011, Japan.</t>
  </si>
  <si>
    <t>sohrin@scl.kyoto-u.ac.jp</t>
  </si>
  <si>
    <t>Sohrin, Yoshiki/A-8133-2011</t>
  </si>
  <si>
    <t>Sohrin, Yoshiki/0000-0001-6744-6048</t>
  </si>
  <si>
    <t>Japan Society for the Promotion of Science (JSPS) KAKENHI [24241004, 15H01727, 19H01148, 21 K17877]; Research Institute for Oceanochemistry Foundation [H29 -R1, H31 -R1, R2 -R2]</t>
  </si>
  <si>
    <t>Japan Society for the Promotion of Science (JSPS) KAKENHI(Ministry of Education, Culture, Sports, Science and Technology, Japan (MEXT)Japan Society for the Promotion of ScienceGrants-in-Aid for Scientific Research (KAKENHI)); Research Institute for Oceanochemistry Foundation</t>
  </si>
  <si>
    <t>The authors thank the crew, technicians, students, and scien- tists onboard the KH-14-6 cruise for assistance with the sampling and analysis of routine data. This research was supported by the Japan Society for the Promotion of Science (JSPS) KAKENHI grants (24241004, 15H01727, and 19H01148 to YS; 21 K17877 to LZ) and by Mitsumasa Ito Memorial Research Grants from the Research Institute for Oceanochemistry Foundation (H29 -R1 to TM; H31 -R1 and R2 -R2 to LZ) . We would like to thank Editage ( www.editage.jp) for the English language editing.</t>
  </si>
  <si>
    <t>10.1016/j.gca.2022.10.022</t>
  </si>
  <si>
    <t>5W9UI</t>
  </si>
  <si>
    <t>WOS:000878253200007</t>
  </si>
  <si>
    <t>Seakamela, SM; Kotze, PGH; Gumede, NC; Sibiya, N; Shabangu, FW; McCue, SA</t>
  </si>
  <si>
    <t>Seakamela, S. Mduduzi; Kotze, Pieter G. H.; Gumede, Nosipho C.; Sibiya, Natalia; Shabangu, Fannie W.; McCue, Steven A.</t>
  </si>
  <si>
    <t>Finally seen: a rare sighting of Antarctic blue whale cow-calf pair off the west coast of South Africa</t>
  </si>
  <si>
    <t>Blue whale; Benguela ecosystem; Cow-calf pair; Occurrence; Calving ground; Rare sighting</t>
  </si>
  <si>
    <t>BALAENOPTERA-MUSCULUS; HEMISPHERE; AREA</t>
  </si>
  <si>
    <t>Blue whales are rarely sighted off the coasts of South Africa due to their low numbers and offshore habitat preference. Visual observations to search for marine mammals were conducted onboard a platform of opportunity during the Integrated Ecosystems Programme survey in November 2019. A cow-calf pair of blue whales Balaenoptera musculus was sighted offshore Kleinzee (30 degrees 05'02.4 '' S, 14 degrees 24'53.2 '' E) at a water depth of 1670 m on the west coast of South Africa in the southern Benguela Current System. The pair was identified as Antarctic blue whales B. m. intermedia based on the size of the cow (similar to 29 m), torpedo-shaped body of the cow, known distribution ranges and recent acoustic data showing that pygmy blue whales B. m. brevicauda do not occur in these waters. The calf was likely born in the Benguela ecosystem given its relatively small size. This is the first sighting of Antarctic blue whale cow-calf pair in South African waters post whaling, indicating that animals might still use this area as a calving or nursing ground. Improved protection of this region in the low latitudes might benefit the recovery and conservation of the species.</t>
  </si>
  <si>
    <t>[Seakamela, S. Mduduzi; Kotze, Pieter G. H.; Gumede, Nosipho C.; Sibiya, Natalia; McCue, Steven A.] Dept Forestry Oceans &amp; Coasts Branch, Fisheries &amp; Environm, 2 East Pier Rd Waterfront, Cape Town, South Africa; [Shabangu, Fannie W.] Dept Forestry Fisheries Management Branch, Fisheries &amp; Environm, Foretrust Bldg Martin Hammerschlag Way Foreshore, ZA-8001 Cape Town, South Africa; [Shabangu, Fannie W.] Univ Pretoria, Mammal Res Inst, Whale Unit, Private Bag X20, ZA-0028 Pretoria, South Africa</t>
  </si>
  <si>
    <t>University of Pretoria</t>
  </si>
  <si>
    <t>Seakamela, SM (corresponding author), Dept Forestry Oceans &amp; Coasts Branch, Fisheries &amp; Environm, 2 East Pier Rd Waterfront, Cape Town, South Africa.</t>
  </si>
  <si>
    <t>smseakamela@dffe.gov.za</t>
  </si>
  <si>
    <t>Seakamela, S Mduduzi/HGA-6807-2022</t>
  </si>
  <si>
    <t>Shabangu, Fannie W./0000-0002-3668-3566; Gumede, Nosipho Clementine/0000-0002-3457-2109; Mc Cue, Steven/0000-0001-9601-0067; Sibiya, Natalia/0000-0002-1582-7890</t>
  </si>
  <si>
    <t>Department of Forestry, Fisheries and the Environment</t>
  </si>
  <si>
    <t>The Department of Forestry, Fisheries and the Environment supported the design of the study and collection, analysis, and interpretation of data.</t>
  </si>
  <si>
    <t>10.1007/s00300-022-03089-2</t>
  </si>
  <si>
    <t>WOS:000871177100001</t>
  </si>
  <si>
    <t>Huth, A; Adcroft, A; Sergienko, O; Khan, N</t>
  </si>
  <si>
    <t>Huth, Alex; Adcroft, Alistair; Sergienko, Olga; Khan, Nuzhat</t>
  </si>
  <si>
    <t>Ocean currents break up a tabular iceberg</t>
  </si>
  <si>
    <t>C ICE SHELF; INTERACTIVE ICEBERGS; BASAL CREVASSES; CLIMATE; MODEL; DYNAMICS</t>
  </si>
  <si>
    <t>In December 2020, giant tabular iceberg A68a (surface area 3900 km(2)) broke up in open ocean much deeper than its keel, indicating that the breakage was not immediately caused by collision with the seafloor. Giant icebergs with lengths exceeding 18.5 km account for most of the calved ice mass from the Antarctic Ice Sheet. Upon calving, they drift away and transport freshwater into the Southern Ocean, modifying ocean circulation, disrupting sea ice and the marine biosphere, and potentially triggering changes in climate. Here, we demonstrate that the A68a breakup event may have been triggered by ocean-current shear, a new breakup mechanism not previously reported. We also introduce methods to represent giant icebergs within climate models that currently do not have any representation of them. These methods open opportunities to explore the interactions between icebergs and other components of the climate system and will improve the fidelity of global climate simulations.</t>
  </si>
  <si>
    <t>[Huth, Alex; Adcroft, Alistair; Sergienko, Olga] Princeton Univ, AOS Program, Princeton, NJ 08540 USA; [Khan, Nuzhat] CUNY Hunter Coll, Macaulay Honors Coll, New York, NY 10023 USA</t>
  </si>
  <si>
    <t>Princeton University; City University of New York (CUNY) System; Hunter College (CUNY)</t>
  </si>
  <si>
    <t>Huth, A (corresponding author), Princeton Univ, AOS Program, Princeton, NJ 08540 USA.</t>
  </si>
  <si>
    <t>ahuth@princeton.edu</t>
  </si>
  <si>
    <t>Sergienko, Olga/HII-8500-2022; Adcroft, Alistair/E-5949-2010; Huth, Alex/HNI-9516-2023</t>
  </si>
  <si>
    <t>Sergienko, Olga/0000-0002-5764-8815; Adcroft, Alistair/0000-0001-9413-1017; Huth, Alex/0000-0002-7590-3525; , Nuzhat/0000-0002-6236-3005</t>
  </si>
  <si>
    <t>NSF [1744800]; National Oceanic and Atmospheric Administration, U.S. Department of Commerce [NA18OAR4320123]; Directorate For Geosciences; Office of Polar Programs (OPP) [1744800] Funding Source: National Science Foundation</t>
  </si>
  <si>
    <t>NSF(National Science Foundation (NSF)); National Oceanic and Atmospheric Administration, U.S. Department of Commerce(National Oceanic Atmospheric Admin (NOAA) - USA); Directorate For Geosciences; Office of Polar Programs (OPP)(National Science Foundation (NSF)NSF - Directorate for Geosciences (GEO))</t>
  </si>
  <si>
    <t>A.H. was supported by NSF grant no. 1744800. A.A. and O.S. were supported by award NA18OAR4320123 from the National Oceanic and Atmospheric Administration, U.S. Department of Commerce. We acknowledge NOAA-GFDL resources made available for this research. The statements, findings, conclusions, and recommendations are those of the author(s) and do not necessarily reflect the views of the National Oceanic and Atmospheric Administration or the U.S. Department of Commerce.</t>
  </si>
  <si>
    <t>OCT 21</t>
  </si>
  <si>
    <t>eabq6974</t>
  </si>
  <si>
    <t>10.1126/sciadv.abq6974</t>
  </si>
  <si>
    <t>6R2JN</t>
  </si>
  <si>
    <t>WOS:000892134200001</t>
  </si>
  <si>
    <t>Meredith, M</t>
  </si>
  <si>
    <t>Meredith, Michael</t>
  </si>
  <si>
    <t>Underwater ice boosts production of the world ocean's densest waters</t>
  </si>
  <si>
    <t>Waters cooled below freezing point adjacent to Cape Darnley, Antarctica generate subsurface ice and produce dense waters that flood the global ocean abyss.</t>
  </si>
  <si>
    <t>[Meredith, Michael] British Antarctic Survey, Cambridge, England</t>
  </si>
  <si>
    <t>UK Research &amp; Innovation (UKRI); Natural Environment Research Council (NERC); NERC British Antarctic Survey</t>
  </si>
  <si>
    <t>Meredith, M (corresponding author), British Antarctic Survey, Cambridge, England.</t>
  </si>
  <si>
    <t>eade7006</t>
  </si>
  <si>
    <t>10.1126/sciadv.ade7006</t>
  </si>
  <si>
    <t>WOS:000892134200011</t>
  </si>
  <si>
    <t>Ohshima, KI; Fukamachi, Y; Ito, M; Nakata, K; Simizu, D; Ono, K; Nomura, D; Hashida, G; Tamura, T</t>
  </si>
  <si>
    <t>Ohshima, Kay I.; Fukamachi, Yasushi; Ito, Masato; Nakata, Kazuki; Simizu, Daisuke; Ono, Kazuya; Nomura, Daiki; Hashida, Gen; Tamura, Takeshi</t>
  </si>
  <si>
    <t>Dominant frazil ice production in the Cape Darnley polynya leading to Antarctic Bottom Water formation</t>
  </si>
  <si>
    <t>SEA-ICE; SEDIMENT TRANSPORT; WEDDELL GYRE; ALGAL BLOOMS; SHELF; VARIABILITY; OKHOTSK; IRON</t>
  </si>
  <si>
    <t>Antarctic Bottom Water (AABW) occupies the abyssal layer of the world ocean and contributes to the global over-turning circulation. It originates from dense shelf water, which forms from brine rejection during sea ice production. An important region of AABW formation has been identified off the Cape Darnley polynya. However, it remains unclear why and how high ice production leads to AABW formation. Using moored acoustic measurements and a satellite microwave algorithm, we reveal that underwater frazil ice dominates in the polynya. This underwater ice formation prevents heat-insulating surface-cover ice forming, thereby enabling efficient ice production. The high ice production in the nearshore and longer residence times create high-salinity source water for the AABW. Underwater frazil ice occurs as long as strong winds continue and occasionally penetrates depths of at least 80 m. Deep-penetrating frazil ice is particularly prominent in this polynya, while it also occurs in other Antarctic coastal polynyas.</t>
  </si>
  <si>
    <t>[Ohshima, Kay I.; Ono, Kazuya] Hokkaido Univ, Inst Low Temp Sci, Sapporo 0600819, Japan; [Ohshima, Kay I.; Fukamachi, Yasushi; Nomura, Daiki] Hokkaido Univ, Arctic Res Ctr, Sapporo 0010021, Japan; [Ito, Masato; Simizu, Daisuke; Hashida, Gen; Tamura, Takeshi] Natl Inst Polar Res, Tachikawa 1908518, Japan; [Nakata, Kazuki] Japan Aerosp Explorat Agcy, Earth Observat Res Ctr, Tsukuba 3058505, Japan; [Nomura, Daiki] Hokkaido Univ, Fac Fisheries Sci, Hakodate 0418611, Japan</t>
  </si>
  <si>
    <t>Hokkaido University; Hokkaido University; Research Organization of Information &amp; Systems (ROIS); National Institute of Polar Research (NIPR) - Japan; Japan Aerospace Exploration Agency (JAXA); Hokkaido University</t>
  </si>
  <si>
    <t>Ohshima, KI (corresponding author), Hokkaido Univ, Inst Low Temp Sci, Sapporo 0600819, Japan.;Ohshima, KI (corresponding author), Hokkaido Univ, Arctic Res Ctr, Sapporo 0010021, Japan.</t>
  </si>
  <si>
    <t>ohshima@lowtem.hokudai.ac.jp</t>
  </si>
  <si>
    <t>Ono, Kazuya/0000-0002-8282-5801; SIMIZU, Daisuke/0000-0003-4214-6756; Nakata, Kazuki/0000-0002-4298-1148</t>
  </si>
  <si>
    <t>Ministry of Education, Culture, Sports, Science, and Technology in Japan [20221001, 25241001, 17H01157, 17H06317, 20H05707, K20933, 21H04931]; Science Program of Japanese Antarctic Research Expedition [AP05]; Global Change Observation Mission Water 1 of the Japan Aerospace Exploration Agency [ER2GWF404, ER3AMF424]; European Space Agency [6130]; National Institute of Polar Research [KP-303]; Joint Research Program of the Institute of Low Temperature Science, Hokkaido University</t>
  </si>
  <si>
    <t>Ministry of Education, Culture, Sports, Science, and Technology in Japan(Ministry of Education, Culture, Sports, Science and Technology, Japan (MEXT)); Science Program of Japanese Antarctic Research Expedition; Global Change Observation Mission Water 1 of the Japan Aerospace Exploration Agency; European Space Agency(European Space Agency); National Institute of Polar Research(National Institute of Polar Research (NIPR) - Japan); Joint Research Program of the Institute of Low Temperature Science, Hokkaido University</t>
  </si>
  <si>
    <t>This work was supported by Grants-in-Aids for Scientific Research of the Ministry of Education, Culture, Sports, Science, and Technology in Japan, 20221001 (to K.I.O., Y.F., D.S., and T.T.), 25241001 (to K.I.O. and Y.F.), 17H01157 (to K.I.O. and Y.F.), 17H06317 (to K.I.O. and T.T.), 20H05707 (to K.I.O. and T.T.), 20 K20933 (to K.I.O., Y.F., and M.I.), and 21H04931 (to T.T.); the Science Program of Japanese Antarctic Research Expedition, project no. AP05 (to K.I.O., Y.F., D.S., K.O., and G.H.); the Global Change Observation Mission Water 1 of the Japan Aerospace Exploration Agency, PI nos. ER2GWF404 and ER3AMF424 (to K.I.O., Y.F., K.N., and T.T.); the European Space Agency, project ID 6130 (to K.I.O.); the National Institute of Polar Research through Project Research KP-303 (to T.T., D.S., and G.H.); and the Joint Research Program of the Institute of Low Temperature Science, Hokkaido University (to T.T., Y.F., M.I., D.N., and K.I.O.).</t>
  </si>
  <si>
    <t>eadc9174</t>
  </si>
  <si>
    <t>10.1126/sciadv.adc9174</t>
  </si>
  <si>
    <t>6G5JH</t>
  </si>
  <si>
    <t>WOS:000884791300002</t>
  </si>
  <si>
    <t>Wang, YJ; Shi, GT; Wang, DH; Zhao, Q; Jiang, S; Li, YJ; Wang, DQ; Li, CJ; Chen, ZL; Bargagli, R</t>
  </si>
  <si>
    <t>Wang, Yongjie; Shi, Guitao; Wang, Danhe; Zhao, Qian; Jiang, Su; Li, Yangjie; Wang, Dongqi; Li, Chuanjin; Chen, Zhenlou; Bargagli, Roberto</t>
  </si>
  <si>
    <t>Relationships between concentrations of mercury and organic carbon in soils allow the identification of Antarctic ice-free areas with enhanced deposition of the metal</t>
  </si>
  <si>
    <t>Antarctica; Mercury; Organic carbon; Terrestrial ecosystems</t>
  </si>
  <si>
    <t>ATMOSPHERIC MERCURY; ELEMENTAL MERCURY; GASEOUS MERCURY; TERRESTRIAL; SEDIMENTS; LAND; CONTAMINATION; SPECIATION; EMISSIONS; PATHWAYS</t>
  </si>
  <si>
    <t>Antarctica is a sink for mercury (Hg) and plays an important role in the global Hg cycle. Knowledge about the environmental fate of Hg in Antarctic terrestrial ecosystems, however, remains highly restricted. In this study, we investigated soil Hg in samples from three areas located across a wide latitudinal range from about 62 degrees S to over 74 degrees S with very different climatic and environmental conditions and different potential (natural and anthropogenic) sources of Hg. The highest Hg levels were found in soils beneath mosses and ornithogenic soils in the Antarctic Peninsula, whereas extremely low values were found in coastal East Antarctica. Total Hg concentrations in soil samples from the three study areas were always closely related to those of organic carbon (OC). In corroborating the results of previous studies, this large-scale survey strongly suggests that OC is a dominant driver affecting Hg distribution in Antarctic soils. The observed linear relationship between Hg and OC concentrations, also supported by available literature data, probably, has a general relevance for Antarctic soils, and allows to identify samples affected by enhanced Hg deposition from anthropogenic or natural sources. In providing a better understanding of the biogeochemical cycle of Hg in Antarctic terrestrial ecosystems, this study suggests that soil OC content must be considered to assess Hg distribution patterns in Antarctic soils. In samples (including those of lacustrine sediments, planktonic, and benthic algal mats) unaffected by an accentuated deposition of Hg, the value of the ratio [Hg ng/g]/[OC %] appears to be less than similar to 11.</t>
  </si>
  <si>
    <t>[Wang, Yongjie; Shi, Guitao; Wang, Danhe; Zhao, Qian; Wang, Dongqi; Chen, Zhenlou] East China Normal Univ, Sch Geog Sci, Key Lab Geog Informat Sci, Shanghai 200241, Peoples R China; [Jiang, Su] Polar Res Inst China, MNR Key Lab Polar Sci, Shanghai 200136, Peoples R China; [Li, Yangjie] Minist Nat Resources, Inst Oceanog 2, Key Lab Marine Ecosyst Dynam, Hangzhou 310012, Peoples R China; [Li, Chuanjin] Chinese Acad Sci, Northwest Inst Ecoenvironm &amp; Resources, State Key Lab Cryospher Sci, Lanzhou 730000, Peoples R China; [Bargagli, Roberto] Univ Siena, Dept Phys Earth &amp; Environm Sci, Via PA Mattioli 4, IT-53100 Siena, Italy</t>
  </si>
  <si>
    <t>East China Normal University; Polar Research Institute of China; Ministry of Natural Resources of the People's Republic of China; Chinese Academy of Sciences; University of Siena</t>
  </si>
  <si>
    <t>Shi, GT (corresponding author), East China Normal Univ, Sch Geog Sci, Key Lab Geog Informat Sci, Shanghai 200241, Peoples R China.</t>
  </si>
  <si>
    <t>zhao, qian/KHX-7368-2024; Li, Yangjie/ABF-3407-2021; Wang, Dongqi/D-7754-2013; Wang, Yongjie/H-3328-2019</t>
  </si>
  <si>
    <t>Wang, Dongqi/0000-0002-7850-3834;</t>
  </si>
  <si>
    <t>National Science Foundation of China; Program of Shanghai Academic/Technology Research Leader; Social Development Project of Science and Technology Innovation Action Plan of Shanghai; Fundamental Research Funds for the Central Universities; [41922046]; [42177355]; [42276243]; [20XD1421600]; [20dz1207107]</t>
  </si>
  <si>
    <t>National Science Foundation of China(National Natural Science Foundation of China (NSFC)); Program of Shanghai Academic/Technology Research Leader; Social Development Project of Science and Technology Innovation Action Plan of Shanghai; Fundamental Research Funds for the Central Universities(Fundamental Research Funds for the Central Universities); ; ; ; ;</t>
  </si>
  <si>
    <t>Acknowledgements This work was supported by the National Science Foundation of China (Grant Nos. 41922046, 42177355 and 42276243) , the Program of Shanghai Academic/Technology Research Leader (Grant No. 20XD1421600) , Social Development Project of Science and Technology Innovation Action Plan of Shanghai (Grant No. 20dz1207107) , and the Fundamental Research Funds for the Central Universities. The authors are grateful to CHINARE members for support and assistance in soil sampling.</t>
  </si>
  <si>
    <t>10.1016/j.catena.2022.106718</t>
  </si>
  <si>
    <t>6D6DT</t>
  </si>
  <si>
    <t>WOS:000882779400003</t>
  </si>
  <si>
    <t>Martínez-Harms, J; Guerrero, PC; Martínez-Harms, MJ; Poblete, N; González, K; Stavenga, DG; Vorobyev, M</t>
  </si>
  <si>
    <t>Martinez-Harms, Jaime; Guerrero, Pablo C.; Jose Martinez-Harms, Maria; Poblete, Nicolas; Gonzalez, Katalina; Stavenga, Doekele G.; Vorobyev, Misha</t>
  </si>
  <si>
    <t>Mechanisms of flower coloring and eco-evolutionary implications of massive blooming events in the Atacama Desert</t>
  </si>
  <si>
    <t>Atacama Desert; polymorphism; flower color; floral pigments; pollinators; color vision</t>
  </si>
  <si>
    <t>ANNUAL LINANTHUS-PARRYAE; SPECTRAL SENSITIVITY; POLLEN LIMITATION; RECEPTOR NOISE; POLLINATOR PREFERENCES; PLANT REPRODUCTION; POLYMORPHISM; SELECTION; MAINTENANCE; SYSTEMS</t>
  </si>
  <si>
    <t>The Atacama Desert, one of the driest places on earth, holds a rich biodiversity that becomes most appreciable in years when unusual rainfall accumulation triggers a phenomenon of explosive development of ephemeral herbaceous and woody desert species known as desierto florido or blooming desert. Despite the scientific importance of this unique phenomenon only few studies have addressed the mechanisms of flower phenotypic divergence under the fluctuating environment provided by this recurrent event. We investigated the mechanisms of floral color diversity in Cistanthe longiscapa (Montiaceae), a dominant species across the ephemeral blooming landscape of Atacama Desert. Our analyses show that the variation in colors of C. longiscapa flowers result from petals containing betalain pigments with different absorption spectra. The different pigment composition of petals causes flower color differences in the visible and ultraviolet (UV) range of the spectrum. Through color vision models we show that C. longiscapa flowers are highly polymorphic in their color appearance for insect pollinators. Our results highlight the variable nature in flower color of C. longiscapa varieties blooming simultaneously in a geographical restricted area. Given the importance of color in attracting floral visitors, the observed color variability could contribute to increased cross pollination in extreme desert conditions, while accounting for complex and fluctuating histories of plant-pollinator interactions.</t>
  </si>
  <si>
    <t>[Martinez-Harms, Jaime; Poblete, Nicolas; Gonzalez, Katalina] INIA La Cruz, Inst Invest Agr, La Cruz, Chile; [Guerrero, Pablo C.] Univ Concepcion, Dept Bot, Fac Ciencias Nat &amp; Oceanog, Concepcion, Chile; [Guerrero, Pablo C.; Jose Martinez-Harms, Maria] Inst Ecol &amp; Biodivers IEB, Concepcion, Chile; [Guerrero, Pablo C.] Millennium Inst Biodivers Antarctic &amp; Subantarct, Santiago, Chile; [Jose Martinez-Harms, Maria] Pontificia Univ Catolica Chile, Millennium Inst Coastal Socioecol, Santiago, Chile; [Stavenga, Doekele G.] Univ Groningen, Groningen Inst Evolutionary Life Sci, Groningen, Netherlands; [Vorobyev, Misha] Univ Auckland, Dept Optometry &amp; Vis Sci, Auckland, New Zealand</t>
  </si>
  <si>
    <t>Universidad de Concepcion; Pontificia Universidad Catolica de Chile; University of Groningen; University of Auckland</t>
  </si>
  <si>
    <t>Martínez-Harms, J (corresponding author), INIA La Cruz, Inst Invest Agr, La Cruz, Chile.</t>
  </si>
  <si>
    <t>jaime.martinez@inia.cl</t>
  </si>
  <si>
    <t>Guerrero, Pablo/J-4296-2012</t>
  </si>
  <si>
    <t>Guerrero, Pablo/0000-0003-1034-1899; Martinez-Harms, Maria Jose/0000-0003-2655-3116; Martinez-Harms, Jaime/0000-0001-5753-3893</t>
  </si>
  <si>
    <t>10.3389/fevo.2022.957318</t>
  </si>
  <si>
    <t>5Y8BM</t>
  </si>
  <si>
    <t>WOS:000879506500001</t>
  </si>
  <si>
    <t>DiBattista, JD; Shalders, TC; Reader, S; Hay, A; Parkinson, K; Williams, RJ; Stuart-Smith, J; McGrouther, M</t>
  </si>
  <si>
    <t>DiBattista, Joseph D.; Shalders, Tanika C.; Reader, Sally; Hay, Amanda; Parkinson, Kerryn; Williams, Robert J.; Stuart-Smith, Jemina; McGrouther, Mark</t>
  </si>
  <si>
    <t>A comprehensive analysis of all known fishes from Sydney Harbour</t>
  </si>
  <si>
    <t>Australia; Biodiversity; Citizen science; Modified habitat; Natural history museum; Port Jackson; Urbanisation</t>
  </si>
  <si>
    <t>NEW-SOUTH-WALES; FUNCTIONAL DIVERSITY; PORT-JACKSON; ANTHROPOGENIC IMPACTS; BIODIVERSITY; AUSTRALIA; CONSERVATION; COMMUNITIES; SEDIMENTS</t>
  </si>
  <si>
    <t>Fishes represent an important natural resource and yet their diversity and function in dynamic estuaries with relatively high levels of human pressure such as Sydney Harbour have rarely been quantified. Further, Eastern Australia supports the survival and persistence of an increasing number of tropical species found within temperate estuaries owing to increasing average ocean temperatures. A re-valuation of the number of fish species known from Sydney Harbour is therefore needed. In this study, we generated an up-to-date and annotated checklist of fishes recorded from Sydney Harbour based on verified natural history records as well as newly available citizen science records based on opportunistic observations and structured surveys. We explored the spatial and temporal distribution of these records. In addition, we quantified the function, conservation status, and commercial importance of the identified fishes. The number of fish species recorded from Sydney Harbour now stands at 675, an increase of 89 species (15 %) when compared to the most recent evaluation in 2013. We attribute this increase in fish diversity over a relatively short time to the contribution of newer citizen science programs as well as the influx and survival of fishes in the Harbour with preferences for warmer waters. Some fish families were also overrepresented in the more urbanized and polluted sections of the Harbour. In forecasting further environmental impacts on the fishes of Sydney Harbour, we recommend increased integration of collaborative citizen science programs and natural history collections as a means to track these changes.</t>
  </si>
  <si>
    <t>[DiBattista, Joseph D.; Reader, Sally; Hay, Amanda; Parkinson, Kerryn; McGrouther, Mark] Australian Museum, Australian Museum Res Inst, Sydney, NSW 2010, Australia; [Shalders, Tanika C.] Southern Cross Univ, Fac Sci &amp; Engn, Natl Marine Sci Ctr, Coffs Harbour, NSW 2450, Australia; [Williams, Robert J.] New South Wales Dept Primary Ind Fisheries, Orange, Australia; [Stuart-Smith, Jemina] Univ Tasmania, Inst Marine &amp; Antarctic Studies, Hobart 7001, Australia; [DiBattista, Joseph D.] Australian Museum, Australian Museum Res Inst, 1 William St, Sydney, NSW 2010, Australia</t>
  </si>
  <si>
    <t>Australian Museum; Southern Cross University; University of Tasmania; Australian Museum</t>
  </si>
  <si>
    <t>DiBattista, JD (corresponding author), Australian Museum, Australian Museum Res Inst, 1 William St, Sydney, NSW 2010, Australia.</t>
  </si>
  <si>
    <t>josephdibattista@gmail.com; Sally.Reader@australian.museum; Amanda.Hay@australian.museum; Kerryn.Parkinson@australian.museum; jemina.stuartsmith@utas.edu.au; Mark.McGrouther@australian.museum</t>
  </si>
  <si>
    <t>Shalders, Tanika/ABE-1249-2020; DiBattista, Joseph/O-2074-2014</t>
  </si>
  <si>
    <t>Shalders, Tanika/0000-0002-3656-2318; McGrouther, Mark/0000-0002-4860-0123; Parkinson, Kerryn/0000-0003-1866-8650; DiBattista, Joseph/0000-0002-5696-7574; Hay, Amanda/0000-0002-1335-2342</t>
  </si>
  <si>
    <t>10.1016/j.marpolbul.2022.114239</t>
  </si>
  <si>
    <t>5X3PV</t>
  </si>
  <si>
    <t>WOS:000878515600006</t>
  </si>
  <si>
    <t>Meyer, B; Kawaguchi, S</t>
  </si>
  <si>
    <t>Meyer, Bettina; Kawaguchi, So</t>
  </si>
  <si>
    <t>Antarctic marine life under pressure</t>
  </si>
  <si>
    <t>SCIENCE</t>
  </si>
  <si>
    <t>[Meyer, Bettina] Helmholtz Ctr Polar &amp; Marine Res, Dept Polar Biol Oceanog, Alfred Wegener Inst, Bremerhaven, Germany; [Kawaguchi, So] Dept Climate Change Energy Environm &amp; Water, Australian Antarctic Div, Kingston, Tas, Australia</t>
  </si>
  <si>
    <t>Helmholtz Association; Alfred Wegener Institute, Helmholtz Centre for Polar &amp; Marine Research; Australian Antarctic Division</t>
  </si>
  <si>
    <t>Meyer, B (corresponding author), Helmholtz Ctr Polar &amp; Marine Res, Dept Polar Biol Oceanog, Alfred Wegener Inst, Bremerhaven, Germany.</t>
  </si>
  <si>
    <t>bettina.meyer@awi.de; so.kawaguchi@aad.gov.au</t>
  </si>
  <si>
    <t>Kawaguchi, So/N-1795-2017</t>
  </si>
  <si>
    <t>Kawaguchi, So/0000-0002-2042-5095; Meyer, Bettina/0000-0001-6804-9896</t>
  </si>
  <si>
    <t>0036-8075</t>
  </si>
  <si>
    <t>1095-9203</t>
  </si>
  <si>
    <t>Science</t>
  </si>
  <si>
    <t>10.1126/science.adf3606</t>
  </si>
  <si>
    <t>5W3JS</t>
  </si>
  <si>
    <t>WOS:000877815400002</t>
  </si>
  <si>
    <t>Bart, PJ; Kratochvil, M</t>
  </si>
  <si>
    <t>Bart, Philip J.; Kratochvil, Matthew</t>
  </si>
  <si>
    <t>A paleo-perspective on West Antarctic Ice Sheet retreat</t>
  </si>
  <si>
    <t>GROUNDING-LINE RETREAT; PINE ISLAND; ROSS SEA; SHELF; COLLAPSE; WIDESPREAD; THWAITES; STREAM; RECORD; BASIN</t>
  </si>
  <si>
    <t>Geological records of ice sheet collapse can provide perspective on the ongoing retreat of grounded and floating ice. An abrupt retreat of the West Antarctic Ice Sheet (WAIS) that occurred during the early deg laciation is well recorded on the eastern Ross Sea continental shelf. There, an ice shelf breakup at 12.3 +/- 0.6 cal. (calibrated) kyr BP caused accelerated ice-mass loss from the Bindschadler Ice Stream (BIS). The accelerated mass loss led to a significant negative mass balance that re-organized WAIS flow across the central and eastern Ross Sea. By similar to 11.5 +/- 0.3 cal kyr BP, dynamic thinning of grounded ice triggered a retreat that opened a similar to 200-km grounding-line embayment on the Whales Deep Basin (WDB) middle continental shelf. Here, we reconstruct the pattern, duration and rate of retreat from a backstepping succession of small-scale grounding-zone ridges that formed on the embayment's eastern flank. We used two end-member paleo-sediment fluxes, i.e., accumulation rates, to convert the cumulative sediment volumes of the ridge field to elapsed time for measured distances of grounding-line retreat. The end-members fluxes correspond to deposition rates for buttressed and unbuttressed ice stream flow. Both scenarios require sustained rapid retreat that exceeded several centuries. Grounding-line retreat is estimated to have averaged between similar to 100 +/- 32 and similar to 700 +/- 79 ma(-1). The evidence favors the latter scenario because iceberg furrows that cross cut the ridges in deep water require weakly buttressed flow as the embayment opened. In comparison with the modern grounding-zone dynamics, this paleo-perspective provides confidence in model projections that a large-scale sustained contraction of grounded ice is underway in several Pacific-Ocean sectors of the WAIS.</t>
  </si>
  <si>
    <t>[Bart, Philip J.; Kratochvil, Matthew] Louisiana State Univ, Dept Geol &amp; Geophys, Baton Rouge, LA 70803 USA</t>
  </si>
  <si>
    <t>Louisiana State University System; Louisiana State University</t>
  </si>
  <si>
    <t>Bart, PJ (corresponding author), Louisiana State Univ, Dept Geol &amp; Geophys, Baton Rouge, LA 70803 USA.</t>
  </si>
  <si>
    <t>pbart@lsu.edu</t>
  </si>
  <si>
    <t>NSF [1246357]; Office of Polar Programs (OPP); Directorate For Geosciences [1246357] Funding Source: National Science Foundation</t>
  </si>
  <si>
    <t>NSF(National Science Foundation (NSF)); Office of Polar Programs (OPP); Directorate For Geosciences(National Science Foundation (NSF)NSF - Directorate for Geosciences (GEO))</t>
  </si>
  <si>
    <t>PJB was supported by NSF research grant # 1246357.</t>
  </si>
  <si>
    <t>10.1038/s41598-022-22450-3</t>
  </si>
  <si>
    <t>5M5DY</t>
  </si>
  <si>
    <t>WOS:000871116800044</t>
  </si>
  <si>
    <t>Wang, WK; Jin, H; Ming, SG; Wang, HY; Jiang, W; Zhao, SY</t>
  </si>
  <si>
    <t>Wang, Wuke; Jin Hong; Ming Shangguan; Wang, Hongyue; Jiang, Wei; Zhao, Shuyun</t>
  </si>
  <si>
    <t>Zonally asymmetric influences of the quasi-biennial oscillation on stratospheric ozone</t>
  </si>
  <si>
    <t>WATER-VAPOR; CIRCULATION; TEMPERATURE; VARIABILITY; MECHANISM; WINTER; QBO</t>
  </si>
  <si>
    <t>The quasi-biennial oscillation (QBO), as the dominant mode in the equatorial stratosphere, modulates the dynamical circulation and the distribution of trace gases in the stratosphere. While the zonal mean QBO signals in stratospheric ozone have been relatively well documented, the zonal (longitudinal) differences in the QBO ozone signals have been less studied. Using satellite-based total column ozone (TCO) data from 1979 to 2020, zonal mean ozone data from 1984 to 2020, three-dimensional (3-D) ozone data from 2002 to 2020, and ERAS reanalysis and model simulations from 1979 to 2020, we demonstrate that the influences of the QBO (using a QBO index at 20 hPa) on stratospheric ozone are zonally asymmetric. The global distribution of stratospheric ozone varies significantly during different QBO phases. During QBO westerly (QBOW) phases, the TCO and stratospheric ozone are anomalously high in the tropics, while in the subtropics they are anomalously low over most of the areas, especially during the winter-spring of the respective hemisphere. This confirms the results from previous studies. In the polar region, the TCO and stratospheric ozone (50-10 hPa) anomalies are seasonally dependent and zonally asymmetric. During boreal winter (December-February, DJF), positive anomalies of the TCO and stratospheric ozone are evident during QBOW over the regions from North America to the North Atlantic (120 degrees W-30 degrees E), while significant negative anomalies exist over other longitudes in the Arctic. In boreal autumn (September-November, SON), the TCO and stratospheric ozone are anomalously high from Greenland to Eurasia (60 degrees W-120 degrees E) but anomalously low in other regions over the Arctic. Weak positive TCO and stratospheric ozone anomalies exist over the South America sector (90 degrees W-30 degrees E) of the Antarctic, while negative anomalies of the TCO and stratospheric ozone are seen in other longitudes. The consistent features of TCO and stratospheric ozone anomalies indicate that the QBO signals in TCO are mainly determined by the stratospheric ozone variations. Analysis of meteorological conditions indicates that the QBO ozone perturbations are mainly caused by dynamical transport and also influenced by chemical reactions associated with the corresponding temperature changes. QBO affects the geopotential height and the polar vortex and subsequently the transport of ozone-rich air from lower latitudes to the polar region, which therefore influences the ozone concentrations over the polar region. The geopotential height anomalies associated with QBO (QBOW-QBOE) are zonally asymmetric with clear wave number 1 features, which indicates that QBO influences the polar vortex and stratospheric ozone mainly by modifying the wave number 1 activities.</t>
  </si>
  <si>
    <t>[Wang, Wuke; Jin Hong; Wang, Hongyue; Jiang, Wei; Zhao, Shuyun] China Univ Geosci, Dept Atmospher Sci, Wuhan, Peoples R China; [Wang, Wuke] Nanjing Univ Informat Sci &amp; Technol, Minist Educ, Key Lab Meteorol Disaster KLME, Nanjing, Peoples R China; [Wang, Wuke] Nanjing Univ Informat Sci &amp; Technol, Collaborat Innovat Ctr Forecast &amp; Evaluat Meteoro, Nanjing, Peoples R China; [Wang, Wuke; Zhao, Shuyun] Res Ctr Complex Air Pollut Hubei Prov, Wuhan, Peoples R China; [Wang, Wuke; Zhao, Shuyun] Ctr Severe Weather &amp; Climate &amp; Hydrogeol Hazards, Wuhan, Peoples R China; [Ming Shangguan] China Univ Geosci, Sch Geog &amp; Informat Engn, Wuhan, Peoples R China</t>
  </si>
  <si>
    <t>China University of Geosciences; Nanjing University of Information Science &amp; Technology; Nanjing University of Information Science &amp; Technology; China University of Geosciences</t>
  </si>
  <si>
    <t>Ming, SG (corresponding author), China Univ Geosci, Sch Geog &amp; Informat Engn, Wuhan, Peoples R China.</t>
  </si>
  <si>
    <t>shanggm@cug.edu.cn</t>
  </si>
  <si>
    <t>shangguan, ming/HKF-4940-2023</t>
  </si>
  <si>
    <t>shangguan, ming/0000-0003-3699-2163; Wang, Wuke/0000-0002-9844-9206</t>
  </si>
  <si>
    <t>Ministry of Science and Technology of the People's Republic of China [2019YFE0125000]; National Natural Science Foundation of China [42075055, 41875095]; Key Laboratory of Meteorological Disaster (KLME), Ministry of Education &amp; Collaborative Innovation Center on Forecast and Evaluation of Meteorological Disasters [KLME202003]</t>
  </si>
  <si>
    <t>Ministry of Science and Technology of the People's Republic of China(Ministry of Science and Technology, China); National Natural Science Foundation of China(National Natural Science Foundation of China (NSFC)); Key Laboratory of Meteorological Disaster (KLME), Ministry of Education &amp; Collaborative Innovation Center on Forecast and Evaluation of Meteorological Disasters</t>
  </si>
  <si>
    <t>This research has been supported by the Ministry of Science and Technology of the People's Republic of China (grant no. 2019YFE0125000), National Natural Science Foundation of China (grant nos. 42075055 and 41875095), and the open project (grant no. KLME202003) from the Key Laboratory of Meteorological Disaster (KLME), Ministry of Education &amp; Collaborative Innovation Center on Forecast and Evaluation of Meteorological Disasters (CIC-FEMD).</t>
  </si>
  <si>
    <t>10.5194/acp-22-13695-2022</t>
  </si>
  <si>
    <t>5M0FJ</t>
  </si>
  <si>
    <t>WOS:000870782300001</t>
  </si>
  <si>
    <t>Wang, JF; Min, C; Ricker, R; Shi, Q; Han, B; Hendricks, S; Wu, RH; Yang, QH</t>
  </si>
  <si>
    <t>Wang, Jinfei; Min, Chao; Ricker, Robert; Shi, Qian; Han, Bo; Hendricks, Stefan; Wu, Renhao; Yang, Qinghua</t>
  </si>
  <si>
    <t>A comparison between Envisat and ICESat sea ice thickness in the Southern Ocean</t>
  </si>
  <si>
    <t>SNOW DEPTH; WEDDELL SEA; FREEBOARD RETRIEVAL; RADAR; VARIABILITY; ANTARCTICA; ALTIMETER; BELLINGSHAUSEN; ICEBRIDGE; TRENDS</t>
  </si>
  <si>
    <t>The crucial role that Antarctic sea ice plays in the global climate system is strongly linked to its thickness. While field observations are too sparse in the Southern Ocean to determine long-term trends of the Antarctic sea ice thickness (SIT) on a hemispheric scale, satellite radar altimetry data can be applied with a promising prospect. The European Space Agency's Sea Ice Climate Change Initiative project (ESA SICCI) generates sea ice thickness derived from Envisat, covering the entire Southern Ocean year-round from 2002 to 2012. In this study, the SICCI Envisat Antarctic SIT is first compared with an Ice, Cloud, and land Elevation Satellite (ICESat) SIT product retrieved with a modified ice density algorithm. Both data sets are compared to SIT estimates from upward-looking sonar (ULS) in the Weddell Sea, showing mean differences (MDs) and standard deviations (SDs, in parentheses) of 1.29 (0.65) m for Envisat - ULS (- denotes minus and the same below), while we find 1.11 (0.81) m for ICESat - ULS. The inter-comparisons are conducted for all seasons except for winter, based on the ICESat operating periods. According to the results, the differences between Envisat and ICESat SIT reveal significant temporal and spatial variations. More specifically, the smallest seasonal SIT MD (SD) of 0.00 m (0.39 m) for Envisat - ICESat is found in spring (October-November), while a larger MD (SD) of 0.52 (0.68 m) and 0.57 m (0.45 m) exists in summer (February-March) and autumn (May-June). It is also shown that from autumn to spring, mean Envisat SIT decreases while mean ICESat SIT increases. Our findings suggest that both overestimation of Envisat sea ice freeboard potentially caused by radar backscatter originating from inside the snow layer and the Advanced Microwave Scanning Ra-diometer for EOS (AMSR-E, where EOS stands for Earth Observing System) snow depth biases and sea ice density uncertainties can possibly account for the differences between Envisat and ICESat SIT.</t>
  </si>
  <si>
    <t>[Wang, Jinfei; Min, Chao; Shi, Qian; Han, Bo; Wu, Renhao; Yang, Qinghua] Sun Yat Sen Univ, Sch Atmospher Sci, Zhuhai 519082, Peoples R China; [Wang, Jinfei; Min, Chao; Shi, Qian; Han, Bo; Wu, Renhao; Yang, Qinghua] Southern Marine Sci &amp; Engn Guangdong Lab Zhuhai, Zhuhai 519082, Peoples R China; [Ricker, Robert; Hendricks, Stefan] Helmholtz Ctr Polar &amp; Marine Res, Alfred Wegener Inst, D-27570 Bremerhaven, Germany</t>
  </si>
  <si>
    <t>Sun Yat Sen University; Southern Marine Science &amp; Engineering Guangdong Laboratory; Southern Marine Science &amp; Engineering Guangdong Laboratory (Zhuhai); Helmholtz Association; Alfred Wegener Institute, Helmholtz Centre for Polar &amp; Marine Research</t>
  </si>
  <si>
    <t>Shi, Q (corresponding author), Sun Yat Sen Univ, Sch Atmospher Sci, Zhuhai 519082, Peoples R China.;Shi, Q (corresponding author), Southern Marine Sci &amp; Engn Guangdong Lab Zhuhai, Zhuhai 519082, Peoples R China.</t>
  </si>
  <si>
    <t>shiq9@mail.sysu.edu.cn</t>
  </si>
  <si>
    <t>Ricker, Robert/Z-4214-2019; Hendricks, Stefan/D-5168-2011; Han, Bo/KBC-0855-2024</t>
  </si>
  <si>
    <t>Ricker, Robert/0000-0001-6928-7757; Hendricks, Stefan/0000-0002-1412-3146; Han, Bo/0000-0002-6137-7907; Wang, Jinfei/0009-0006-8484-4949; Min, Chao/0000-0002-4181-2107; Shi, Qian/0000-0002-4401-6480</t>
  </si>
  <si>
    <t>National Natural Science Foundation of China [41941009, 41922044]; National Key R&amp;D Program of China [2022YFE0106300]; Guangdong Basic and Applied Basic Research Foundation [2020B1515020025]; fundamental research funds for the Norges Forskningsrad [328886]</t>
  </si>
  <si>
    <t>National Natural Science Foundation of China(National Natural Science Foundation of China (NSFC)); National Key R&amp;D Program of China; Guangdong Basic and Applied Basic Research Foundation; fundamental research funds for the Norges Forskningsrad(Research Council of Norway)</t>
  </si>
  <si>
    <t>This study is supported by the National Natural Science Foundation of China (grant nos. 41941009, 41922044), the National Key R&amp;D Program of China (grant no. 2022YFE0106300), the Guangdong Basic and Applied Basic Research Foundation (grant no. 2020B1515020025), and the fundamental research funds for the Norges Forskningsrad (grant no. 328886).</t>
  </si>
  <si>
    <t>10.5194/tc-16-4473-2022</t>
  </si>
  <si>
    <t>5M0EA</t>
  </si>
  <si>
    <t>WOS:000870778800001</t>
  </si>
  <si>
    <t>Fox, AD; Handmann, P; Schmidt, C; Fraser, N; Rühs, S; Sanchez-Franks, A; Martin, T; Oltmanns, M; Johnson, C; Rath, W; Holliday, NP; Biastoch, A; Cunningham, SA; Yashayaev, I</t>
  </si>
  <si>
    <t>Fox, Alan D.; Handmann, Patricia; Schmidt, Christina; Fraser, Neil; Ruehs, Siren; Sanchez-Franks, Alejandra; Martin, Torge; Oltmanns, Marilena; Johnson, Clare; Rath, Willi; Holliday, N. Penny; Biastoch, Arne; Cunningham, Stuart A.; Yashayaev, Igor</t>
  </si>
  <si>
    <t>Exceptional freshening and cooling in the eastern subpolar North Atlantic caused by reduced Labrador Sea surface heat loss</t>
  </si>
  <si>
    <t>OCEAN SCIENCE</t>
  </si>
  <si>
    <t>MERIDIONAL OVERTURNING CIRCULATION; GLOBAL OCEAN CIRCULATION; WATER MASS FORMATION; GYRE; TEMPERATURE; MECHANISMS; FRAMEWORK; SALINITY; IMPACT; FLUXES</t>
  </si>
  <si>
    <t>Observations of the eastern subpolar North Atlantic in the 2010s show exceptional freshening and cooling of the upper ocean, peaking in 2016 with the lowest salinities recorded for 120 years. Published theories for the mechanisms driving the freshening include: reduced transport of saltier, warmer surface waters northwards from the subtropics associated with reduced meridional overturning; shifts in the pathways of fresher, cooler surface water from the Labrador Sea driven by changing patterns of wind stress; and the eastward expansion of the subpolar gyre. Using output from a high-resolution hindcast model simulation, we propose that the primary cause of the exceptional freshening and cooling is reduced surface heat loss in the Labrador Sea. Tracking virtual fluid particles in the model backwards from the eastern subpolar North Atlantic between 1990 and 2020 shows the major cause of the freshening and cooling to be an increased outflow of relatively fresh and cold surface waters from the Labrador Sea; with a minor contribution from reduced transport of warmer, saltier surface water northward from the subtropics. The cooling, but not the freshening, produced by these changing proportions of waters of subpolar and subtropical origin is mitigated by reduced along-track heat loss to the atmosphere in the North Atlantic Current. We analyse modelled boundary exchanges and water mass transformation in the Labrador Sea to show that since 2000, while inflows of lighter surface waters remain steady, the increasing output of these waters is due to reduced surface heat loss in the Labrador Sea beginning in the early 2000s. Tracking particles further upstream reveals that the primary source of the increased volume of lighter water transported out of the Labrador Sea is increased recirculation of water, and therefore longer residence times, in the upper 500-1000 m of the subpolar gyre.</t>
  </si>
  <si>
    <t>[Fox, Alan D.; Fraser, Neil; Johnson, Clare; Cunningham, Stuart A.] Scottish Assoc Marine Sci, Oban PA37 1QA, Argyll, Scotland; [Handmann, Patricia; Schmidt, Christina; Ruehs, Siren; Martin, Torge; Rath, Willi; Biastoch, Arne] GEOMAR Helmholtz Ctr Ocean Res Kid, Ocean Dynam Dept, Kid, Germany; [Sanchez-Franks, Alejandra; Oltmanns, Marilena; Holliday, N. Penny] Natl Oceanog Ctr, European Way, Southampton SO14 3ZH, Hants, England; [Biastoch, Arne] Christian Albrechts Univ Kiel, Fac Math &amp; Nat Sci, Kiel, Germany; [Yashayaev, Igor] Fisheries &amp; Oceans Canada, Bedford Inst Oceanog, 1 Challenger Dr,POB 1006, Dartmouth, NS B2Y 4A2, Canada; [Schmidt, Christina] Univ New South Wales, Climate Change Res Ctr, Sydney, NSW, Australia; [Schmidt, Christina] Univ New South Wales, Australian Ctr Excellence Antarctic Sci, Sydney, NSW, Australia; [Ruehs, Siren] Univ Utrecht, Inst Marine &amp; Atmospher Res Utrecht, Dept Phys, NL-3584 CS Utrecht, Netherlands</t>
  </si>
  <si>
    <t>UHI Millennium Institute; Helmholtz Association; GEOMAR Helmholtz Center for Ocean Research Kiel; University of Southampton; NERC National Oceanography Centre; University of Kiel; Fisheries &amp; Oceans Canada; Bedford Institute of Oceanography; University of New South Wales Sydney; University of New South Wales Sydney; Utrecht University</t>
  </si>
  <si>
    <t>Fox, AD (corresponding author), Scottish Assoc Marine Sci, Oban PA37 1QA, Argyll, Scotland.</t>
  </si>
  <si>
    <t>alan.fox@sams.ac.uk</t>
  </si>
  <si>
    <t>Fox, Alan David/GPS-5041-2022; Rühs, Siren/N-4736-2015; Martin, Torge/H-2613-2017; Rath, Willi/AAH-5654-2021; Holliday, N. Penny/K-4577-2016; Biastoch, Arne/B-5219-2014; Schmidt, Christina/JXW-8171-2024</t>
  </si>
  <si>
    <t>Fox, Alan David/0000-0002-9047-1986; Rühs, Siren/0000-0001-5001-4994; Rath, Willi/0000-0003-1951-8494; Holliday, N. Penny/0000-0002-9733-8002; Biastoch, Arne/0000-0003-3946-4390; Schmidt, Christina/0000-0002-7672-5054; Martin, Torge/0000-0002-0882-8780; Clare, Johnson/0000-0002-8213-2554; Sanchez-Franks, Alejandra/0000-0002-4831-5461</t>
  </si>
  <si>
    <t>Natural Environment Research Council (National Capability programs CLASS) [NE/R015953/1]; National Capability programs ACSIS [NE/N018044/1]; NERC grants U.K. OSNAP Decade [NE/T00858X/1, NE/T00858X/2, NE/T008938/1]; SNAPDRAGON [NE/T013400/1, NE/T013494/1]; Bundesministerium fur Bildung und Forschung [03F0796A]; European Union [818123, 727852]; NERC [NE/K010700/1, NE/R015953/1, NE/T013494/1, NE/T008938/1] Funding Source: UKRI</t>
  </si>
  <si>
    <t>Natural Environment Research Council (National Capability programs CLASS); National Capability programs ACSIS; NERC grants U.K. OSNAP Decade; SNAPDRAGON; Bundesministerium fur Bildung und Forschung(Federal Ministry of Education &amp; Research (BMBF)); European Union(European Union (EU)); NERC(UK Research &amp; Innovation (UKRI)Natural Environment Research Council (NERC))</t>
  </si>
  <si>
    <t>This research has been supported by the Natural Environment Research Council (National Capability programs CLASS (grant no. NE/R015953/1), National Capability programs ACSIS (grant no. NE/N018044/1), NERC grants U.K. OSNAP Decade (grant nos. NE/T00858X/1, NE/T00858X/2, NE/T008938/1), and SNAPDRAGON (grant nos. NE/T013400/1, NE/T013494/1)), and the Bundesministerium fur Bildung und Forschung (SPACES-CASISAC (grant no. 03F0796A)). This project has also received funding from the European Union's Horizon 2020 research and innovation programme under grant agreement no. 818123 (iAtlantic) and grant agreement no 727852 (BlueAction). This output reflects only the author's view, and the European Union cannot be held responsible for any use that may be made of the information contained therein.</t>
  </si>
  <si>
    <t>1812-0784</t>
  </si>
  <si>
    <t>1812-0792</t>
  </si>
  <si>
    <t>OCEAN SCI</t>
  </si>
  <si>
    <t>Ocean Sci.</t>
  </si>
  <si>
    <t>10.5194/os-18-1507-2022</t>
  </si>
  <si>
    <t>5M0FD</t>
  </si>
  <si>
    <t>gold, Green Accepted, Green Submitted</t>
  </si>
  <si>
    <t>WOS:000870781700001</t>
  </si>
  <si>
    <t>de Seixas, MMM; de Araújo, J; Krauss, S; Fabrizio, T; Walker, D; Ometto, T; Thomazelli, LM; Vanstreels, RET; Hurtado, RF; Krüger, L; Piuco, R; Petry, MV; Webster, RG; Webby, RJ; Lee, DH; Chung, DH; Ferreira, HL; Durigon, EL</t>
  </si>
  <si>
    <t>Moraes de Seixas, Marina Maria; de Araujo, Jansen; Krauss, Scott; Fabrizio, Thomas; Walker, David; Ometto, Tatiana; Thomazelli, Luciano Matsumiya; Thijl Vanstreels, Ralph Eric; Hurtado, Renata Ferreira; Kruger, Lucas; Piuco, Roberta; Petry, Maria Virginia; Webster, Robert G.; Webby, Richard J.; Lee, Dong-Hun; Chung, David Hyunjung; Ferreira, Helena Lage; Durigon, Edison Luiz</t>
  </si>
  <si>
    <t>H6N8 avian influenza virus in Antarctic seabirds demonstrates connectivity between South America and Antarctica</t>
  </si>
  <si>
    <t>TRANSBOUNDARY AND EMERGING DISEASES</t>
  </si>
  <si>
    <t>Antarctic; antibodies; avian; brown skua; chinstrap penguin; pathogens</t>
  </si>
  <si>
    <t>PHYLOGENETIC ANALYSIS; WILD BIRDS; A VIRUSES; PENGUINS; LONNBERGI; DISEASE; ADELIE; SKUAS; DIET; SURVEILLANCE</t>
  </si>
  <si>
    <t>Wild aquatic birds are the natural reservoirs of avian influenza viruses (AIVs). It is estimated that 100 million seabirds live in the Antarctic Peninsula and adjacent islands, regularly encountering migratory birds that use the islands to nest. Between 2010 and 2013, we collected samples from 865 seabirds in Elephant, King George and Livingston islands, around Antarctica Peninsula: chinstrap penguin (n = 143); gentoo penguin (n = 208); Adelie penguin (n = 46); brown skua (n = 90); Cape petrel (n = 115) and southern giant petrel (n = 263). Serum (n = 673) samples were analysed by competitive ELISA and swabs (n = 614) were tested by one step real-time RT-PCR for avian influenza virus (AIV). Sera from 30 chinstrap penguins, 76 brown skuas and a single Adelie penguin were seropositive for AIV. Thirteen swab samples were AIV positive by RT-PCR, and complete genome sequences of H6N8 AIVs isolated from brown skua and chinstrap penguin in 2011 were obtained. Phylogenetic analyses indicated that all gene segments of the H6N8 viruses were closely related to Argentinian and Chilean AIVs. The prevalence with which we identified evidence for AIVs infection in various Antarctic seabirds suggest viral circulation in Antarctic avifauna and interspecies viral transmission in the sub-Antarctic region.</t>
  </si>
  <si>
    <t>[Moraes de Seixas, Marina Maria; de Araujo, Jansen; Ometto, Tatiana; Thomazelli, Luciano Matsumiya; Durigon, Edison Luiz] Univ Sao Paulo, Biomed Sci Inst, BSL3 Lab Clin &amp; Mol Virol, Sao Paulo, Brazil; [Krauss, Scott; Fabrizio, Thomas; Walker, David; Webster, Robert G.; Webby, Richard J.] St Jude Childrens Res Hosp, Dept Infect Dis, 332 N Lauderdale St, Memphis, TN 38105 USA; [Thijl Vanstreels, Ralph Eric; Hurtado, Renata Ferreira] Univ Sao Paulo, Sch Vet Med &amp; Anim Sci, Dept Pathol, Lab Wildlife Comparat Pathol, Sao Paulo, Brazil; [Kruger, Lucas] Inst Antartico Chileno, Dept Cient, Punta Arenas, Chile; [Piuco, Roberta; Petry, Maria Virginia] Univ Sinos River Valley, Lab Ornithol &amp; Marine Anim, Sao Leopoldo, RS, Brazil; [Lee, Dong-Hun; Chung, David Hyunjung] Konkuk Univ, Coll Vet Med, Seoul, South Korea; [Lee, Dong-Hun] Univ Connecticut, Dept Pathobiol, Storrs, CT USA; [Ferreira, Helena Lage] Univ Sao Paulo, Fac Anim Sci &amp; Food Engn FZEA USP, Dept Vet Med, Pirassununga, SP, Brazil; [Kruger, Lucas] Fdn Inst Milenio Biodiversidad Ecosistemas Antart, Grp Trabajo Ciencia Toma Decis Conservac Biodiver, Santiago, Chile</t>
  </si>
  <si>
    <t>Universidade de Sao Paulo; St Jude Children's Research Hospital; Universidade de Sao Paulo; Konkuk University; University of Connecticut; Universidade de Sao Paulo</t>
  </si>
  <si>
    <t>de Seixas, MMM; de Araújo, J; Durigon, EL (corresponding author), Univ Sao Paulo, Biomed Sci Inst, BSL3 Lab Clin &amp; Mol Virol, Sao Paulo, Brazil.;Ferreira, HL (corresponding author), Univ Sao Paulo, Dept Vet Med, 225 Av Duque de Caxias, Pirassununga, SP, Brazil.</t>
  </si>
  <si>
    <t>marina.seixas@gmail.com; jansentequila@usp.br; hlage@usp.br; eldurigo@usp.br</t>
  </si>
  <si>
    <t>, Ralph ET Vanstreels/H-8029-2015; Thomazelli, Luciano/HOH-5399-2023; Lage Ferreira, Helena/A-2046-2010; Piuco, Roberta/IAP-0651-2023; Kruger, Lucas/O-8912-2015</t>
  </si>
  <si>
    <t>Thomazelli, Luciano/0000-0002-9157-6122; Lage Ferreira, Helena/0000-0002-3261-3712; Kruger, Lucas/0000-0003-4637-5302</t>
  </si>
  <si>
    <t>National Council for Scientific and Technological Development (CNPq) [403761/2020-4]; Sao Paulo Research Foundation (FAPESP) [2012/14255-8, 2019/13198-0]; Rio de Janeiro Research Foundation (FAPERJ) [E-26/170.023/2008]; INCT-APA CNPq [574018/2008-5]; Secretaria da Comissao Interministerial para os Recursos doMar (SeCIRM); Ministerio do Meio Ambiente, Ministerio da Ciencia, Tecnologia e Inovacao (RedeVirus-MCTI-Brazil)</t>
  </si>
  <si>
    <t>National Council for Scientific and Technological Development (CNPq)(Conselho Nacional de Desenvolvimento Cientifico e Tecnologico (CNPQ)); Sao Paulo Research Foundation (FAPESP)(Fundacao de Amparo a Pesquisa do Estado de Sao Paulo (FAPESP)); Rio de Janeiro Research Foundation (FAPERJ)(Fundacao Carlos Chagas Filho de Amparo a Pesquisa do Estado do Rio De Janeiro (FAPERJ)); INCT-APA CNPq(Conselho Nacional de Desenvolvimento Cientifico e Tecnologico (CNPQ)); Secretaria da Comissao Interministerial para os Recursos doMar (SeCIRM); Ministerio do Meio Ambiente, Ministerio da Ciencia, Tecnologia e Inovacao (RedeVirus-MCTI-Brazil)</t>
  </si>
  <si>
    <t>National Council for Scientific and Technological Development (CNPq), Grant/Award Number: 403761/2020-4; Sao Paulo Research Foundation (FAPESP), Grant/Award Numbers: 2012/14255-8, 2019/13198-0; Rio de Janeiro Research Foundation (FAPERJ), Grant/Award Number: E-26/170.023/2008; INCT-APA CNPq, Grant/Award Number: 574018/2008-5; Secretaria da Comissao Interministerial para os Recursos doMar (SeCIRM); Ministerio do Meio Ambiente, Ministerio da Ciencia, Tecnologia e Inovacao (RedeVirus-MCTI-Brazil)</t>
  </si>
  <si>
    <t>1865-1674</t>
  </si>
  <si>
    <t>1865-1682</t>
  </si>
  <si>
    <t>TRANSBOUND EMERG DIS</t>
  </si>
  <si>
    <t>Transbound. Emerg. Dis.</t>
  </si>
  <si>
    <t>E3436</t>
  </si>
  <si>
    <t>E3446</t>
  </si>
  <si>
    <t>10.1111/tbed.14728</t>
  </si>
  <si>
    <t>Infectious Diseases; Veterinary Sciences</t>
  </si>
  <si>
    <t>8N6CL</t>
  </si>
  <si>
    <t>WOS:000870794400001</t>
  </si>
  <si>
    <t>Weiss, EL; Cape, MR; Pan, BJ; Vernet, M; James, CC; Smyth, TJ; Ha, SY; Iriarte, JL; Mitchell, BG</t>
  </si>
  <si>
    <t>Weiss, Elliot L. L.; Cape, Mattias Rolf; Pan, B. Jack; Vernet, Maria; James, Chase C. C.; Smyth, Tim J. J.; Ha, Sun-Yong; Iriarte, Jose L.; Mitchell, B. Greg</t>
  </si>
  <si>
    <t>The distribution of mycosporine-like amino acids in phytoplankton across a Southern Ocean transect</t>
  </si>
  <si>
    <t>mycosporine-like amino acids; ultraviolet radiation; Southern Ocean; phytoplankton; diatoms; UV-absorbing compounds; MAAs; sunscreens</t>
  </si>
  <si>
    <t>UV-ABSORBING COMPOUNDS; ULTRAVIOLET-RADIATION; MARINE-PHYTOPLANKTON; CLASS ABUNDANCES; OZONE DEPLETION; CLIMATE-CHANGE; ABSORPTION; MAAS; ACCUMULATION; PHOTOSYNTHESIS</t>
  </si>
  <si>
    <t>Interactions between phytoplankton and ultraviolet radiation (UVR: 280 - 400 nm) are undergoing changes dictated by variability in ocean temperature, the depth of mixed layers, nutrient availability, and the thickness of the ozone layer. There are a variety of mechanisms for phytoplankton to cope with UVR stress, one of the most prevalent being the presence of mycosporine-like amino acids (MAAs). Despite the importance of these molecules to phytoplankton fitness under UVR stress, knowledge of the diversity and distribution of these molecules in the world's oceans is relatively limited. Here, the composition and distribution of MAAs in phytoplankton were examined in a transect across the Southern Ocean, crossing multiple fronts, from eastern New Zealand to the West Antarctic Peninsula in March and April of 2018. The highest concentration of MAAs (&gt; 0.2 mu g/L) was found between 50 and 60 degrees S, as well as along a longitudinal gradient between 137.47 and 144.78 degrees W. A strong correlation was found between a model of the preceding month's UVR dosage experienced in the mixed layer and the ratio of MAAs to chlorophyll-a across the transect, indicating a relationship between the integrated history of light exposure and phytoplankton physiology. Haptophytes accounted for the majority of biomass north of the polar front (PF) and were strongly correlated with a diversity of MAAs. South of the PF a transition to a community dominated by diatoms was observed, with community composition changes strongly correlated to porphyra-334 concentrations. The data presented here provide a baseline for MAA abundance and association with specific phytoplankton taxa across the Southern Ocean amid a changing climate.</t>
  </si>
  <si>
    <t>[Weiss, Elliot L. L.; Vernet, Maria; James, Chase C. C.; Mitchell, B. Greg] Univ Calif San Diego, Scripps Inst Oceanog, San Diego, CA 92093 USA; [Cape, Mattias Rolf] Univ Washington, Sch Oceanog, Seattle, WA USA; [Pan, B. Jack] CALTECH, Jet Prop Lab, Pasadena, CA USA; [Smyth, Tim J. J.] Plymouth Marine Lab, Plymouth, England; [Ha, Sun-Yong] Korea Polar Res Inst, Div Polar Ocean Sci, Incheon, South Korea; [Iriarte, Jose L.] Univ Austral Chile, Ctr Invest IDEAL Dinam Ecosistemas Marinos Altas L, Puerto Montt, Chile; [Iriarte, Jose L.] Univ Austral Chile, Inst Acuicultura, Puerto Montt, Chile</t>
  </si>
  <si>
    <t>University of California System; University of California San Diego; Scripps Institution of Oceanography; University of Washington; University of Washington Seattle; California Institute of Technology; National Aeronautics &amp; Space Administration (NASA); NASA Jet Propulsion Laboratory (JPL); Plymouth Marine Laboratory; Korea Polar Research Institute (KOPRI); Universidad Austral de Chile; Universidad Austral de Chile</t>
  </si>
  <si>
    <t>Weiss, EL (corresponding author), Univ Calif San Diego, Scripps Inst Oceanog, San Diego, CA 92093 USA.</t>
  </si>
  <si>
    <t>eweiss@ucsd.edu</t>
  </si>
  <si>
    <t>Cape, Mattias/KCK-4444-2024</t>
  </si>
  <si>
    <t>Weiss, Elliot/0000-0002-7713-6198</t>
  </si>
  <si>
    <t>Korea Polar Research Institute (KOPRI), Incheon [PE22110]; National Science Foundation [GRFP DGE-1650112]; National Science Foundation Office of Polar Programs [1822289]; Office of Polar Programs (OPP); Directorate For Geosciences [1822289] Funding Source: National Science Foundation</t>
  </si>
  <si>
    <t>Korea Polar Research Institute (KOPRI), Incheon; National Science Foundation(National Science Foundation (NSF)); National Science Foundation Office of Polar Programs(National Science Foundation (NSF)NSF - Directorate for Geosciences (GEO)); Office of Polar Programs (OPP); Directorate For Geosciences(National Science Foundation (NSF)NSF - Directorate for Geosciences (GEO))</t>
  </si>
  <si>
    <t>This research was conducted as a part of the project Carbon cycle change and ecosystem response under the Southern Ocean warming (PE22110) and supported by the Korea Polar Research Institute (KOPRI), Incheon. ELW was funded by the National Science Foundation through GRFP DGE-1650112 and MV was supported by the National Science Foundation Office of Polar Programs through award number 1822289. The research was also carried out at the Jet Propulsion Laboratory, California Institute of Technology, under a contract with the National Aeronautics and Space Administration (80NM0018D0004).</t>
  </si>
  <si>
    <t>OCT 20</t>
  </si>
  <si>
    <t>10.3389/fmars.2022.1022957</t>
  </si>
  <si>
    <t>6L5VR</t>
  </si>
  <si>
    <t>WOS:000888254600001</t>
  </si>
  <si>
    <t>Yousefi, M; Hoseini, SM; Kulikov, EV; Seleznev, SB; Petrov, AK; Babichev, NV; Kochneva, MV; Davies, SJ</t>
  </si>
  <si>
    <t>Yousefi, Morteza; Hoseini, Seyyed Morteza; Kulikov, Evgeny Vladimirovich; Seleznev, Sergey Borisovich; Petrov, Aleksandr Konstantinovich; Babichev, Nikolay Valerievich; Kochneva, Margarita Vasilyevna; Davies, Simon John</t>
  </si>
  <si>
    <t>Effects of dietary Hyssop, Hyssopus officinalis, extract on physiological and antioxidant responses of rainbow trout, Oncorhynchus mykiss, juveniles to thermal stress</t>
  </si>
  <si>
    <t>FRONTIERS IN VETERINARY SCIENCE</t>
  </si>
  <si>
    <t>antioxidant; feed additive; glutathione; hepatic health; hormones</t>
  </si>
  <si>
    <t>CATFISH HETEROPNEUSTES-FOSSILIS; GROWTH-PERFORMANCE; OXIDATIVE STRESS; BIOCHEMICAL PARAMETERS; WATER TEMPERATURE; ANTARCTIC FISH; VITAMIN-C; EXPRESSION</t>
  </si>
  <si>
    <t>The present study aimed at assessing the effects of dietary Hyssop, Hyssopus officinalis, extract on rainbow trout, Oncorhynchus mykiss, responses to thermal stress. The juveniles (69.8 +/- 0.38 g) were stocked in 12 through-flow tanks at a density of 12 fish per tank. Methanolic extract of Hyssop (HME) was added to diet at 0, 100, 250, and 500 mg/kg and the fish were fed (3% of biomass) over a 70-d period: 62 d at 13.3 +/- 0.08 degrees C and 7 d at 21-22 degrees C. At the end of the trial, the plasma alanine aminotransferase (ALT), aspartate aminotransferase (AST), lactate dehydrogenase (LDH), triiodothyronine (T3), thyroxin (T4), cortisol, glucose, lactate, total antioxidant capacity (TAC), ascorbate, and the gill glutathione peroxidase (GPx), glutathione reductase (GR), glutathione-S-transferase (GST), and malondialdehyde (MDA). The results showed that HME had no significant effects on fish growth performance, survival, and feed efficiency. Dietary 250 mg/kg HME significantly decreased plasma ALT activity (P &lt; 0.001), but showed no significant effects on plasma AST) (P = 0.106) activity, T3 (P = 0.992), and T4 (P = 0.070) levels. Thermal stress significantly (P &lt; 0.001) increased plasma ALT and AST activities, but lowered plasma T3 and T4 levels. Dietary HME and thermal stress had interaction effects on plasma cortisol (P &lt; 0.001), glucose (P = 0.007), lactate (P = 0.010), LDH (P = 0.005), TAC (P = 0.038), ascorbate (P &lt; 0.001), and the gill GPx (P = 0.001), GR (P &lt; 0.001), GST (P &lt; 0.001), and MDA (P = 0.001). Thermal stress significantly increased plasma cortisol, glucose, lactate, and LDH, the gill GPX, GR, and GST, but dietary HME supplementation significantly reduced such elevations, particularly at 250 mg/kg level. Dietary HME significantly increased plasma TAC before the thermal stress and mitigated the stress-induced decreased in TAC, particularly at 250 mg/kg level. Dietary HME significantly decreased the gill MDA before and after the thermal stress, and lowest MDA was observed in 250 mg/kg HME level. Based on the present results, 250 mg/kg HME is recommended as suitable dose to improve antioxidative responses and hepatoprotection in rainbow trout under heat stress.</t>
  </si>
  <si>
    <t>[Yousefi, Morteza; Kulikov, Evgeny Vladimirovich; Seleznev, Sergey Borisovich; Petrov, Aleksandr Konstantinovich; Babichev, Nikolay Valerievich] RUDN Univ, Peoples Friendship Univ Russia, Dept Vet Med, Moscow, Russia; [Hoseini, Seyyed Morteza] Iranian Fisheries Sci Res Inst, Inland Waters Aquat Resources Res Ctr, Agr Res Educ &amp; Extens Org, Gorgan, Iran; [Kochneva, Margarita Vasilyevna] RUDN Univ, Peoples Friendship Univ Russia, Agroengn Dept, Moscow, Russia; [Davies, Simon John] Univ Galway, Ryan Inst, Aquaculture Nutr Res Unit ANRU, Carna Res Stn, Galway, Ireland; [Davies, Simon John] Univ Galway, Coll Engn, Galway, Ireland</t>
  </si>
  <si>
    <t>Peoples Friendship University of Russia; Peoples Friendship University of Russia; Ollscoil na Gaillimhe-University of Galway; Ollscoil na Gaillimhe-University of Galway</t>
  </si>
  <si>
    <t>Yousefi, M (corresponding author), RUDN Univ, Peoples Friendship Univ Russia, Dept Vet Med, Moscow, Russia.;Hoseini, SM (corresponding author), Iranian Fisheries Sci Res Inst, Inland Waters Aquat Resources Res Ctr, Agr Res Educ &amp; Extens Org, Gorgan, Iran.</t>
  </si>
  <si>
    <t>myousefi81@gmail.com; seyyedmorteza.hoseini@gmail.com</t>
  </si>
  <si>
    <t>Yousefi, Morteza/B-9911-2019; Seleznev, Sergey/AAX-8205-2020; Kulikov, Evgeny/AAC-9859-2019; Hoseini, Seyyed Morteza/B-7386-2017</t>
  </si>
  <si>
    <t>Yousefi, Morteza/0000-0001-5352-8106; Davies, Simon J/0000-0002-4483-0503</t>
  </si>
  <si>
    <t>RUDN University Scientific Projects Grant System [202196-2-174]</t>
  </si>
  <si>
    <t>RUDN University Scientific Projects Grant System</t>
  </si>
  <si>
    <t>This publication has been supported by the RUDN University Scientific Projects Grant System, Project No. 202196-2-174.</t>
  </si>
  <si>
    <t>2297-1769</t>
  </si>
  <si>
    <t>FRONT VET SCI</t>
  </si>
  <si>
    <t>Front. Vet. Sci.</t>
  </si>
  <si>
    <t>10.3389/fvets.2022.1042063</t>
  </si>
  <si>
    <t>6L6GD</t>
  </si>
  <si>
    <t>WOS:000888281800001</t>
  </si>
  <si>
    <t>Guerrero, A; Licea, AF; Lizárraga-Partida, ML</t>
  </si>
  <si>
    <t>Guerrero, Abraham; Licea, Alexei F.; Lizarraga-Partida, M. L.</t>
  </si>
  <si>
    <t>Metagenomic analysis among water masses and sediments from the Southern Gulf of Mexico</t>
  </si>
  <si>
    <t>Southern Gulf of Mexico; 16S rRNA bacterial communities; deep sea water bacteria; deep Sea sediment bacteria; metagenomic analysis of deep marine environments</t>
  </si>
  <si>
    <t>Selected water masses and sediment samples from the Southern Gulf of Mexico, were studied by bacterial sequencing the 16S rRNA to establish their community structure and discuss the results in relation to those reported by other authors using deep water masses or sediment samples. Forty-five water and 21 sediment samples were collected at selected sampling localities. Proteobacteria was the most abundant phylum of the bacterial community in both environments as well as the class Gammaproteobacteria and the order Alteromonadales. Concerning the family taxonomic category, Alteromonadaceae was the most abundant in the water masses, showing an increase in the deepest water masses. Woeseiaceae and Kiloniellaceae were the most abundant families in the sediments. The statistical pairwise comparison among the water masses showed significant differences between the maximum fluorescence (maxF), the minimum oxygen (minO), the Antarctic Intermediate Water (AAIW), and the North Atlantic Deep Water (NADW) water masses. Also, significant differences were observed between the maxF, minO, AAIW, NADW water masses, and the sediment environment. It was concluded that the maxF water mass showed significant differences in the deepest water masses and that the sediment environment presented a different structure of families from the water environment.</t>
  </si>
  <si>
    <t>[Guerrero, Abraham] Ctr Invest Alimentac &amp; Desarrollo, AC Unidad Mazatlan, Consejo Nacl Ciencia &amp; Tecnol CONACyT, Ctr Invest Alimentac &amp; Desarrollo CIAD, Mazatlan, Mexico; [Licea, Alexei F.; Lizarraga-Partida, M. L.] Ctr Invest Cient &amp; Educ Super Ensenada, Div Biol Expt &amp; Aplicada, Ensenada, Baja California, Mexico</t>
  </si>
  <si>
    <t>CIAD - Centro de Investigacion en Alimentacion y Desarrollo; CICESE - Centro de Investigacion Cientifica y de Educacion Superior de Ensenada</t>
  </si>
  <si>
    <t>Lizárraga-Partida, ML (corresponding author), Ctr Invest Cient &amp; Educ Super Ensenada, Div Biol Expt &amp; Aplicada, Ensenada, Baja California, Mexico.</t>
  </si>
  <si>
    <t>lizarra@cicese.mx</t>
  </si>
  <si>
    <t>Fondo Sectorial CONACYT-SENER-Hidrocarburos [201441]; CICESE internal project [682135]</t>
  </si>
  <si>
    <t>Fondo Sectorial CONACYT-SENER-Hidrocarburos; CICESE internal project</t>
  </si>
  <si>
    <t>This research was funded (2016-2020) by the Fondo Sectorial CONACYT-SENER-Hidrocarburos, project 201441, as well as by the CICESE internal project 682135 (2016 to present).</t>
  </si>
  <si>
    <t>10.3389/fmars.2022.1020136</t>
  </si>
  <si>
    <t>5Z4QC</t>
  </si>
  <si>
    <t>WOS:000879958600001</t>
  </si>
  <si>
    <t>Li, Z; Guo, J; Guan, FC; Yin, JH; Yang, Q; Zhang, S; Tian, J; Zhang, YH; Ding, MF; Wang, WM</t>
  </si>
  <si>
    <t>Li, Zheng; Guo, Jing; Guan, Fucheng; Yin, Juhui; Yang, Qiang; Zhang, Sen; Tian, Jun; Zhang, Yihang; Ding, Mingfei; Wang, Wenming</t>
  </si>
  <si>
    <t>Oxidized sodium alginate cross-linked calcium alginate/antarctic krill protein composite fiber for improving strength and water resistance</t>
  </si>
  <si>
    <t>COLLOIDS AND SURFACES A-PHYSICOCHEMICAL AND ENGINEERING ASPECTS</t>
  </si>
  <si>
    <t>Oxidized sodium alginate; Calcium alginate; Antarctic krill protein; Composite fiber; Wet spinning; Biocompatibility</t>
  </si>
  <si>
    <t>ANTIBACTERIAL; MEMBRANE; COLLAGEN</t>
  </si>
  <si>
    <t>Oxidation Sodium alginate is a naturally derived cross-linking agent. It has the advantages of high biocompatibility, no precipitation, and low toxicity that small-molecule aldehydes do not possess. Herein, we employed sodium periodate for the oxidation of sodium alginate (SA) to produce oxidized sodium alginate (OSA) aldehydebased crosslinker, which was used to crosslink calcium alginate (CA)/Antarctic krill protein (AKP) composite fibers to obtain OSA-co-CA/AKP composite fibers with multiple crosslinking networks. FT-IR was used to analyze the multiple cross-linked network construction and the hydrogen bonding mechanisms. The composite fibers' crystallinity, morphological structure, and thermal and mechanical properties were analyzed by XRD, SEM, DSC, TGA, and a single fiber strength meter, respectively. The results showed that the composite fibers possessed a multi-network structure of covalent bonding-ionic complexation-hydrogen bonding. And the inclusion of OSA enhanced the composite fibers' thermal stability, crystallinity, and mechanical properties. When the OSA was 1.64 wt%, the fracture strength and salt resistance increased by 16.58 % and 44.2 %, respectively. Cell Counting Kit-8 cytotoxicity test also verified its good biocompatibility and confirmed its potential as a biomedical material.</t>
  </si>
  <si>
    <t>[Li, Zheng; Guo, Jing; Guan, Fucheng; Yin, Juhui; Yang, Qiang; Zhang, Sen; Tian, Jun; Zhang, Yihang; Ding, Mingfei; Wang, Wenming] Dalian Polytech Univ, Coll Text &amp; Mat Engn, Dalian 116034, Liaoning, Peoples R China; [Li, Zheng; Guo, Jing; Guan, Fucheng; Yin, Juhui; Yang, Qiang; Zhang, Sen; Tian, Jun; Zhang, Yihang; Ding, Mingfei; Wang, Wenming] Liaoning Res Ctr Funct Fiber &amp; Composite Mat Engn, Dalian 116034, Peoples R China; [Guo, Jing; Guan, Fucheng] Dalian Polytech Univ, Sch Text &amp; Mat Engn, Light Ind Court 1, Dalian 116034, Peoples R China</t>
  </si>
  <si>
    <t>Guo, J; Guan, FC (corresponding author), Dalian Polytech Univ, Sch Text &amp; Mat Engn, Light Ind Court 1, Dalian 116034, Peoples R China.</t>
  </si>
  <si>
    <t>guojing8161@163.com; gfc6322577@163.com</t>
  </si>
  <si>
    <t>Zhang, Sen/HKW-2973-2023; yang, qiang/GYJ-0971-2022; guan, fucheng/IXN-7582-2023</t>
  </si>
  <si>
    <t>Zhang, Sen/0000-0001-7429-7300; guan, fucheng/0009-0003-0528-6829</t>
  </si>
  <si>
    <t>National Natural Science Foundation of China [51773024, 51373027]; Science Foundation of Education Department of Liaoning [J2020046]; Liaoning Province Education Department on Scientific Research Project [J2020047]; National Advanced Functional Fiber Innovation Center [2021-fx0100207, CCFA-LVYU-9-02]</t>
  </si>
  <si>
    <t>National Natural Science Foundation of China(National Natural Science Foundation of China (NSFC)); Science Foundation of Education Department of Liaoning; Liaoning Province Education Department on Scientific Research Project; National Advanced Functional Fiber Innovation Center</t>
  </si>
  <si>
    <t>This article was funded by the National Natural Science Foundation of China (grant numbers: 51773024 &amp; 51373027); The Science Foundation of Education Department of Liaoning (grant number: J2020046); Liaoning Province Education Department on Scientific Research Project (grant number: J2020047); The National Advanced Functional Fiber Innovation Center CCFA-LVYU-9-02 (grant number:2021-fx0100207).</t>
  </si>
  <si>
    <t>0927-7757</t>
  </si>
  <si>
    <t>1873-4359</t>
  </si>
  <si>
    <t>COLLOID SURFACE A</t>
  </si>
  <si>
    <t>Colloid Surf. A-Physicochem. Eng. Asp.</t>
  </si>
  <si>
    <t>10.1016/j.colsurfa.2022.130317</t>
  </si>
  <si>
    <t>5W0IF</t>
  </si>
  <si>
    <t>WOS:000877604800004</t>
  </si>
  <si>
    <t>Mokus, NGA; Montiel, F</t>
  </si>
  <si>
    <t>Mokus, Nicolas Guillaume Alexandre; Montiel, Fabien</t>
  </si>
  <si>
    <t>Wave-triggered breakup in the marginal ice zone generates lognormal floe size distributions: a simulation study</t>
  </si>
  <si>
    <t>IN-SITU MEASUREMENTS; ANTARCTIC SEA-ICE; OCEAN WAVES; ATTENUATION; MODEL; EVOLUTION; TRANSMISSION; REFLECTION; SPECTRA; SUMMER</t>
  </si>
  <si>
    <t>Fragmentation of the sea ice cover by ocean waves is an important mechanism impacting ice evolution. Fractured ice is more sensitive to melt, leading to a local reduction in ice concentration, facilitating wave propagation. A positive feedback loop, accelerating sea ice retreat, is then introduced. Despite recent efforts to incorporate this process and the resulting floe size distribution (FSD) into the sea ice components of global climate models (GCMs), the physics governing ice breakup under wave action remains poorly understood and its parametrisation highly simplified. We propose a two-dimensional numerical model of wave-induced sea ice breakup to estimate the FSD resulting from repeated fracture events. This model, based on linear water wave theory and visco-elastic sea ice rheology, solves for the scattering of an incoming time-harmonic wave by the ice cover and derives the corresponding strain field. Fracture occurs when the strain exceeds an empirical threshold. The geometry is then updated for the next iteration of the breakup procedure. The resulting FSD is analysed for both monochromatic and polychromatic forcings. For the latter results, FSDs obtained for discrete frequencies are combined following a prescribed wave spectrum. We find that under realistic wave forcing, lognormal FSDs emerge consistently in a large variety of model configurations. Care is taken to evaluate the statistical significance of this finding. This result contrasts with the power law FSD behaviour often assumed by modellers. We discuss the properties of these modelled distributions with respect to the ice rheological properties and the forcing waves. The projected output can be used to improve empirical parametrisations used to couple sea ice and ocean wave GCM components.</t>
  </si>
  <si>
    <t>[Mokus, Nicolas Guillaume Alexandre; Montiel, Fabien] Univ Otago, Dept Math &amp; Stat, Dunedin, New Zealand</t>
  </si>
  <si>
    <t>Mokus, NGA (corresponding author), Univ Otago, Dept Math &amp; Stat, Dunedin, New Zealand.</t>
  </si>
  <si>
    <t>nmokus@maths.otago.ac.nz</t>
  </si>
  <si>
    <t>Mokus, Nicolas/0000-0002-9105-974X</t>
  </si>
  <si>
    <t>University of Otago; Marsden Fund [18-UOO-216, 20-UOO-173]; Antarctica New Zealand (Antarctic Science Platform Project 4); Royal Society of New Zealand [20-UOO-173] Funding Source: Royal Society of New Zealand</t>
  </si>
  <si>
    <t>University of Otago; Marsden Fund(Royal Society of New ZealandMarsden Fund (NZ)); Antarctica New Zealand (Antarctic Science Platform Project 4); Royal Society of New Zealand(Royal Society of New Zealand)</t>
  </si>
  <si>
    <t>This research has been supported by the University of Otago (doctoral scholarship), the Marsden Fund (grant nos. 18-UOO-216 and 20-UOO-173), and Antarctica New Zealand (Antarctic Science Platform Project 4).</t>
  </si>
  <si>
    <t>10.5194/tc-16-4447-2022</t>
  </si>
  <si>
    <t>5L2DX</t>
  </si>
  <si>
    <t>WOS:000870226500001</t>
  </si>
  <si>
    <t>Noguchi, T; Matsumoto, R; Yabuta, H; Kobayashi, H; Miyake, A; Naraoka, H; Okazaki, R; Imae, N; Yamaguchi, A; Kilcoyne, ALD; Takeichi, Y; Takahashi, Y</t>
  </si>
  <si>
    <t>Noguchi, Takaaki; Matsumoto, Rikako; Yabuta, Hikaru; Kobayashi, Hanae; Miyake, Akira; Naraoka, Hiroshi; Okazaki, Ryuji; Imae, Naoya; Yamaguchi, Akira; Kilcoyne, A. L. David; Takeichi, Yasuo; Takahashi, Yoshio</t>
  </si>
  <si>
    <t>Antarctic micrometeorite composed of CP and CS IDP-like material: A micro-breccia originated from a partially ice-melted comet-like small body</t>
  </si>
  <si>
    <t>INTERPLANETARY DUST; AQUEOUS ALTERATION; ASTEROID BELT; RICH MICROMETEORITES; AMORPHOUS SILICATES; ORGANIC-MATTER; TAGISH LAKE; ACFER 094; CHONDRITE; GEMS</t>
  </si>
  <si>
    <t>Asteroids and comets are thought to form in the inner and outer solar systems, respectively. Chondritic porous and smooth interplanetary dust particles (CP IDPs and CS IDPs, respectively) in the stratosphere are regarded as dust grains from comets and hydrated asteroids, respectively. Here, we describe an Antarctic micrometeorite (AMM) composed of lithologies of both CP and CS IDPs. In addition to the CS IDP-like compact lithology that experienced severe aqueous alteration, the CP IDP-like porous lithology shows evidence of very weak aqueous alteration. The structure of the organic matter in the porous lithology varies from that in the CP IDPs to aromatic-rich organic matter. In contrast, the structure of the organic matter in the compact lithology is homogenous, which is consistent with higher degrees of aqueous alteration. Its structure is more similar to that of CP IDPs and Wild 2 samples than that of meteoritic insoluble organic matter, suggesting that the compact lithology formed from the porous lithology. Some CP IDPs are related to cometary dust streams, such as those originating from 26P/Grigg-Skjellerup. In addition, the presence of this AMM indicates an additional origin of the CP IDPs and their equivalent AMMs. The mineralogy and organic chemistry of this AMM suggest that its parent body was composed of the same building blocks as those of the comets, and later experienced incomplete aqueous alteration. The AMM probably formed as microbreccia in the regolith layer composed of materials from a CP IDP-like crust and a hydrated interior.</t>
  </si>
  <si>
    <t>[Noguchi, Takaaki; Miyake, Akira] Kyoto Univ, Div Earth &amp; Planetary Sci, Sakyo Ku, Kitashirakawaoiwake Cho, Kyoto 6068502, Japan; [Matsumoto, Rikako; Naraoka, Hiroshi; Okazaki, Ryuji] Kyushu Univ, Dept Earth &amp; Planetary Sci, Nishi Ku, 744 Motooka, Fukuoka 8120395, Japan; [Yabuta, Hikaru] Hiroshima Univ, Dept Earth &amp; Planetary Syst Sci, 1-3-1 Kagamiyama, Higashihiroshima 7398526, Japan; [Kobayashi, Hanae] Nihon Thermal Consulting Co, Shinjyuku Ku, 1-5-11 Nishi Shinjyuku, Tokyo 1600023, Japan; [Imae, Naoya; Yamaguchi, Akira] Natl Inst Polar Res, 10-3 Midori Cho, Tachikawa, Tokyo 1908518, Japan; [Kilcoyne, A. L. David] Lawrence Berkeley Natl Lab, Adv Light Source, Berkeley, CA 94720 USA; [Takeichi, Yasuo] Osaka Univ, Dept Appl Phys, 2-1 Yamadaoka, Suita, Osaka 5650871, Japan; [Takahashi, Yoshio] Univ Tokyo, Dept Earth &amp; Planetary Sci, Bunkyo Ku, Tokyo 1130033, Japan; [Matsumoto, Rikako] Ine Town Hall,651 Hide,Ine Cho, Yosa, Kyoto 6260493, Japan</t>
  </si>
  <si>
    <t>Kyoto University; Kyushu University; Hiroshima University; Research Organization of Information &amp; Systems (ROIS); National Institute of Polar Research (NIPR) - Japan; United States Department of Energy (DOE); Lawrence Berkeley National Laboratory; Osaka University; University of Tokyo</t>
  </si>
  <si>
    <t>Noguchi, T (corresponding author), Kyoto Univ, Div Earth &amp; Planetary Sci, Sakyo Ku, Kitashirakawaoiwake Cho, Kyoto 6068502, Japan.</t>
  </si>
  <si>
    <t>noguchi.takaaki.2i@kyoto-u.ac.jp</t>
  </si>
  <si>
    <t>Takahashi, Yoshio/F-6733-2011; Takeichi, Yasuo/KBQ-3565-2024; MIYAKE, Akira/JTU-6576-2023; Noguchi, Takaaki/IWV-1123-2023</t>
  </si>
  <si>
    <t>Takahashi, Yoshio/0000-0001-7860-2341; Takeichi, Yasuo/0000-0003-3334-0274; MIYAKE, Akira/0000-0002-6197-4656; Noguchi, Takaaki/0000-0001-7211-2595</t>
  </si>
  <si>
    <t>Department of Energy, Basic Energy Sciences program; Astrobiology Center Program of the National Institutes of Natural Sciences (NINS) [AB281011, AB291008, AB301004]; JSPS KAKENHI [19H00725]; NIPR [KP307, 28-30]; Grants-in-Aid for Scientific Research [20H00202, 20H00205, 22KF0083] Funding Source: KAKEN</t>
  </si>
  <si>
    <t>Department of Energy, Basic Energy Sciences program(United States Department of Energy (DOE)); Astrobiology Center Program of the National Institutes of Natural Sciences (NINS); JSPS KAKENHI(Ministry of Education, Culture, Sports, Science and Technology, Japan (MEXT)Japan Society for the Promotion of ScienceGrants-in-Aid for Scientific Research (KAKENHI)); NIPR(National Institute of Polar Research (NIPR) - Japan); Grants-in-Aid for Scientific Research(Ministry of Education, Culture, Sports, Science and Technology, Japan (MEXT)Japan Society for the Promotion of ScienceGrants-in-Aid for Scientific Research (KAKENHI))</t>
  </si>
  <si>
    <t>We acknowledge H. Motoyama and the 51st Japanese Antarctic Research Expedition team for collecting the surface snow near the Dome Fuji Station, Antarctica. The STXM facility at beamline 5.3.2.2, ALS, was supported by the Department of Energy, Basic Energy Sciences program. This work was supported by the Astrobiology Center Program of the National Institutes of Natural Sciences (NINS) (AB281011, AB291008, and AB301004), JSPS KAKENHI grant number 19H00725, and NIPR through Project Research KP307 and General Collaboration Project No. 28-30.</t>
  </si>
  <si>
    <t>10.1111/maps.13919</t>
  </si>
  <si>
    <t>6L5IY</t>
  </si>
  <si>
    <t>WOS:000870413500001</t>
  </si>
  <si>
    <t>Tillmann, U; Wietkamp, S; Gottschling, M; Hoppenrath, M</t>
  </si>
  <si>
    <t>Tillmann, Urban; Wietkamp, Stephan; Gottschling, Marc; Hoppenrath, Mona</t>
  </si>
  <si>
    <t>Prorocentrum pervagatum sp. nov. (Prorocentrales, Dinophyceae): A new, small, planktonic species with a global distribution</t>
  </si>
  <si>
    <t>PHYCOLOGICAL RESEARCH</t>
  </si>
  <si>
    <t>biogeography; dinoflagellate; morphology; periflagellar area; phylogeny; plankton; protist; taxonomy</t>
  </si>
  <si>
    <t>ALEXANDRIUM DINOPHYCEAE; MINIMUM DINOPHYCEAE; DINOFLAGELLATE; MORPHOLOGY; CULTURE; ISLAND; SEA</t>
  </si>
  <si>
    <t>Prorocentrum comprises a unique group of dinophytes with several apomorphic traits, such as an apical insertion of flagella and the presence of two major, large thecal plates. Species delimitation is challenging, especially for morphologically very similar, small planktonic species. Contemporary analyses, including SEM studies and molecular phylogenetics of type material, are not available for many described species. Based on six strains isolated from Antarctic, subarctic and North Atlantic waters, Prorocentrum pervagatum sp. nov. is described. Prorocentrum pervagatum was small (12-16 mu m long and deep), oval to round in outline, and moderately compressed. One small, pyrenoid-like structure was faintly visible in some cells. Rod-like, long trichocysts were present. Cells had one distinct apical spine (1.1-1.7 mu m in length) visible in light microscopy. The plate surface appeared smooth in light microscopy with few pores located close to the plate margin visible in empty thecae. Electron microscopy revealed plates to be densely covered by small projections and two size classes of thecal pores. Cells had a row of mostly four large pores in apical-ventral position on the right thecal plate. The periflagellar area consisted of eight small platelets. The apical spine was formed by platelet six. In molecular phylogenetics, P. pervagatum was part of a species group generally exhibiting small size and spiny thecal ornamentation, together with Prorocentrum cordatum and Prorocentrum obtusidens. The new species is distinct in DNA trees and differs from the protologues of other small species of Prorocentrum by the unique combination of size, shape (i.e. only moderately compressed or round), presence of a distinct apical spine, and position of thecal pores (i.e. located at the plate margins only). Its clear description and illustration may stimulate similar work of other small species of Prorocentrum, particularly including the re-investigation of taxa with historical names collected at the corresponding type localities.</t>
  </si>
  <si>
    <t>[Tillmann, Urban; Wietkamp, Stephan] Alfred Wegener Inst Polar &amp; Marine Res, Bremerhaven, Germany; [Gottschling, Marc] Ludwig Maximilian Univ Munich, GeoBio Ctr, Dept Biol Systemat Biodivers &amp; Evolut Plants, Munich, Germany; [Hoppenrath, Mona] Senckenberg Meer German Ctr Marine Biodivers Res, Wilhelmshaven, Germany</t>
  </si>
  <si>
    <t>Helmholtz Association; Alfred Wegener Institute, Helmholtz Centre for Polar &amp; Marine Research; University of Munich</t>
  </si>
  <si>
    <t>Tillmann, U (corresponding author), Alfred Wegener Inst Polar &amp; Marine Res, Bremerhaven, Germany.</t>
  </si>
  <si>
    <t>urban.tillmann@awi.de</t>
  </si>
  <si>
    <t>Wietkamp, Stephan/0000-0001-7516-9861</t>
  </si>
  <si>
    <t>PACES II research program of the Alfred-Wegener-Institute as part of the Helmholtz Foundation initiative in Earth and Environment</t>
  </si>
  <si>
    <t>Anne Muller (AWI Bremerhaven, Germany) is thanked for continued support in laboratory work. This work was supported by funding by the PACES II research program of the Alfred-Wegener-Institute as part of the Helmholtz Foundation initiative in Earth and Environment. Open Access funding enabled and organized by Projekt DEAL.</t>
  </si>
  <si>
    <t>1322-0829</t>
  </si>
  <si>
    <t>1440-1835</t>
  </si>
  <si>
    <t>PHYCOL RES</t>
  </si>
  <si>
    <t>Phycol. Res.</t>
  </si>
  <si>
    <t>10.1111/pre.12502</t>
  </si>
  <si>
    <t>A0RF9</t>
  </si>
  <si>
    <t>WOS:000870308500001</t>
  </si>
  <si>
    <t>Chorley, H; Levy, R; Naish, T; Lewis, A; Cox, S; Hemming, S; Ohneiser, C; Gorman, A; Harper, M; Homes, A; Hopkins, J; Prebble, J; Verret, M; Dickinson, W; Florindo, F; Golledge, N; Halberstadt, AR; Kowalewski, D; McKay, R; Meyers, S; Anderson, J; Dagg, B; Lurcock, P</t>
  </si>
  <si>
    <t>Chorley, Hannah; Levy, Richard; Naish, Tim; Lewis, Adam; Cox, Stephen; Hemming, Sidney; Ohneiser, Christian; Gorman, Andrew; Harper, Margaret; Homes, Aline; Hopkins, Jenni; Prebble, Joe; Verret, Marjolaine; Dickinson, Warren; Florindo, Fabio; Golledge, Nicholas; Halberstadt, Anna Ruth; Kowalewski, Douglas; McKay, Robert; Meyers, Stephen; Anderson, Jacob; Dagg, Bob; Lurcock, Pontus</t>
  </si>
  <si>
    <t>East Antarctic Ice Sheet variability during the middle Miocene Climate Transition captured in drill cores from the Friis Hills, Transantarctic Mountains</t>
  </si>
  <si>
    <t>GEOLOGICAL SOCIETY OF AMERICA BULLETIN</t>
  </si>
  <si>
    <t>VICTORIA LAND BASIN; ROSS SEA; GLACIAL HISTORY; CARBON-DIOXIDE; LANDSCAPE EVOLUTION; DEPOSITIONAL MODEL; SUBGLACIAL TILL; LATE OLIGOCENE; DRY VALLEYS; LONG-TERM</t>
  </si>
  <si>
    <t>This study describes 16 well-dated, terres-trial glacial sedimentary cycles deposited dur-ing astronomically paced climate cycles from the termination of the Miocene Climatic Op-timum (MCO) through the middle Miocene Climate Transition (MMCT) (15.1-13.8 Ma) in the Friis Hills, Transantarctic Mountains, Antarctica. Three locations were continuously cored (79% recovery) to a maximum depth of 50.48 m through a succession of interbedded till sheets and fossil-bearing, fluvio-lacustrine sediments. A composite chronostratigraphic framework is presented for the cores based on the previous mapping, a seismic refrac-tion survey that defines basin geometry, and a new, integrated age model based on paleo-magnetic stratigraphy that is constrained by radioisotopic 40Ar/39Ar numeric ages on two newly identified silicic tephra.The paleoecologic and sedimentologic characteristics of organic-rich lithologies are relatively consistent up-section, which implies that successively younger interglacial depos-its during the MMCT similar environmental and climatic condi-tions. During these interglacials, the Friis Hills hinterland was likely ice-free. Major disconformities in the section suggest a transi-tion to colder climates, and after ca. 14.6 Ma, thicker, more extensive and erosive ice cover occurred across the Friis Hills during glacial episodes. Diamictites in the upper three cycles suggest that climate cooled and became drier after ca. 14.2 Ma. However, cyclical retreat of the ice and a return to warm climate condi-tions during interglacials continued through ca. 13.9 Ma. These direct records reflect a highly variable East Antarctic Ice Sheet mar-gin but show that the ice margin became pro-gressively more extensive during successive glacial intervals, which is consistent with a cooling trend toward more glacial values in the far-field benthic foraminifera 618O proxy ice volume and temperature record.Age constraints show that glacial -intergla-cial variability at the terrestrial margin of the East Antarctic Ice Sheet was primarily paced by astronomical precession (-23 k.y.) through the onset of the MMCT (15-14.7 Ma). Precession-driven cycles are modulated by short-period (-100 k.y.) eccentricity cycles. Intervals of maximum eccentricity (high sea-sonality) coincide with sedimentary cycles comprising thin diamictites and relatively represented broadly thick interglacial sandstone and mudstone units. Intervals of minimum eccentricity (low seasonality) coincide with sedimentary cycles comprising thick diamictites and relatively thin interglacial sedimentary deposits. Major disconformities in the Friis Hills succession that span more than-100 k.y. reflect epi-sodes of expansion of erosive ice across, and well beyond, the Transantarctic Mountains and coincide with nodes in eccentricity (-400 k.y.). These relationships suggest that during relatively warm intervals in the middle Mio-cene, the East Antarctic Ice Sheet expanded and contracted over 100 k.y. cycles, while its margins continued to fluctuate at higher (-23 k.y.) frequency. After 14.5 Ma, obliquity is the dominant frequency in 618O records, marking a period during which large regions of the Antarctic Ice Sheet grounded in ma-rine environments.</t>
  </si>
  <si>
    <t>[Chorley, Hannah; Levy, Richard; Naish, Tim; Verret, Marjolaine; Dickinson, Warren; Golledge, Nicholas; McKay, Robert] Victoria Univ Wellington, Antarctic Res Ctr, Wellington 6012, New Zealand; [Levy, Richard; Prebble, Joe] GNS Sci, Lower Hutt 5010, New Zealand; [Lewis, Adam] North Dakota State Univ, Dept Geosci, Fargo, ND 58105 USA; [Cox, Stephen; Hemming, Sidney] Columbia Univ, Lamont Doherty Earth Observ, Palisades, NY 10964 USA; [Ohneiser, Christian; Gorman, Andrew; Dagg, Bob] Univ Otago, Dept Geol, Dunedin 9054, New Zealand; [Harper, Margaret; Homes, Aline; Hopkins, Jenni] Victoria Univ Wellington, Sch Geog Earth &amp; Environm Sci, Wellington 6012, New Zealand; [Florindo, Fabio; Lurcock, Pontus] Ist Nazl Geofis &amp; Vulcanol, I-00143 Rome, Italy; [Halberstadt, Anna Ruth] Berkeley Geochronol Ctr, 2455 Ridge Rd, Berkeley, CA 94709 USA; [Kowalewski, Douglas] Worcester State Univ, Earth Environm &amp; Phys, Worcester, MA 01602 USA; [Meyers, Stephen] Univ Wisconsin Madison, Dept Geosci, Madison, WI 53706 USA; [Anderson, Jacob] Univ Otago, Dept Marine Sci, Dunedin 9054, New Zealand</t>
  </si>
  <si>
    <t>Victoria University Wellington; GNS Science - New Zealand; North Dakota State University Fargo; Columbia University; University of Otago; Victoria University Wellington; Istituto Nazionale Geofisica e Vulcanologia (INGV); Berkeley Geochronolgy Center; Massachusetts System of Public Higher Education; Worcester State University; University of Wisconsin System; University of Wisconsin Madison; University of Otago</t>
  </si>
  <si>
    <t>Chorley, H (corresponding author), Victoria Univ Wellington, Antarctic Res Ctr, Wellington 6012, New Zealand.</t>
  </si>
  <si>
    <t>hkchorley@gmail.com</t>
  </si>
  <si>
    <t>Florindo, Fabio/F-4119-2010; Halberstadt, Anna Ruth/JPW-9990-2023</t>
  </si>
  <si>
    <t>Florindo, Fabio/0000-0002-6058-9748; Golledge, Nicholas/0000-0001-7676-8970; Hopkins, Jenni/0000-0002-0202-1783; Cox, Stephen/0000-0002-8819-887X; Anderson, Jacob/0000-0002-4329-4200</t>
  </si>
  <si>
    <t>New Zealand Ministry of Business, Innovation and Employment through the Past Antarctic Science Programme [C05X1001]; Antarctic Science Platform [ANTA1801]; National Science Foundation [1638954]; Victoria University of Wellington doctoral scholarship</t>
  </si>
  <si>
    <t>New Zealand Ministry of Business, Innovation and Employment through the Past Antarctic Science Programme(New Zealand Ministry of Business, Innovation and Employment (MBIE)); Antarctic Science Platform; National Science Foundation(National Science Foundation (NSF)); Victoria University of Wellington doctoral scholarship</t>
  </si>
  <si>
    <t>We thank Alex Pyne, who developed the drilling methodology to recover core in a challenging environment. Thanks also go to Tony Kingan and Adam Rutland for their efforts to get us into the field and operate the drilling system and to the team at Webster Drilling and Exploration for its support and enthusiasm for scientific drilling in Antarctica. We thank Rebecca Pyne, who helped curate and manage the core both in the field and at the core facility at GNS Science, Wellington, New Zealand. The staff at Antarctica New Zealand are thanked for their excellent support in getting us to and from the field. Special thanks go to Andrew Hefford from Southern Lakes Helicopters for safely moving the drilling system between the drilling sites. Funding support was provided by the New Zealand Ministry of Business, Innovation and Employment through the Past Antarctic Science Programme (C05X1001) ; Antarctic Science Platform (ANTA1801) ; and the National Science Foundation (1638954) . Hannah Chorley was funded by a Victoria University of Wellington doctoral scholarship.</t>
  </si>
  <si>
    <t>0016-7606</t>
  </si>
  <si>
    <t>1943-2674</t>
  </si>
  <si>
    <t>GEOL SOC AM BULL</t>
  </si>
  <si>
    <t>Geol. Soc. Am. Bull.</t>
  </si>
  <si>
    <t>OCT 19</t>
  </si>
  <si>
    <t>4-5</t>
  </si>
  <si>
    <t>10.1130/B36531.1</t>
  </si>
  <si>
    <t>G4TG8</t>
  </si>
  <si>
    <t>WOS:000989092000001</t>
  </si>
  <si>
    <t>Wu, YZ; Pena, LD; Anderson, RF; Hartman, AE; Bolge, LL; Basak, C; Kim, J; Rijkenberg, MJA; De Baar, HJW; Goldstein, SL</t>
  </si>
  <si>
    <t>Wu, Yingzhe; Pena, Leopoldo D.; Anderson, Robert F.; Hartman, Alison E.; Bolge, Louise L.; Basak, Chandranath; Kim, Joohee; Rijkenberg, Micha J. A.; De Baar, Hein J. W.; Goldstein, Steven L.</t>
  </si>
  <si>
    <t>Assessing neodymium isotopes as an ocean circulation tracer in the Southwest Atlantic</t>
  </si>
  <si>
    <t>neodymium isotopes; neodymium concentrations; Southwest Atlantic; GEOTRACES GA02 Leg 3</t>
  </si>
  <si>
    <t>ANTARCTIC INTERMEDIATE WATER; EARTH-ELEMENT CONCENTRATIONS; ND-ISOTOPES; GEOTRACES INTERCALIBRATION; SEAWATER; CONSTRAINTS; EVOLUTION; ALUMINUM; PARADOX; INPUT</t>
  </si>
  <si>
    <t>The global overturning ocean circulation plays a key role in global climate by distributing heat around the Earth and by triggering or amplifying major climate changes. Neodymium (Nd) isotopes are widely used to trace present-day and past ocean circulation changes; however, their value as a circulation tracer has been increasingly challenged by studies that have focused on processes that can modify seawater Nd isotope ratios (for example, seawater interaction with particles, pore water fluxes from sediments). The Southwest Atlantic represents an excellent test bed for investigating the integrity of Nd isotopes as an ocean circulation tracer, as it includes the major Atlantic northern and southern hemisphere-sourced end -member water masses associated with the global overturning ocean circulation, Antarctic Intermediate Water, North Atlantic Deep Water, and Antarctic Bottom Water (AAIW, NADW, and AABW, respectively) and potential regional sources of Nd that could impact that integrity. This study reports Nd isotope data on the GEOTRACES GA02 Southwest Atlantic Meridional Transect, spanning the equator to -50 degrees S. Below the pycnocline, substantial non-conservative behavior is observed only in samples dominated by AAIW in the northern portion of the transect (-25 degrees S to the equator); this appears to reflect addition of Nd from the cratons of South America or Africa from above the pycnocline. This effect is not observed at depths directly below dominated by NADW. Otherwise, Nd isotopes behave as a near-conservative water mass tracer along the transect, with 48% of samples within analytical error of the predicted value from water mass mixing, and 84% within 0.9 epsilon Nd-units (-3 times the analytical error), thus confirming its potential at most depths and locations in the Southwest Atlantic to reconstruct past ocean circulation changes. (c) 2022 Elsevier B.V. All rights reserved.</t>
  </si>
  <si>
    <t>[Wu, Yingzhe; Pena, Leopoldo D.; Anderson, Robert F.; Bolge, Louise L.; Basak, Chandranath; Kim, Joohee; Rijkenberg, Micha J. A.; Goldstein, Steven L.] Columbia Univ, Lamont Doherty Earth Observ, Palisades, NY 10964 USA; [Wu, Yingzhe; Anderson, Robert F.; Kim, Joohee; Goldstein, Steven L.] Columbia Univ, Dept Earth &amp; Environm Sci, Palisades, NY 10964 USA; [Pena, Leopoldo D.] Univ Barcelona, Dept Dinam Terra &amp; Ocea, Barcelona 08028, Spain; [Hartman, Alison E.] Univ Missouri, Dept Analyt Serv, Agr Expt Stn Chem Labs, Columbia, MO 65211 USA; [Basak, Chandranath] Univ Delaware, Dept Earth Sci, Newark, DE 19716 USA; [Rijkenberg, Micha J. A.; De Baar, Hein J. W.] NIOZ Royal Netherlands Inst Sea Res, Dept Ocean Syst, Den Burg, Netherlands; [Rijkenberg, Micha J. A.; De Baar, Hein J. W.] Univ Utrecht, Den Burg, Netherlands; [De Baar, Hein J. W.] Univ Groningen, Groningen, Netherlands</t>
  </si>
  <si>
    <t>Columbia University; Columbia University; University of Barcelona; University of Missouri System; University of Missouri Columbia; University of Delaware; Utrecht University; Royal Netherlands Institute for Sea Research (NIOZ); Utrecht University; University of Groningen</t>
  </si>
  <si>
    <t>Wu, YZ (corresponding author), Columbia Univ, Lamont Doherty Earth Observ, Palisades, NY 10964 USA.;Wu, YZ (corresponding author), Columbia Univ, Dept Earth &amp; Environm Sci, Palisades, NY 10964 USA.</t>
  </si>
  <si>
    <t>yingzhe@ldeo.columbia.edu</t>
  </si>
  <si>
    <t>Rijkenberg, Micha JA/C-3245-2012; Pena, Leopoldo D./A-7085-2015</t>
  </si>
  <si>
    <t>Basak, Chandranath/0000-0002-9410-0074; Hartman, Alison/0000-0001-7649-4164; Pena, Leopoldo D./0000-0001-6414-6293; Kim, Joohee/0000-0002-4797-7180; Wu, Yingzhe/0000-0002-3975-1368; Goldstein, Steven L/0000-0001-7252-8064</t>
  </si>
  <si>
    <t>Ramon y Cajal program; MINECO, Spain [CTM2016-75411-R]; U.S. NSF grant [OCE-12-60514]; Storke Endowment of the Department of Earth and Environmental Sciences of Columbia University</t>
  </si>
  <si>
    <t>Ramon y Cajal program(Spanish Government); MINECO, Spain(Spanish Government); U.S. NSF grant(National Science Foundation (NSF)); Storke Endowment of the Department of Earth and Environmental Sciences of Columbia University</t>
  </si>
  <si>
    <t>This study could not have been made without Captain Bill Richardson and the crew of the RRS James Cook Cruise JC057. We thank Arnold Gordon for discussions on the water mass pathways. Y.W. thanks Karla Knudson for help with editing the manuscript. Comments from anonymous reviewers helped to improve the pa-per and are much appreciated. L.P. acknowledges support from the Ramon y Cajal program and grant no. CTM2016-75411-R (MINECO, Spain). This study is mainly supported by U.S. NSF grant OCE-12-60514 to S.L.G., who also acknowledges support from the Storke Endowment of the Department of Earth and Environmental Sciences of Columbia University.</t>
  </si>
  <si>
    <t>10.1016/j.epsl.2022.117846</t>
  </si>
  <si>
    <t>5Z6OK</t>
  </si>
  <si>
    <t>WOS:000880090200003</t>
  </si>
  <si>
    <t>Biggs, TEG; Rozema, PD; Evans, C; Timmermans, KR; Meredith, MP; Pond, DW; Brussaard, CPD</t>
  </si>
  <si>
    <t>Biggs, T. E. G.; Rozema, P. D.; Evans, C.; Timmermans, K. R.; Meredith, M. P.; Pond, D. W.; Brussaard, C. P. D.</t>
  </si>
  <si>
    <t>Control of Antarctic phytoplankton community composition and standing stock by light availability</t>
  </si>
  <si>
    <t>Antarctic phytoplankton; Acclimation; Light availability; Accumulation rates; Standing stock</t>
  </si>
  <si>
    <t>FRAGILARIOPSIS-CYLINDRUS BACILLARIOPHYCEAE; NORTHERN MARGUERITE BAY; MARGINAL ICE-ZONE; SOUTHERN-OCEAN; PHAEOCYSTIS-ANTARCTICA; SEA-ICE; INTERANNUAL VARIABILITY; MARINE-PHYTOPLANKTON; TAXA PHOTOSYNTHESIS; CHEMTAX ANALYSIS</t>
  </si>
  <si>
    <t>Southern Ocean phytoplankton are especially subjected to pronounced seasonal and interannual changes in light availability. Although previous studies have examined the role of light in these environments, very few combined pigment-based taxonomy with flow cytometry to better discriminate the light response of various phytoplankton groups. In particular the different populations within the diverse and important taxonomic group of diatoms require further investigation. Six incubation experiments (9-10 days) were performed during the main productive period with natural seawater collected at the Western Antarctic Peninsula. Standing stock of Phaeocystis spp. cells displayed relatively fast accumulation under all levels of light (low, medium, high; 4-7, 30-50 and 150-200 mu mol quanta m(-2) s(-1)), whilst the small- and larger-sized diatom populations (4.5 and 20 mu m diameter) exhibited faster accumulation in medium and high light. In contrast, intermediate-sized diatoms (11.5 mu m diameter) displayed fastest net growth under low light, subsequently dominating the phytoplankton community. Low light was a key factor limiting accumulation and peak phytoplankton biomass, except one incubation displaying relatively high accumulation rates under low light. The 3-week low-light period prior to experimentation likely allowed adaptation to maximize achievable growth and seems a strong determinant of whether the different natural Antarctic phytoplankton populations sustain, thrive or decline. Our study provides improved insight into how light intensity modulates the net response of key Antarctic phytoplankton, both between and within taxonomic groups.</t>
  </si>
  <si>
    <t>[Biggs, T. E. G.; Timmermans, K. R.; Brussaard, C. P. D.] NIOZ Royal Netherlands Inst Sea Res, Texel and Yerseke, Netherlands; [Biggs, T. E. G.; Brussaard, C. P. D.] Univ Amsterdam, Inst Biodivers &amp; Ecosyst Dynam IBED, Dept Freshwater &amp; Marine Ecol, Amsterdam, Netherlands; [Rozema, P. D.; Timmermans, K. R.] Univ Groningen, Dept Ocean Ecosyst, Groningen, Netherlands; [Evans, C.] Natl Oceanog Ctr, Ocean Biogeochem &amp; Ecosyst Res Grp, Southampton, Hants, England; [Meredith, M. P.] British Antarctic Survey, Nat Environm Res Council, Cambridge, England; [Pond, D. W.] Univ Stirling, Inst Aquaculture, Stirling, Scotland</t>
  </si>
  <si>
    <t>Utrecht University; Royal Netherlands Institute for Sea Research (NIOZ); University of Amsterdam; University of Groningen; NERC National Oceanography Centre; UK Research &amp; Innovation (UKRI); Natural Environment Research Council (NERC); NERC British Antarctic Survey; University of Stirling</t>
  </si>
  <si>
    <t>Biggs, TEG (corresponding author), NIOZ Royal Netherlands Inst Sea Res, Texel and Yerseke, Netherlands.;Biggs, TEG (corresponding author), Univ Amsterdam, Inst Biodivers &amp; Ecosyst Dynam IBED, Dept Freshwater &amp; Marine Ecol, Amsterdam, Netherlands.</t>
  </si>
  <si>
    <t>tristan.biggs@nioz.nl</t>
  </si>
  <si>
    <t>Rozema, Patrick D/J-9546-2016</t>
  </si>
  <si>
    <t>Netherlands Polar Programme [866.10.102]; Dutch Research Council (NWO); UK Natural Environment Research Council via the Rothera Time Series (RaTS) programme; NERC [NE/M018806/2] Funding Source: UKRI</t>
  </si>
  <si>
    <t>Netherlands Polar Programme; Dutch Research Council (NWO)(Netherlands Organization for Scientific Research (NWO)); UK Natural Environment Research Council via the Rothera Time Series (RaTS) programme; NERC(UK Research &amp; Innovation (UKRI)Natural Environment Research Council (NERC))</t>
  </si>
  <si>
    <t>This work was part of the ANTPHIRCO project (Grant 866.10.102 awarded to C.P.D.B.) which was supported by The Netherlands Polar Programme and with financial aid from the Dutch Research Council (NWO). BAS scientific participation was funded by the UK Natural Environment Research Council via the Rothera Time Series (RaTS) programme.</t>
  </si>
  <si>
    <t>10.1007/s00300-022-03094-5</t>
  </si>
  <si>
    <t>5X6CK</t>
  </si>
  <si>
    <t>WOS:000869568500001</t>
  </si>
  <si>
    <t>Liu, WQ; Cong, BL; Lin, J; Zhao, LL; Liu, SH</t>
  </si>
  <si>
    <t>Liu, Wenqi; Cong, Bailin; Lin, Jing; Zhao, Linlin; Liu, Shenghao</t>
  </si>
  <si>
    <t>Complete genome sequencing and comparison of two nitrogen-metabolizing bacteria isolated from Antarctic deep-sea sediment</t>
  </si>
  <si>
    <t>BMC GENOMICS</t>
  </si>
  <si>
    <t>Cobetia amphilecti; Halomonas profundus; Whole genome; Nitrification and denitrification; Inorganic carbon fixation</t>
  </si>
  <si>
    <t>ENGINEERING-HALOMONAS-BLUEPHAGENESIS; COBETIA-AMPHILECTI; HETEROTROPHIC NITRIFICATION; AEROBIC DENITRIFICATION; ANTIBIOFILM ACTIVITY; SP. NOV.; EVOLUTION; SEAWATER; CARBON; OCEAN</t>
  </si>
  <si>
    <t>Background Bacteria are an essential component of the earth`s biota and affect circulation of matters through their metabolic activity. They also play an important role in the carbon and nitrogen cycle in the deep-sea environment. In this paper, two strains from deep-sea sediments were investigated in order to understand nitrogen cycling involved in the deep-sea environment. Results In this paper, the basic genomic information of two strains was obtained by whole genome sequencing. The Cobetia amphilecti N-80 and Halomonas profundus 13 genome sizes are 4,160,095 bp with a GC content of 62.5% and 5,251,450 bp with a GC content of 54.84%. Through a comparison of functional analyses, we predicted the possible C and N metabolic pathways of the two strains and determined that Halomonas profundus 13 could use more carbon sources than Cobetia amphilecti N-80. The main genes associated with N metabolism in Halomonas profundus 13 are narG, narY, narI, nirS, norB, norC, nosZ, and nirD. On the contrast, nirD, using NH4+ for energy, plays a main role in Cobetia amphilecti N-80. Both of them have the same genes for fixing inorganic carbon: icd, ppc, fdhA, accC, accB, accD, and accA. Conclusion In this study, the whole genomes of two strains were sequenced to clarify the basic characteristics of their genomes, laying the foundation for further studying nitrogen-metabolizing bacteria. Halomonas profundus 13 can utilize more carbon sources than Cobetia amphilecti N-80, as indicated by API as well as COG and KEGG prediction results. Finally, through the analysis of the nitrification and denitrification abilities as well as the inorganic carbon fixation ability of the two strains, the related genes were identified, and the possible metabolic pathways were predicted. Together, these results provide molecular markers and theoretical support for the mechanisms of inorganic carbon fixation by deep-sea microorganisms.</t>
  </si>
  <si>
    <t>[Liu, Wenqi] Fuzhou Univ, Sch Adv Mfg, Fuzhou 350108, Peoples R China; [Cong, Bailin; Lin, Jing; Zhao, Linlin; Liu, Shenghao] Minist Nat Resources, Inst Oceanog 1, Qingdao 266061, Peoples R China</t>
  </si>
  <si>
    <t>Fuzhou University; First Institute of Oceanography, Ministry of Natural Resources; Ministry of Natural Resources of the People's Republic of China</t>
  </si>
  <si>
    <t>Cong, BL (corresponding author), Minist Nat Resources, Inst Oceanog 1, Qingdao 266061, Peoples R China.</t>
  </si>
  <si>
    <t>GEF-FAO Project: Demonstration of Estuarine Biodiversity Conservation, Restoration and Protected Area Networking in China [GCP/CPR/045/GFF]; Chinese National Natural Science Foundation [41006102]</t>
  </si>
  <si>
    <t>GEF-FAO Project: Demonstration of Estuarine Biodiversity Conservation, Restoration and Protected Area Networking in China; Chinese National Natural Science Foundation(National Natural Science Foundation of China (NSFC))</t>
  </si>
  <si>
    <t>This work was financially supported by GEF-FAO Project: Demonstration of Estuarine Biodiversity Conservation, Restoration and Protected Area Networking in China (GCP/CPR/045/GFF), Chinese National Natural Science Foundation (Grant No: 41006102).</t>
  </si>
  <si>
    <t>1471-2164</t>
  </si>
  <si>
    <t>BMC Genomics</t>
  </si>
  <si>
    <t>10.1186/s12864-022-08942-6</t>
  </si>
  <si>
    <t>Biotechnology &amp; Applied Microbiology; Genetics &amp; Heredity</t>
  </si>
  <si>
    <t>5L2VI</t>
  </si>
  <si>
    <t>WOS:000870272500001</t>
  </si>
  <si>
    <t>Smallhorn-West, P; Cohen, PJ; Phillips, M; Jupiter, SD; Govan, H; Pressey, RL</t>
  </si>
  <si>
    <t>Smallhorn-West, Patrick; Cohen, Philippa J.; Phillips, Michael; Jupiter, Stacy D.; Govan, Hugh; Pressey, Robert L.</t>
  </si>
  <si>
    <t>Linking small-scale fisheries co-management to UN Sustainable Development Goals</t>
  </si>
  <si>
    <t>community-based marine management; marine protected area; coral reef conservation; Pacific; locally managed marine areas; periodically harvested closure</t>
  </si>
  <si>
    <t>MARINE PROTECTED AREAS; SOCIOECONOMIC-FACTORS; CONSERVATION; MANAGEMENT; FIJI; DISPLACEMENT; RESERVE; CULTURE; MPA</t>
  </si>
  <si>
    <t>Small-scale fisheries account for 90% of global fishers and 40% of the global catch. Effectively managing small-scale fisheries is, therefore, crucial to progressing the United Nations Sustainable Development Goals (SDGs). Co-management and community-based fisheries management are widely considered the most appropriate forms of governance for many small-scale fisheries. We outlined relationships between small-scale fisheries co-management and attainment of the SDGs, including evidence for impacts and gaps in dominant logic. We identified 11 targets across five SDGs to which small-scale fisheries co-management (including community-based fisheries management) can contribute; the theory of change by which these contributions could be achieved; and the strength of evidence for progress toward SDG targets related to various co-management strategies. Our theory of change links the 11 SDG targets by qualifying that progress toward some targets is contingent on others being achieved first. We then reviewed 58 case studies of co-management impacts from the Pacific Islands-a region rich in local marine governance-to evaluate evidence of where, to what degree, and with how much certainty different co-management strategies conferred positive impacts to each SDG target. These strategies included access restrictions, permanent area closures, periodic closures, and gear and species restrictions. Although many studies provide evidence linking multiple co-management strategies to improvements in resource status (SDG 14.4), there was limited evidence of follow-on effects, such as improvements in catch (SDG 2.3, 2.4), livelihoods (SDG 1.2), consumption (SDG 2.1), and nutrition (SDG 2.2). Our findings suggest that leaps of logic and assumptions are prevalent in co-management planning and evaluation. Hence, when evaluating co-management impacts against the SDGs, consideration of ultimate goals is required, otherwise, there is a risk of shortfalls between aspirations and impact.</t>
  </si>
  <si>
    <t>[Smallhorn-West, Patrick; Cohen, Philippa J.; Pressey, Robert L.] James Cook Univ, Australian Res Council Ctr Excellence Coral Reef, Townsville, Qld, Australia; [Smallhorn-West, Patrick; Cohen, Philippa J.; Phillips, Michael] WorldFish, Jalan Batu Maung, Bayan Lepas, Malaysia; [Smallhorn-West, Patrick] Wildlife Conservat Soc, New York, NY USA; [Cohen, Philippa J.] Univ Tasmania, Ctr Marine Socioecol, Inst Antarctic &amp; Marine Sci, Hobart, Tas, Australia; [Jupiter, Stacy D.] Melanesia Program, Wildlife Conservat Soc, Suva, Fiji; [Govan, Hugh] Univ South Pacific USP, Sch Law &amp; Social Sci SOLASS, Suva, Fiji; [Govan, Hugh] Locally Managed Marine Area Network, Suva, Fiji; [Pressey, Robert L.] Queensland Univ Technol, Fac Sci, Brisbane, Qld, Australia</t>
  </si>
  <si>
    <t>James Cook University; CGIAR; Worldfish; Wildlife Conservation Society; University of Tasmania; Queensland University of Technology (QUT)</t>
  </si>
  <si>
    <t>Smallhorn-West, P (corresponding author), James Cook Univ, Australian Res Council Ctr Excellence Coral Reef, Townsville, Qld, Australia.</t>
  </si>
  <si>
    <t>patrick.smallhornwest@jcu.edu.au</t>
  </si>
  <si>
    <t>Smallhorn-West, patrick/0000-0001-6782-3704</t>
  </si>
  <si>
    <t>Australian Research Council's Centre of Excellence for Coral Reef Studies</t>
  </si>
  <si>
    <t>Australian Research Council's Centre of Excellence for Coral Reef Studies(Australian Research Council)</t>
  </si>
  <si>
    <t>This work was supported by funding from the Australian Research Council's Centre of Excellence for Coral Reef Studies and was undertaken as part of the CGIAR Research Program on Fish Agri-Food Systems (FISH) led by WorldFish. The program is supported by contributors to the CGIAR Trust Fund.</t>
  </si>
  <si>
    <t>e13977</t>
  </si>
  <si>
    <t>10.1111/cobi.13977</t>
  </si>
  <si>
    <t>7B1YD</t>
  </si>
  <si>
    <t>WOS:000869688900001</t>
  </si>
  <si>
    <t>Herrmann, M; Schöne, M; Borger, C; Warnach, S; Wagner, T; Platt, U; Gutheil, E</t>
  </si>
  <si>
    <t>Herrmann, Maximilian; Schoene, Moritz; Borger, Christian; Warnach, Simon; Wagner, Thomas; Platt, Ulrich; Gutheil, Eva</t>
  </si>
  <si>
    <t>Ozone depletion events in the Arctic spring of 2019: a new modeling approach to bromine emissions</t>
  </si>
  <si>
    <t>ABSORPTION CROSS-SECTIONS; ANTARCTIC SEA-ICE; TROPOSPHERIC BRO; HETEROGENEOUS REACTIONS; ATMOSPHERIC CHEMISTRY; HALOGEN ACTIVATION; MOLECULAR BROMINE; EXPLOSION EVENT; POLAR SUNRISE; SALT AEROSOL</t>
  </si>
  <si>
    <t>Ozone depletion events (ODEs) are a common occurrence in the boundary layer during Arctic spring. Ozone is depleted by bromine species, which are most likely emitted from snow, sea ice, or aerosols in an autocatalytic reaction cycle. Previous three-dimensional modeling studies of ODEs assumed an infinite bromine source at the ground. In the present study, an alternative emission scheme is presented in which a finite amount of bromide in the snow is tracked over time. For this purpose, a modified version of the Weather Research and Forecasting model coupled with Chemistry (WRF-Chem) is used to study ODEs in the Arctic from February to May 2019. The model data are compared to in situ measurements, ozone sonde flights, and satellite data. A simulation of the ODEs in the Arctic spring of 2009 using the infinite-bromide assumption on first-year (FY) ice is transferred to the spring of 2019, which achieves good agreement with the observations; however, there is some disagreement in April 2009 and 2019 with respect to an overestimation concerning both the magnitude and the number of ODEs. New simulations using the finite-bromide assumption greatly improve agreement with in situ observations at Utqiagvik, Alaska, Zeppelin Mountain, Svalbard, and Pallas, Finland, in April 2019, suggesting that bromide on the sea ice is depleted to an extent that reduces the bromine release. The new simulations also slightly improve the agreement with observations at these sites in February and March. A comparison to measurements near Eureka, Canada, and Station Nord, Greenland, shows that multi-year ice and possibly snow-covered land may be significant bromine sources. However, assuming higher releasable bromide near Eureka does not remove all disagreement with the observations. The numerical results are also compared to tropospheric-BrO vertical column densities generated with a new retrieval method from TROPOspheric Monitoring Instrument (TROPOMI) observations. BrO vertical column densities (VCDs) above 5x10(13) molec. cm(-2) observed by the satellite agree well with the model results. However, the model also predicts BrO VCDs of around 3x10(13) molec. cm(-2) throughout the Arctic and patches of BrO VCDs of around 10(14) molec. cm(-2) not observed by the satellite, especially near Hudson Bay. This suggests that snow at Hudson Bay may be a weaker bromine source in late spring compared to snow in the north.</t>
  </si>
  <si>
    <t>[Herrmann, Maximilian; Gutheil, Eva] Heidelberg Univ, Interdisciplinary Ctr Sci Comp, Neuenheimer Feld 205, D-69120 Heidelberg, Germany; [Schoene, Moritz; Borger, Christian; Warnach, Simon; Wagner, Thomas] Max Planck Inst Chem, Hahn Meitner Weg 1, D-55128 Mainz, Germany; [Schoene, Moritz; Warnach, Simon; Wagner, Thomas; Platt, Ulrich] Heidelberg Univ, Inst Environm Phys, Neuenheimer Feld 229, D-69120 Heidelberg, Germany; [Platt, Ulrich; Gutheil, Eva] Heidelberg Univ, Heidelberg Ctr Environm, Neuenheimer Feld 130-1, D-69120 Heidelberg, Germany</t>
  </si>
  <si>
    <t>Ruprecht Karls University Heidelberg; Max Planck Society; Ruprecht Karls University Heidelberg; Ruprecht Karls University Heidelberg</t>
  </si>
  <si>
    <t>Gutheil, E (corresponding author), Heidelberg Univ, Interdisciplinary Ctr Sci Comp, Neuenheimer Feld 205, D-69120 Heidelberg, Germany.;Gutheil, E (corresponding author), Heidelberg Univ, Heidelberg Ctr Environm, Neuenheimer Feld 130-1, D-69120 Heidelberg, Germany.</t>
  </si>
  <si>
    <t>gutheil@iwr.uni-heidelberg.de</t>
  </si>
  <si>
    <t>Platt, Ulrich/HZM-2289-2023</t>
  </si>
  <si>
    <t>Borger, Christian/0000-0002-1128-3718</t>
  </si>
  <si>
    <t>Deutsche Forschungsgemeinschaft [85276297]</t>
  </si>
  <si>
    <t>Deutsche Forschungsgemeinschaft(German Research Foundation (DFG))</t>
  </si>
  <si>
    <t>This research has been supported by the Deutsche Forschungsgemeinschaft (grant no. 85276297).</t>
  </si>
  <si>
    <t>10.5194/acp-22-13495-2022</t>
  </si>
  <si>
    <t>5K4MV</t>
  </si>
  <si>
    <t>WOS:000869702500001</t>
  </si>
  <si>
    <t>Lee, S; Song, HJ; Kwon, IH; Kang, JH</t>
  </si>
  <si>
    <t>Lee, Sihye; Song, Hyo-Jong; Kwon, In-Hyuk; Kang, Jeon-Ho</t>
  </si>
  <si>
    <t>Impacts of Aeolus horizontal Line-Of-Sight (HLOS) wind assimilation on the Korean integrated model (KIM) forecast system</t>
  </si>
  <si>
    <t>ATMOSPHERIC SCIENCE LETTERS</t>
  </si>
  <si>
    <t>Aeolus; data assimilation; HLOS wind; KIM</t>
  </si>
  <si>
    <t>REAL DATA; VALIDATION; ATLANTIC; BALANCE; LIDAR</t>
  </si>
  <si>
    <t>The Korean Integrated Model (KIM) forecast system, based on a hybrid four-dimensional ensemble-variational method, was extended to assimilate Horizontal Line-Of-Sight (HLOS) wind observations from the Atmospheric Laser Doppler Instrument (ALADIN) on board the Atmospheric Dynamic Mission Aeolus satellite. In a global cycling experiment, assimilation of Aeolus HLOS wind observations led to reductions in the average root-mean-square error of 0.8 and 0.5% for the zonal and meridional wind analyses when compared against European Center for Medium-Range Weather Forecasts (ECMWF) Integrated Forecast System (IFS) analyses. Even though the observed variable is wind, there was also an overall beneficial impact on analyses of the mass variables. In the Southern Hemisphere (SH), the reduced analysis errors led to forecast skill improvements out to 72 h. In contrast, in the Northern Hemisphere (NH) there was relatively little reduction of analysis errors, but wind forecasts were nevertheless improved, and these positive impacts lasted longer - out to 120 h rather than 72 h. Experiments suggest that the relatively poor long-range performance in the SH high latitudes was due to problems with the mass increments derived from Aeolus wind increments via the ensemble-based part of the hybrid background error covariance (B), which eventually led to adverse effects on the wind variables as forecasts progressed in the SH. This study shows that it is necessary to estimate the ensemble B in the Antarctic region with its high elevation more accurately in order to effectively use the Aeolus observation information.</t>
  </si>
  <si>
    <t>[Lee, Sihye; Kwon, In-Hyuk; Kang, Jeon-Ho] Korea Inst Atmospher Predict Syst, Data Assimilat Grp, Seoul, South Korea; [Song, Hyo-Jong] Myongji Univ, Dept Environm Engn &amp; Energy, 116 Cheoin Gu, Yongin 17058, Gyeonggi Do, South Korea</t>
  </si>
  <si>
    <t>Myongji University</t>
  </si>
  <si>
    <t>Song, HJ (corresponding author), Myongji Univ, Dept Environm Engn &amp; Energy, 116 Cheoin Gu, Yongin 17058, Gyeonggi Do, South Korea.</t>
  </si>
  <si>
    <t>hjsong@mju.ac.kr</t>
  </si>
  <si>
    <t>Korea Meteorological Administration; Korea Ministry of Environment [KEITI/2022003560006]</t>
  </si>
  <si>
    <t>Korea Meteorological Administration(Korea Meteorological Administration (KMA)); Korea Ministry of Environment(Ministry of Environment (ME), Republic of Korea)</t>
  </si>
  <si>
    <t>Korea Meteorological Administration, Grant/Award Number: development of global numerical weather prediction; Korea Ministry of Environment, Grant/Award Number: KEITI/2022003560006</t>
  </si>
  <si>
    <t>1530-261X</t>
  </si>
  <si>
    <t>ATMOS SCI LETT</t>
  </si>
  <si>
    <t>Atmos. Sci. Lett.</t>
  </si>
  <si>
    <t>10.1002/asl.1138</t>
  </si>
  <si>
    <t>9M9FU</t>
  </si>
  <si>
    <t>WOS:000869917700001</t>
  </si>
  <si>
    <t>Pilowsky, JA; Haythorne, S; Brown, SC; Krapp, M; Armstrong, E; Brook, BW; Rahbek, C; Fordham, DA</t>
  </si>
  <si>
    <t>Pilowsky, July A.; Haythorne, Sean; Brown, Stuart C.; Krapp, Mario; Armstrong, Edward; Brook, Barry W.; Rahbek, Carsten; Fordham, Damien A.</t>
  </si>
  <si>
    <t>Range and extinction dynamics of the steppe bison in Siberia: A pattern-oriented modelling approach</t>
  </si>
  <si>
    <t>climate change; distribution; extinction dynamics; mechanistic model; metapopulation; palaeoclimate; range shift; spatially explicit population model; steppe bison; synergistic threats</t>
  </si>
  <si>
    <t>CLIMATE; POPULATION; COMPLEX; COLONIZATION; CONSERVATION; TEMPERATURE; CALIBRATION; RESPONSES; PRISCUS; SYSTEMS</t>
  </si>
  <si>
    <t>Aim To determine the ecological processes and drivers of range collapse, population decline and eventual extinction of the steppe bison in Eurasia. Location Siberia. Time period Pleistocene and Holocene. Major taxa studied Steppe bison (Bison priscus). Methods We configured 110,000 spatially explicit population models (SEPMs) of climate-human-steppe bison interactions in Siberia, which we ran at generational time steps from 50,000 years before present. We used pattern-oriented modelling (POM) and fossil-based inferences of distribution and demographic change of steppe bison to identify which SEPMs adequately simulated important interactions between ecological processes and biological threats. These best models were then used to disentangle the mechanisms that were integral in the population decline and later extinction of the steppe bison in its last stronghold in Eurasia. Results Our continuous reconstructions of the range and extinction dynamics of steppe bison were able to reconcile inferences of spatio-temporal occurrence and the timing and location of extinction in Siberia based on hundreds of radiocarbon-dated steppe bison fossils. We showed that simulating the ecological pathway to extinction for steppe bison in Siberia in the early Holocene required very specific ecological niche constraints, demographic processes and a constrained synergy of climate and human hunting dynamics during the Pleistocene-Holocene transition. Main conclusions Ecological processes and drivers that caused ancient population declines of species can be reconstructed at high spatio-temporal resolutions using SEPMs and POM. Using this approach, we found that climatic change and hunting by humans are likely to have interacted with key ecological processes to cause the extinction of the steppe bison in its last refuge in Eurasia.</t>
  </si>
  <si>
    <t>[Pilowsky, July A.; Haythorne, Sean; Brown, Stuart C.; Fordham, Damien A.] Univ Adelaide, Environm Inst, Adelaide, SA 5005, Australia; [Pilowsky, July A.; Haythorne, Sean; Brown, Stuart C.; Fordham, Damien A.] Univ Adelaide, Sch Biol Sci, Adelaide, SA 5005, Australia; [Pilowsky, July A.; Rahbek, Carsten; Fordham, Damien A.] Univ Copenhagen, Globe Inst, Ctr Macroecol Evolut &amp; Climate, Copenhagen O, Denmark; [Haythorne, Sean] Univ Melbourne, Sch BioSci, Melbourne, Vic, Australia; [Brown, Stuart C.] Univ Copenhagen, Globe Inst, Sect Evolutionary Genom, Copenhagen K, Denmark; [Krapp, Mario] Victoria Univ Wellington, Antarctic Res Ctr, Wellington, New Zealand; [Krapp, Mario] GNS Sci, Lower Hutt, New Zealand; [Armstrong, Edward] Univ Helsinki, Dept Geosci &amp; Geog, Helsinki, Finland; [Brook, Barry W.] Univ Tasmania, Sch Biol Sci, Hobart, Tas, Australia; [Brook, Barry W.] Univ Tasmania, Australian Res Council Ctr Excellence Australian, Hobart, Tas, Australia; [Rahbek, Carsten] Univ Southern Denmark, Danish Inst Adv Study, Odense, Denmark; [Rahbek, Carsten] Peking Univ, Inst Ecol, Beijing, Peoples R China; [Rahbek, Carsten; Fordham, Damien A.] Univ Copenhagen, Globe Inst, Ctr Mt Biodivers, Copenhagen O, Denmark</t>
  </si>
  <si>
    <t>University of Adelaide; University of Adelaide; University of Copenhagen; Melbourne Genomics Health Alliance; University of Melbourne; University of Copenhagen; Victoria University Wellington; GNS Science - New Zealand; University of Helsinki; University of Tasmania; University of Tasmania; University of Southern Denmark; Peking University; University of Copenhagen</t>
  </si>
  <si>
    <t>Pilowsky, JA; Fordham, DA (corresponding author), Univ Adelaide, Environm Inst, Adelaide, SA 5005, Australia.;Pilowsky, JA; Fordham, DA (corresponding author), Univ Adelaide, Sch Biol Sci, Adelaide, SA 5005, Australia.</t>
  </si>
  <si>
    <t>julia.pilowsky@adelaide.edu.au; damien.fordham@adelaide.edu.au</t>
  </si>
  <si>
    <t>Rahbek, Carsten/GVQ-0752-2022; Pilowsky, July A./IWU-9781-2023; Krapp, Mario/AAB-9229-2020; Fordham, Damien/E-9255-2013; Brook, Barry/G-2686-2011</t>
  </si>
  <si>
    <t>Rahbek, Carsten/0000-0003-4585-0300; Krapp, Mario/0000-0002-2599-0683; Armstrong, Edward/0000-0001-9561-0159; Brown, Stuart/0000-0002-0669-1418; Pilowsky, July/0000-0002-6376-2585; Fordham, Damien/0000-0003-2137-5592; Brook, Barry/0000-0002-2491-1517</t>
  </si>
  <si>
    <t>Australian Research Council [DP180102392, FT140101192]; Danish Research Foundation [DNRF96]</t>
  </si>
  <si>
    <t>Australian Research Council(Australian Research Council); Danish Research Foundation</t>
  </si>
  <si>
    <t>Australian Research Council, grant/award numbers DP180102392 and FT140101192; Danish Research Foundation, grant/award number DNRF96.</t>
  </si>
  <si>
    <t>10.1111/geb.13601</t>
  </si>
  <si>
    <t>6I5KO</t>
  </si>
  <si>
    <t>WOS:000869696600001</t>
  </si>
  <si>
    <t>Escobar-Flores, PC; Décima, M; O'Driscoll, RL; Ladroit, Y; Roberts, J</t>
  </si>
  <si>
    <t>Escobar-Flores, Pablo C.; Decima, Moira; O'Driscoll, Richard L.; Ladroit, Yoann; Roberts, Jim</t>
  </si>
  <si>
    <t>Multiple sampling methods to develop indices of mid-trophic levels abundance in open ocean ecosystems</t>
  </si>
  <si>
    <t>LIMNOLOGY AND OCEANOGRAPHY-METHODS</t>
  </si>
  <si>
    <t>DEEP-SCATTERING LAYER; ACOUSTIC SCATTERING; GELATINOUS ZOOPLANKTON; BIOLOGICAL PATCHINESS; MESOPELAGIC FISHES; CLASSIFICATION; IDENTIFICATION; MICRONEKTON; SOUND; SIZE</t>
  </si>
  <si>
    <t>Mid-trophic level (MTL) organisms play a key role in the sub-Antarctic ecosystem food web, linking primary producers and tertiary consumers transferring energy across trophic levels. In this region, the relative abundance of MTLs has been monitored using single-frequency acoustic data collected opportunistically in a time series of trawl surveys carried out in the austral late spring/early summer. To advance this approach, we developed a methodology that enabled us to disaggregate multifrequency acoustic data into three different MTL groups to assess their temporal and spatial patterns: mesopelagic fish, gelatinous zooplankton (excluding pyrosomes), and euphausiids. We used acoustic data and biological sampling information collected with two midwater trawl nets from a dedicated voyage, to train a classification tree algorithm. We complemented these data with footage from an in-trawl camera system that gave us new insights on vertical distribution and presence of pelagic taxa. The testing dataset used to implement our classification algorithm was a time series of acoustic data from the sub-Antarctic trawl survey. This approach was successful at disaggregating acoustic data and provided useful information to study the relative abundance and temporal and spatial patterns of pelagic taxa. Our analysis revealed the presence of dense shallow layers of gelatinous zooplankton which showed a statistically significant increasing trend over the time series. Although we were unable to detect pyrosomes acoustically, we encountered large biovolumes of these organisms during our biological sampling, which was supported by the in-trawl camera system.</t>
  </si>
  <si>
    <t>[Escobar-Flores, Pablo C.; Decima, Moira; O'Driscoll, Richard L.; Ladroit, Yoann; Roberts, Jim] Natl Inst Water &amp; Atmospher Res NIWA, Wellington, New Zealand; [Decima, Moira] Scripps Inst Oceanog, La Jolla, CA USA; [Roberts, Jim] Anemone, Wellington, New Zealand</t>
  </si>
  <si>
    <t>National Institute of Water &amp; Atmospheric Research (NIWA) - New Zealand; University of California System; University of California San Diego; Scripps Institution of Oceanography</t>
  </si>
  <si>
    <t>Escobar-Flores, PC (corresponding author), Natl Inst Water &amp; Atmospher Res NIWA, Wellington, New Zealand.</t>
  </si>
  <si>
    <t>pablo.escobar@niwa.co.nz</t>
  </si>
  <si>
    <t>Ministry for Primary Industries of New Zealand [ZBD2018-05]; Strategic Science Investment Fund (SSIF) Coasts and Oceans Program 4 Structure and Function of Marine Ecosystems of the Ministry of Business Innovation and Employment (MBIE) of New Zealand [COES2001/FOODWEB]</t>
  </si>
  <si>
    <t>Ministry for Primary Industries of New Zealand; Strategic Science Investment Fund (SSIF) Coasts and Oceans Program 4 Structure and Function of Marine Ecosystems of the Ministry of Business Innovation and Employment (MBIE) of New Zealand</t>
  </si>
  <si>
    <t>The authors thank Stephane Gauthier (DFO, Canada) for the loan of the in-trawl camera system used on this research. Likewise, thanks to the Blake Trust Ambassadors Hiromi Beran (TAN1908) and the Timaru born and raised Tim Currie (TAN2201) for processing the footage from the in-trawl Camera system. Funding for this research was provided by the project Ecosystem function and regime shifts in the Sub-Antarctic (ZBD2018-05) from the Ministry for Primary Industries of New Zealand, and the Strategic Science Investment Fund (SSIF) Coasts and Oceans Program 4 Structure and Function of Marine Ecosystems of the Ministry of Business Innovation and Employment (MBIE) of New Zealand (project COES2001/FOODWEB). Open access publishing facilitated by National Institute of Water and Atmospheric Research, as part of the Wiley - National Institute of Water and Atmospheric Research agreement via the Council of Australian University Librarians.</t>
  </si>
  <si>
    <t>1541-5856</t>
  </si>
  <si>
    <t>LIMNOL OCEANOGR-METH</t>
  </si>
  <si>
    <t>Limnol. Oceanogr. Meth.</t>
  </si>
  <si>
    <t>10.1002/lom3.10522</t>
  </si>
  <si>
    <t>7B3CG</t>
  </si>
  <si>
    <t>WOS:000869719200001</t>
  </si>
  <si>
    <t>Bond, T; Jamieson, A</t>
  </si>
  <si>
    <t>Bond, Todd; Jamieson, Alan</t>
  </si>
  <si>
    <t>The extent and protection of Australia's deep sea</t>
  </si>
  <si>
    <t>abyssal plain; Australian Marine Parks; Australian waters; bathymetry; deep sea; deep-sea mining; exclusive economic zone; hadal; manganese nodules</t>
  </si>
  <si>
    <t>DIVERSITY; EROSION; BIGHT</t>
  </si>
  <si>
    <t>Context. Australia has the third largest exclusive economic zone in the world, but little is known about its deepest parts because, historically, research has focussed on coast regions or in the top 1000 m. Aim. We aim to identify the extent of Australia's deep sea, the deepest locations in Australian waters, and investigate how much of Australia's deep sea is located within marine parks. Methods. We use altimetry-derived water depth to calculate the total area in 1000-m bins. Key results. The total area of Australian waters, excluding Antarctic waters, is 8 914 134 km(2), of which, 70.4% is deep sea greater than 1000 m and 48% is deeper than the 3000-m abyssal boundary. In total, 56% of Australian Marine Parks are deeper than 3000 m and 20 of 61 marine reserves include water deeper than 5000 m. Conclusions. The Convention on Biological Diversity calls for marine protected areas globally to increase from 7.7 to 30% by 2030: Australia has already placed over 40% of its waters under protection. Despite this, there are no long-term programs monitoring the deep sea and Australia has not produced a globally significant amount of deep-sea science. Implications. Herein lies opportunities for Australia to understand fully its largest habitat and become the global exemplar of deep-sea science and conservation.</t>
  </si>
  <si>
    <t>[Bond, Todd; Jamieson, Alan] Univ Western Australia, Minderoo UWA Deep Sea Res Ctr, Sch Biol Sci, 35 Stirling Highway, Crawley, WA 6009, Australia; [Bond, Todd; Jamieson, Alan] Univ Western Australia, UWA Oceans Inst, 35 Stirling Highway, Crawley, WA 6009, Australia</t>
  </si>
  <si>
    <t>University of Western Australia; University of Western Australia</t>
  </si>
  <si>
    <t>Bond, T (corresponding author), Univ Western Australia, Minderoo UWA Deep Sea Res Ctr, Sch Biol Sci, 35 Stirling Highway, Crawley, WA 6009, Australia.</t>
  </si>
  <si>
    <t>todd.bond@uwa.edu.au</t>
  </si>
  <si>
    <t>Jamieson, Alan/0000-0001-9835-2909; Bond, Todd/0000-0001-6064-7015</t>
  </si>
  <si>
    <t>10.1071/MF22156</t>
  </si>
  <si>
    <t>6P3FY</t>
  </si>
  <si>
    <t>WOS:000869655100001</t>
  </si>
  <si>
    <t>Rees, WG; Tutubalina, OV; Medvedev, A; Marshall, GJ; Golubeva, EI; Telnova, N; Zimin, M; Mikhaylykova, P; Terskaia, A; Sklyar, E; Tomaney, JA</t>
  </si>
  <si>
    <t>Rees, W. G.; Tutubalina, O., V; Medvedev, A.; Marshall, G. J.; Golubeva, E., I; Telnova, N.; Zimin, M.; Mikhaylykova, P.; Terskaia, A.; Sklyar, E.; Tomaney, J. A.</t>
  </si>
  <si>
    <t>Three decades of remote sensing subarctic vegetation in northern Russia: A case study in science diplomacy</t>
  </si>
  <si>
    <t>Remote sensing; Russia; Forest; Tundra; Collaboration</t>
  </si>
  <si>
    <t>KOLA-PENINSULA; CLIMATE-CHANGE; IMPACT</t>
  </si>
  <si>
    <t>The vegetation at and beyond the northern edge of the world's boreal forest plays an important though imperfectly understood role in the climate system. This is particularly true within Russia, where only a small proportion of the boreal land area has been studied in depth, and little is known about its recent evolution over time. We describe a long-term collaboration between institutions in Russia and the United Kingdom, aimed at developing a better understanding of high-latitude vegetation in Russia using remote sensing methods. The focus of the collaboration has varied over time; in its most recent form, it is concerned with the dynamics of the Russian boreal forest during the 21st century and its relation to climate change. We discuss the support framework within which it has been developed and reflect on its relationship to science diplomacy. We consider the factors that have contributed to the success of a decades-long international collaboration and make recommendations as to how such joint efforts can be encouraged in future.</t>
  </si>
  <si>
    <t>[Rees, W. G.; Sklyar, E.; Tomaney, J. A.] Univ Cambridge, Scott Polar Res Inst, Cambridge, England; [Tutubalina, O., V; Golubeva, E., I; Zimin, M.; Mikhaylykova, P.; Terskaia, A.] Moscow MV Lomonosov State Univ, Geog Fac, Moscow, Russia; [Medvedev, A.; Telnova, N.] Russian Acad Sci, Geog Fac, Inst Geog, Moscow, Russia; [Marshall, G. J.] British Antarctic Survey, Cambridge, England</t>
  </si>
  <si>
    <t>University of Cambridge; Lomonosov Moscow State University; Institute of Geography, Russian Academy of Sciences; Russian Academy of Sciences; UK Research &amp; Innovation (UKRI); Natural Environment Research Council (NERC); NERC British Antarctic Survey</t>
  </si>
  <si>
    <t>Rees, WG (corresponding author), Univ Cambridge, Scott Polar Res Inst, Cambridge, England.</t>
  </si>
  <si>
    <t>wgr2@cam.ac.uk</t>
  </si>
  <si>
    <t>Terskaia, Anna/M-1323-2015; Golubeva, Elena Iljinichna/L-7520-2015; Medvedev, Andrey A/M-2676-2015; Tutubalina, Olga V/ABX-1958-2022; Zimin, Mikhail/H-2073-2015; Rees, William Gareth/AAM-9701-2020</t>
  </si>
  <si>
    <t>Tutubalina, Olga V/0000-0001-8049-1724; Zimin, Mikhail/0000-0003-4789-2192; Rees, William Gareth/0000-0001-6020-1232; Medvedev, Andrey/0000-0002-3701-0208; Marshall, Gareth/0000-0001-8887-7314; Sklyar, Ekaterina/0000-0002-4887-7624; Terskaia, Anna/0000-0002-1708-8382; Telnova, Natalia/0000-0002-7263-6409</t>
  </si>
  <si>
    <t>British Council; Ministry of Education and Science of the Russian Federation [14.616.21.0099, RFMEFI61618X0099]; UK Foreign, Commonwealth and Development Office under the Global Britain and International Funds; [352397111]</t>
  </si>
  <si>
    <t>British Council(The British Council in India); Ministry of Education and Science of the Russian Federation(Ministry of Education and Science, Russian Federation); UK Foreign, Commonwealth and Development Office under the Global Britain and International Funds;</t>
  </si>
  <si>
    <t>This work was supported by an Institutional Links grant no. 352397111. The grant was funded by the British Council and the Ministry of Education and Science of the Russian Federation (Grant Agreement No. 14.616.21.0099 dated 27 February 2018, project RFMEFI61618X0099). Further support has been provided through grants from the UK Foreign, Commonwealth and Development Office under the Global Britain and International Funds. The survey equipment and data processing of UAV optical imagery during the 2018-2021 project were performed under Russian Government Assignment No. AAA-A19-119022190168-8. All data from UAVs were stored and remain stored exclusively at the Institute of Geography of the Russian Academy of Sciences.</t>
  </si>
  <si>
    <t>e37</t>
  </si>
  <si>
    <t>10.1017/S0032247422000304</t>
  </si>
  <si>
    <t>5K4IG</t>
  </si>
  <si>
    <t>WOS:000869690600001</t>
  </si>
  <si>
    <t>Zhong, ZY; Lan, Y; Chen, C; Zhou, YD; Linse, K; Li, RS; Sun, J</t>
  </si>
  <si>
    <t>Zhong, Zhaoyan; Lan, Yi; Chen, Chong; Zhou, Yadong; Linse, Katrin; Li, Runsheng; Sun, Jin</t>
  </si>
  <si>
    <t>New mitogenomes in deep-water endemic Cocculinida and Neomphalida shed light on lineage-specific gene orders in major gastropod clades</t>
  </si>
  <si>
    <t>Gastropoda; deep sea; mitogenome; gene order; phylogenetic relationship</t>
  </si>
  <si>
    <t>MITOCHONDRIAL GENOME; SEEP CARBONATES; PHYLOGENY; SEQUENCE; MOLLUSKS; DNA</t>
  </si>
  <si>
    <t>Gastropoda is the most speciose class in Mollusca, the second largest animal phylum. The internal relationships of major gastropod groups remain largely unsettled, partly due to the insufficient data from key deep-water endemic lineages such as the subclass Neomphaliones. Neomphaliones currently includes two orders: Cocculinida, best known from sunken wood habitats, and Neomphalida, best known from hydrothermal vents and often referred to as the hot vent clade. Phylogenetic controversy has also been observed in this subclass across different studies, requesting additional investigations. Here, we assembled nine new mitogenomes from two Cocculinida and seven Neomphalida species and analyzed them with published gastropod mitogenomes, with a particular focus on Neomphaliones. The phylogenetic reconstruction of Gastropoda based on 13 mitochondrial protein-coding genes resulted in a topology largely congruent with previous reconstructions based on morphological characters. Furthermore, we recovered characteristic mitochondrial gene order arrangements of Cocculinida and Neomphalida compared to the hypothetical ancestral gastropod gene order, at a level similar to other subclass-level clades. Divergence time estimation showed that Cocculinida and Neomphalida diverged approximately 322.68 million years ago. In addition to characteristic gene order arrangements for the clade, Cocculinida mitogenomes also exhibit some minor rearrangements even among congeners. Within Neomphalida, our tree adds support to monophyletic Peltospiridae and Neomphalidae, with unique gene arrangement recovered for each family. Our results offer new insights into the rearrangement of mitogenomes in Gastropoda, providing another clue to the evolutionary history of gastropods.</t>
  </si>
  <si>
    <t>[Zhong, Zhaoyan; Sun, Jin] Ocean Univ China, Inst Evolut &amp; Marine Biodivers, Qingdao, Peoples R China; [Zhong, Zhaoyan; Sun, Jin] Qingdao Natl Lab Marine Sci &amp; Technol, Lab Marine Biol &amp; Biotechnol, Qingdao, Peoples R China; [Lan, Yi] Hong Kong Univ Sci &amp; Technol, Dept Ocean Sci, Hong Kong, Peoples R China; [Lan, Yi; Li, Runsheng] Southern Marine Sci &amp; Engn Guangdong Lab Guangzhou, Guangzhou, Peoples R China; [Chen, Chong] Japan Agcy Marine Earth Sci &amp; Technol JAMSTEC, X STAR, Yokosuka, Japan; [Zhou, Yadong] Minist Nat Resources, Inst Oceanog 2, Key Lab Marine Ecosyst Dynam, Hangzhou, Peoples R China; [Linse, Katrin] British Antarctic Survey, Cambridge, England; [Li, Runsheng] City Univ Hong Kong, Dept Infect Dis &amp; Publ Hlth, Hong Kong, Peoples R China</t>
  </si>
  <si>
    <t>Ocean University of China; Laoshan Laboratory; Hong Kong University of Science &amp; Technology; Southern Marine Science &amp; Engineering Guangdong Laboratory; Southern Marine Science &amp; Engineering Guangdong Laboratory (Guangzhou); Japan Agency for Marine-Earth Science &amp; Technology (JAMSTEC); Ministry of Natural Resources of the People's Republic of China; UK Research &amp; Innovation (UKRI); Natural Environment Research Council (NERC); NERC British Antarctic Survey; City University of Hong Kong</t>
  </si>
  <si>
    <t>Sun, J (corresponding author), Ocean Univ China, Inst Evolut &amp; Marine Biodivers, Qingdao, Peoples R China.;Sun, J (corresponding author), Qingdao Natl Lab Marine Sci &amp; Technol, Lab Marine Biol &amp; Biotechnol, Qingdao, Peoples R China.</t>
  </si>
  <si>
    <t>jin_sun@ouc.edu.cn</t>
  </si>
  <si>
    <t>Lan, Yi/HHM-7476-2022; LI, Runsheng/AFR-9519-2022; Chen, Chong/F-7489-2019</t>
  </si>
  <si>
    <t>LI, Runsheng/0000-0003-1563-1844; Chen, Chong/0000-0002-5035-4021</t>
  </si>
  <si>
    <t>National Natural Science Foundation of China [42176110]; Fundamental Research Funds for the Central Universities [202172002, 202241002]; Marine S&amp;T Fund of Shandong Province for Pilot National Laboratory for Marine Science and Technology (Qingdao) [2022QNLM050102-4]; Young Taishan Scholars Program of Shandong Province [tsqn202103036]; Hong Kong Branch of Southern Marine Science and Engineering Guangdong Laboratory (Guangzhou) [SMSEGL20SC02]; UK NERC Consortium [NE/DO1249X/1]</t>
  </si>
  <si>
    <t>National Natural Science Foundation of China(National Natural Science Foundation of China (NSFC)); Fundamental Research Funds for the Central Universities(Fundamental Research Funds for the Central Universities); Marine S&amp;T Fund of Shandong Province for Pilot National Laboratory for Marine Science and Technology (Qingdao); Young Taishan Scholars Program of Shandong Province; Hong Kong Branch of Southern Marine Science and Engineering Guangdong Laboratory (Guangzhou); UK NERC Consortium</t>
  </si>
  <si>
    <t>This study was financially supported by the National Natural Science Foundation of China (No. 42176110), the Fundamental Research Funds for the Central Universities (Nos. 202172002 and 202241002), the Marine S&amp;T Fund of Shandong Province for Pilot National Laboratory for Marine Science and Technology (Qingdao) (No. 2022QNLM050102-4), the Young Taishan Scholars Program of Shandong Province (No. tsqn202103036), and the Hong Kong Branch of Southern Marine Science and Engineering Guangdong Laboratory (Guangzhou) (No. SMSEGL20SC02). The ChEsSO consortium and its expedition JC42 were funded by the UK NERC Consortium Grant NE/DO1249X/1.</t>
  </si>
  <si>
    <t>OCT 18</t>
  </si>
  <si>
    <t>10.3389/fevo.2022.973485</t>
  </si>
  <si>
    <t>H5AM7</t>
  </si>
  <si>
    <t>WOS:000996088700001</t>
  </si>
  <si>
    <t>Jia, W; Zhang, PZ; Wang, XF; Cheng, H; He, SE; Shi, HY; Gao, T; Li, XH; Zhang, LL; Zhang, HW; Li, HY; Edwards, RL</t>
  </si>
  <si>
    <t>Jia, Wei; Zhang, Pingzhong; Wang, Xianfeng; Cheng, Hai; He, Shaoneng; Shi, Hongyu; Gao, Tao; Li, Xinhu; Zhang, Leilei; Zhang, Haiwei; Li, Hanying; Edwards, R. Lawrence</t>
  </si>
  <si>
    <t>Chinese Interstadials 14-17 recorded in a precisely U-Th dated stalagmite from the northern edge of the Asian summer monsoon during the MIS 4/ 3 boundary</t>
  </si>
  <si>
    <t>Western China; Speleothem; Chinese Interstadials; MIS 4/3 boundary; Ocean-atmospheric circulation</t>
  </si>
  <si>
    <t>MILLENNIAL-SCALE; CLIMATE VARIABILITY; WANXIANG CAVE; ISOTOPIC COMPOSITION; DELTA-O-18 RECORDS; LAST DEGLACIATION; SPELEOTHEM RECORD; ATMOSPHERIC CO2; GLACIAL MAXIMUM; INDIAN MONSOON</t>
  </si>
  <si>
    <t>The Marine Isotope Stage (MIS) 4/3 boundary, the so-called unfinished or failed termination, is a time period during which climate shifted from glacial to near-interglacial conditions that is akin to the Termination I. Paleoclimate records on this boundary can provide insights into the mechanisms of abrupt climate change under the circumstances when the global climate system has not reached a full threshold state. However, investigations on this specific climate period are sparse largely due to limited geological records with high temporal resolution. Here, we present a new highly resolved stalagmite record from Wanxiang Cave in western China that provides a detailed evolution of the Asian summer monsoon (ASM) from its northern fringe region. Established with 7 high -precision U-Th dates and 647 pairs of isotope data (delta O-18 and delta C-13), this record spans from 59.99 kyr B.P. to 52.94 kyr B.P., and contains the whole MIS 4/3 boundary. Its delta O-18 reveals three Chinese Interstadials (CISs) on millennial scales, i.e., CISs A.16-17 and 14. Sub-millennial events CIS A.17a and 16a correspond to the Greenland Interstadials 17 and 16 (GISs 16 and 17). The CIS A.17b is related to the 'precursor events' (PE 17), while the PEs 14 and 16 events are not evident in our delta O-18 record, probably due to the gradual change of the CIS A.14b and the lower amplitude of the CIS A.16b. Compared with other climate records, particularly those from the high latitudes, our delta O-18 record strengthens the notion of the close teleconnection between the ASM and high -latitude climates. Gradual change in delta O-18 from the CIS A.17b to 17a and the smaller amplitude of the CIS A.16b and 14b are likely coupled to the gradual Antarctic temperature variations, suggesting a dominant role of southern climate process to modulate ASM variability in western China via reorganization of atmospheric cir-culation. In addition, the westerly jet position relative to the Qinghai-Tibet Plateau may also have suppressed the abrupt O-18-depletion during these periods. At the onset of the MIS 4/3 boundary (at similar to 59.82 kyr B.P.), an in-crease in the Northern Hemisphere summer insolation resulted in rapid ocean-atmospheric reorganizations between the high and low latitudes. This process led to an abrupt increase in precipitation associated with strengthening of ASM circulation, which promoted soil microbial activity and the transition of vegetation type from C4 to C3 as indicated by the delta C-13 decreasing in the record. After that, centennial-scale variations in delta C-13 are mainly related to soil humidity change throughout the MIS 4/3 boundary. Our delta O-18 record further confirms that the MIS 4/3 deglaciation is dominated by a northern-residing forcing, but also involves climate change process from the south. On a regional scale, the tau 18O record from Wanxiang Cave may be largely influenced by the Indian summer monsoon, and thus inherits signatures from the south characterized by slightly more negative delta O-18 than other Chinese stalagmite records on millennial timescales.</t>
  </si>
  <si>
    <t>[Jia, Wei; Zhang, Pingzhong; Shi, Hongyu; Gao, Tao; Li, Xinhu; Zhang, Leilei] Lanzhou Univ, Sch Earth Sci, Key Lab Mineral Resources Western China Gansu Prov, Lanzhou 730000, Peoples R China; [Jia, Wei; Wang, Xianfeng; He, Shaoneng] Nanyang Technol Univ, Earth Observ Singapore, Singapore 639798, Singapore; [Jia, Wei; Wang, Xianfeng; He, Shaoneng] Nanyang Technol Univ, Asian Sch Environm, Singapore 639798, Singapore; [Cheng, Hai; Zhang, Haiwei; Li, Hanying] Xi An Jiao Tong Univ, Inst Global Environm Change, Xian 710049, Peoples R China; [Cheng, Hai; Edwards, R. Lawrence] Univ Minnesota, Dept Environm &amp; Earth Sci, Minneapolis, MN 55455 USA</t>
  </si>
  <si>
    <t>Lanzhou University; Nanyang Technological University; Nanyang Technological University; Xi'an Jiaotong University; University of Minnesota System; University of Minnesota Twin Cities</t>
  </si>
  <si>
    <t>Zhang, PZ (corresponding author), Lanzhou Univ, Sch Earth Sci, Key Lab Mineral Resources Western China Gansu Prov, Lanzhou 730000, Peoples R China.</t>
  </si>
  <si>
    <t>pzzhang@lzu.edu.cn</t>
  </si>
  <si>
    <t>Zhang, Leilei/ABG-1395-2021; He, Shaoneng/AAO-5507-2020</t>
  </si>
  <si>
    <t>He, Shaoneng/0000-0003-4948-2859</t>
  </si>
  <si>
    <t>National Natural Science Foundation of China [41873001, 41473009, 41273014]; Isotope Laboratory of Xi'an Jiaotong University, China; Department of Earth and Environmental Sciences, University of Minnesota, USA; Singapore Ministry of Education through an MOE Tier 2 grant [MOE2019-T2-1-174]</t>
  </si>
  <si>
    <t>National Natural Science Foundation of China(National Natural Science Foundation of China (NSFC)); Isotope Laboratory of Xi'an Jiaotong University, China; Department of Earth and Environmental Sciences, University of Minnesota, USA; Singapore Ministry of Education through an MOE Tier 2 grant</t>
  </si>
  <si>
    <t>We greatly appreciate the valuable and constructive comments of the editor-in-chief Dr. H.J. Falcon-Lang and the three anonymous reviewers. Thanks to Dr. Dianbing Liu for providing the Wulu Cave d18O data. This work was supported by grants of the National Natural Science Foundation of China (No. 41873001, 41473009, 41273014), Isotope Laboratory of Xi'an Jiaotong University, China and Department of Earth and Environmental Sciences, University of Minnesota, USA. Partial financial support was provided by Singapore Ministry of Education through an MOE Tier 2 grant to Dr. Xianfeng Wang (MOE2019-T2-1-174).</t>
  </si>
  <si>
    <t>10.1016/j.palaeo.2022.111265</t>
  </si>
  <si>
    <t>8C0IN</t>
  </si>
  <si>
    <t>WOS:000917301400001</t>
  </si>
  <si>
    <t>Guo, JT; Qiu, XH; Algeo, TJ; Li, TG; Xiong, ZF; Zhao, DB; Dang, HW; Qiao, PJ; Qin, BB; Jia, Q</t>
  </si>
  <si>
    <t>Guo, Jingteng; Qiu, Xiaohua; Algeo, Thomas J.; Li, Tiegang; Xiong, Zhifang; Zhao, Debo; Dang, Haowen; Qiao, Peijun; Qin, Bingbin; Jia, Qi</t>
  </si>
  <si>
    <t>Precession-driven changes in air-sea CO2 exchange by East Asian summer monsoon in the Western Tropical Pacific since MIS 6</t>
  </si>
  <si>
    <t>Planktic foraminifera; B/Ca; El Nino-Southern Oscillation; Productivity; Thermocline; Precession</t>
  </si>
  <si>
    <t>CARBONATE ION CONCENTRATIONS; BENTHIC FORAMINIFERAL B/CA; WATER TEMPERATURE-CHANGES; EQUATORIAL PACIFIC; EL-NINO; PLANKTONIC-FORAMINIFERA; SOUTHERN-OCEAN; INTERGLACIAL CHANGES; ISOTOPIC COMPOSITION; SURFACE TEMPERATURE</t>
  </si>
  <si>
    <t>Surface waters of the modern Western Tropical Pacific (WTP) are in equilibrium with atmospheric CO2. However, air-sea exchange of CO2 in this region may have been modulated in the past by oceanic-atmospheric fluctuations in the tropical Pacific such as the East Asian monsoon and the El Nino-Southern Oscillation (ENSO) and extratropical mode waters such as Antarctic Intermediate Water. Thus, understanding controls on the sea-surface carbonate system in the WTP is important for forecasting future carbon-cycle changes in this region. Here, we reconstruct sea-surface pH and pCO(2) since Marine Isotope Stage 6 (MIS 6; 155 ka) based on B/ Ca ratios of the planktic foraminifer Globigerinoides ruber (white) in sediment Core MD06-3052 from the western Philippine Sea, and we then calculate the difference between oceanic and atmospheric pCO(2) (Delta pCO(2()(sw-)(atm)())) in order to evaluate the history of air-sea CO2 exchange. Delta pCO(2()(sw-)(atm)()) changes were strongly modulated by the similar to 20-kyr precession cycle. The results of cross-spectral analysis demonstrate a close connection between the East Asian summer monsoon (EASM) and air-sea CO2 exchange since MIS 6, demonstrating that precession-driven EASM can affect air-sea CO2 exchange through regulation of surface productivity and thermocline depth. In contrast, the East Asian winter monsoon (EAWM) and ENSO-like conditions are not major influences on air-sea CO2 exchange in the study area at precession-band frequencies. In addition, enhanced upwelling of Southern Ocean-sourced deepwater rich in dissolved inorganic carbon (DIC) affected the upper water column during transitions from cold to warm stages (i.e., deglaciations). In conclusion, these findings suggest that orbital precession influences can affect oceanic conditions not only through climate change and biological processes but also through sea-surface carbonate chemistry.</t>
  </si>
  <si>
    <t>[Guo, Jingteng; Li, Tiegang; Xiong, Zhifang; Qin, Bingbin; Jia, Qi] Minist Nat Resources, Inst Oceanog 1, Key Lab Marine Geol &amp; Metallogeny, Qingdao 266061, Peoples R China; [Guo, Jingteng; Li, Tiegang; Xiong, Zhifang] Pilot Natl Lab Marine Sci &amp; Technol Qingdao, Lab Marine Geol, Qingdao 266237, Peoples R China; [Qiu, Xiaohua] Shandong Inst Geol Sci, Jinan 250013, Peoples R China; [Algeo, Thomas J.] Univ Cincinnati, Dept Geol, Cincinnati, OH 45221 USA; [Algeo, Thomas J.] China Univ Geosci, State Key Labs Biogeol &amp; Environm Geol, Geol Proc &amp; Mineral Resources, Wuhan 430074, Peoples R China; [Zhao, Debo] Chinese Acad Sci, Inst Oceanol, Key Lab Marine Geol &amp; Environm, Qingdao 266071, Peoples R China; [Dang, Haowen; Qiao, Peijun] Tongji Univ, State Key Lab Marine Geol, Shanghai 200092, Peoples R China</t>
  </si>
  <si>
    <t>First Institute of Oceanography, Ministry of Natural Resources; Ministry of Natural Resources of the People's Republic of China; Laoshan Laboratory; University System of Ohio; University of Cincinnati; China University of Geosciences; Chinese Academy of Sciences; Institute of Oceanology, CAS; Tongji University</t>
  </si>
  <si>
    <t>Li, TG (corresponding author), Minist Nat Resources, Inst Oceanog 1, Key Lab Marine Geol &amp; Metallogeny, Qingdao 266061, Peoples R China.</t>
  </si>
  <si>
    <t>tgli@fio.org.cn</t>
  </si>
  <si>
    <t>Xiong, Zhifang/HMP-3975-2023</t>
  </si>
  <si>
    <t>Xiong, Zhifang/0000-0001-9370-0089</t>
  </si>
  <si>
    <t>National Natural Science Foundation of China (NSFC) [41830539]; Marine S&amp;T Fund of Shandong Province for Pilot National Laboratory for Marine Science and Technology (Qingdao) [2022QNLM050203]; Evaluation and Effect of Paleoclimatic Evolution [GASI-04-QYQH-04]; NSFC [91858106, 42006075, 41976080]; Taishan Scholars Project Funding [ts20190963]; Basic Scientific Fund for National Public Research Institutes of China [2019S04, 2017Y07, GY0222Q06, 2019Q09]</t>
  </si>
  <si>
    <t>National Natural Science Foundation of China (NSFC)(National Natural Science Foundation of China (NSFC)); Marine S&amp;T Fund of Shandong Province for Pilot National Laboratory for Marine Science and Technology (Qingdao); Evaluation and Effect of Paleoclimatic Evolution; NSFC(National Natural Science Foundation of China (NSFC)); Taishan Scholars Project Funding; Basic Scientific Fund for National Public Research Institutes of China</t>
  </si>
  <si>
    <t>We are grateful to Xufeng Zheng and Xingxing Wang for their support on data calculation and error analysis. We thank editors Mary Elliot and Jie Huang and two anonymous reviewers for their constructive comments, which helped to improve our manuscript. This study was supported by the National Natural Science Foundation of China (NSFC, Grant no. 41830539) , the Marine S&amp;T Fund of Shandong Province for Pilot National Laboratory for Marine Science and Technology (Qingdao) (Grant no. 2022QNLM050203) , Evaluation and Effect of Paleoclimatic Evolution (Grant no. GASI-04-QYQH-04) , NSFC (Grant nos. 91858106, 42006075, and 41976080) , the Taishan Scholars Project Funding (Grant no. ts20190963) , and the Basic Scientific Fund for National Public Research Institutes of China (Grant nos. 2019S04, 2017Y07,GY0222Q06, and 2019Q09) .</t>
  </si>
  <si>
    <t>10.1016/j.palaeo.2022.111267</t>
  </si>
  <si>
    <t>6L3DB</t>
  </si>
  <si>
    <t>WOS:000888065800002</t>
  </si>
  <si>
    <t>Wei, YT; He, JN; Xue, YL; Nie, YG; Liu, XD; Wu, LJ</t>
  </si>
  <si>
    <t>Wei, Yutong; He, Jianuo; Xue, Yulu; Nie, Yaguang; Liu, Xiaodong; Wu, Lijun</t>
  </si>
  <si>
    <t>Spatial distribution of multi-elements in moss revealing heavy metal precipitation in London Island, Svalbard, Arctic</t>
  </si>
  <si>
    <t>Moss; Metal elements; Receptor models; Source apportionment; Arctic</t>
  </si>
  <si>
    <t>POLYCYCLIC AROMATIC-HYDROCARBONS; NY-ALESUND; ATMOSPHERIC DEPOSITION; TRACE-ELEMENTS; SOURCE APPORTIONMENT; RECEPTOR MODELS; POLLUTION; SPITSBERGEN; TRANSPORT; HISTORY</t>
  </si>
  <si>
    <t>The Arctic is a sink for major pollutants in the Northern Hemisphere, and is an ideal place to investigate the migration of concerned metals on the local environment. In this study, 13 elements including Li, Ti, V, Cr, Mn, Fe, Co, Cu, Zn, As, Cd, Hg, and Pb were determined in mosses (Dicranum angustum) from London Island in Ny-&amp; Aring;lesund. The results showed that the concentrations of different elements varied greatly at different altitudes, while their distributions in low (0-200 m) and high (200-300 m) altitudes based on cluster analysis were significantly different. Among them, Li, Ti, V, Cr, Mn, Fe, Co, Cu, and As showed significant positive correlations with elevation. This result may be due to the influence of key environmental factors such as elements transported by the airborne dust carried by winds, and surface runoff from snow meltwater. Multiple receptor models (PCA, PMF, and UNMIX) were employed to discuss the sources of metals in mosses from London Island. Elements that showed positive correlation with altitude were attributed to natural sources, and Zn, Cd, Hg, and Pb, which lacked apparent correlation with elevation, were interpreted as from anthropogenic sources by the models. Among them, Zn, Cd, and Hg were from long-range deposition, while Pb was from mixed industrial sources.</t>
  </si>
  <si>
    <t>[Wei, Yutong; He, Jianuo; Nie, Yaguang; Wu, Lijun] Anhui Univ, Inst Phys Sci, Informat Mat &amp; Intelligent Sensing Lab Anhui Prov, Hefei 230601, Peoples R China; [Wei, Yutong; He, Jianuo; Nie, Yaguang; Wu, Lijun] Anhui Univ, Inst Informat Technol, Informat Mat &amp; Intelligent Sensing Lab Anhui Prov, Hefei 230601, Peoples R China; [Xue, Yulu; Liu, Xiaodong] Univ Sci &amp; Technol China, Sch Earth &amp; Space Sci, Anhui Prov Key Lab Polar Environm &amp; Global Change, Hefei 230026, Peoples R China; [Xue, Yulu; Liu, Xiaodong] Univ Sci &amp; Technol China, Sch Earth &amp; Space Sci, CAS Key Lab Crust Mantle Mat &amp; Environm, Hefei 230026, Peoples R China</t>
  </si>
  <si>
    <t>Chinese Academy of Sciences; Hefei Institutes of Physical Science, CAS; Anhui University; Anhui University; Chinese Academy of Sciences; University of Science &amp; Technology of China, CAS; Chinese Academy of Sciences; University of Science &amp; Technology of China, CAS</t>
  </si>
  <si>
    <t>Nie, YG (corresponding author), Anhui Univ, Inst Phys Sci, Informat Mat &amp; Intelligent Sensing Lab Anhui Prov, Hefei 230601, Peoples R China.;Nie, YG (corresponding author), Anhui Univ, Inst Informat Technol, Informat Mat &amp; Intelligent Sensing Lab Anhui Prov, Hefei 230601, Peoples R China.</t>
  </si>
  <si>
    <t>nyg@ahu.edu.cn</t>
  </si>
  <si>
    <t>yutong, wei/0000-0002-7204-4841; Nie, Yaguang/0000-0002-9976-9260</t>
  </si>
  <si>
    <t>Chinese Arctic and Antarctic Administration of the State Oceanic Administration - National Key Research and Development Program of China; National Key Research and Development Program of China [2020YFA0608503, 2020YFC1808204]; Open Fund of State Key Laboratory of Loess and Quaternary Geology, Institute of Earth Environment, CAS [SKLLQG2006]; Anhui Provincial Key Research and Development Programs [202004i07020016]</t>
  </si>
  <si>
    <t>Chinese Arctic and Antarctic Administration of the State Oceanic Administration - National Key Research and Development Program of China; National Key Research and Development Program of China; Open Fund of State Key Laboratory of Loess and Quaternary Geology, Institute of Earth Environment, CAS; Anhui Provincial Key Research and Development Programs</t>
  </si>
  <si>
    <t>We thank the Chinese Arctic and Antarctic Administration of the State Oceanic Administration for project support. We also thank Linke Ge and Zhongqiang Ji for their valuable assistance in the field. Two anonymous reviewers are acknowledged for their valuable suggestions to the manuscript. This work was funded by the National Key Research and Development Program of China (2020YFA0608503, 2020YFC1808204) , Open Fund of State Key Laboratory of Loess and Quaternary Geology, Institute of Earth Environment, CAS (Grant No. SKLLQG2006) , and Anhui Provincial Key Research and Development Programs (202004i07020016) .</t>
  </si>
  <si>
    <t>10.1016/j.envpol.2022.120398</t>
  </si>
  <si>
    <t>6K4HG</t>
  </si>
  <si>
    <t>WOS:000887464800001</t>
  </si>
  <si>
    <t>Jo, E; Kim, JH; Ko, YW; Kim, S; Kang, SHY</t>
  </si>
  <si>
    <t>Jo, Euna; Kim, Jin-Hyoung; Ko, Young Wook; Kim, Sanghee; Kang, Seunghyun</t>
  </si>
  <si>
    <t>The complete mitochondrial genome of the Antarctic fairy shrimp Branchinecta gaini Daday, 1910 (Branchiopoda, Anostraca, Branchinectidae)</t>
  </si>
  <si>
    <t>Branchinecta gaini; mitochondrial genome; Antarctica; fairy shrimp; Anostraca</t>
  </si>
  <si>
    <t>COMPLETE MITOGENOME; CRUSTACEA; SEQUENCE</t>
  </si>
  <si>
    <t>The complete mitochondrial genome of Antarctic fairy shrimp Branchinecta gaini Daday, 1910 was sequenced, assembled and annotated using next-generation sequencing technology. The mitogenome of B. gaini is circular at 15,536 bp in length, consisting of 13 protein-coding genes, 23 tRNAs, two rRNAs and two major non-coding regions. In particular, there are two tRNA genes and one non-coding region between these two Gly tRNA genes. A phylogenetic tree was constructed using concatenated amino acid Gly sequences of 13 protein-coding genes. It reveals that B. gaini is clustered with the Anostraca group within the Branchiopoda clade. This study helps us understand the evolution of Anostraca.</t>
  </si>
  <si>
    <t>[Jo, Euna; Kim, Jin-Hyoung; Ko, Young Wook; Kim, Sanghee; Kang, Seunghyun] Korea Polar Res Inst, Div Life Sci, Incheon 21990, South Korea; [Jo, Euna] Korea Univ, Coll Life Sci &amp; Biotechnol, Seoul 02841, South Korea; [Kim, Jin-Hyoung] Univ Sci &amp; Technol, Dept Polar Sci, Incheon 21990, South Korea</t>
  </si>
  <si>
    <t>Korea Polar Research Institute (KOPRI); Korea University</t>
  </si>
  <si>
    <t>Kang, SHY (corresponding author), Korea Polar Res Inst, Div Life Sci, Incheon 21990, South Korea.</t>
  </si>
  <si>
    <t>s.kang@kopri.re.kr</t>
  </si>
  <si>
    <t>Jo, Euna/0000-0003-2666-6743; Ko, Young Wook/0000-0002-6808-7275</t>
  </si>
  <si>
    <t>Korea Polar Research Institute (KOPRI) - Ministry of Oceans and Fisheries; [KOPRI PE22160]</t>
  </si>
  <si>
    <t>Acknowledgements This work was supported by Korea Polar Research Institute (KOPRI) grant funded by the Ministry of Oceans and Fisheries (KOPRI PE22160) .</t>
  </si>
  <si>
    <t>e94051</t>
  </si>
  <si>
    <t>10.3897/BDJ.10.e94051</t>
  </si>
  <si>
    <t>6L6HW</t>
  </si>
  <si>
    <t>WOS:000888286300001</t>
  </si>
  <si>
    <t>Cheng, LJ; von Schuckmann, K; Abraham, JP; Trenberth, KE; Mann, ME; Zanna, L; England, MH; Zika, JD; Fasullo, JT; Yu, YQ; Pan, YY; Zhu, J; News, ER; Bronselaer, B; Lin, XP</t>
  </si>
  <si>
    <t>Cheng, Lijing; von Schuckmann, Karina; Abraham, John P.; Trenberth, Kevin E.; Mann, Michael E.; Zanna, Laure; England, Matthew H.; Zika, Jan D.; Fasullo, John T.; Yu, Yongqiang; Pan, Yuying; Zhu, Jiang; News, Emily R.; Bronselaer, Ben; Lin, Xiaopei</t>
  </si>
  <si>
    <t>Past and future ocean warming</t>
  </si>
  <si>
    <t>MERIDIONAL OVERTURNING CIRCULATION; SEA-LEVEL RISE; SOUTHERN-OCEAN; CLIMATE-CHANGE; GLOBAL OCEAN; HEAT-CONTENT; NORTH-ATLANTIC; INDONESIAN THROUGHFLOW; MEDITERRANEAN SEA; INTERANNUAL VARIABILITY</t>
  </si>
  <si>
    <t>Changes in ocean heat content (OHC) provide a measure of ocean warming, with impacts on the Earth system. This Review synthesizes estimates of past and future OHC changes using observations and models. The top 2,000 m of the global ocean has significantly warmed since the 1950s, gaining 351 +/- 59.8 ZJ (1 ZJ= 10(21) J) from 1958 to 2019. The rate of warming increased from &lt;5 to similar to 10 ZJ yr(-1) from the 1960s to the 2010s. Observed area-averaged warming is largest in the Atlantic Ocean and southern oceans at 1.42 +/- 0.09 and 1.40 +/- 0.09 x 10(9) J m(-2), respectively, for the upper 2,000 m over 1958-2019. These observed patterns of heat gains are dominated by heat redistribution. Observationally constrained projections suggest that historic ocean warming is irreversible this century, with net warming dependent on the emission scenario. By 2100, projected warming in the top 2,000 m is 2-6 times that observed so far, ranging from 1,030 [839-1,228] ZJ for a low-emission scenario to 1,874 [1,637-2,109]ZJ for a high-emission scenario. The Pacific is projected to be the largest heat reservoir owing to its size, but area-averaged warming remains strongest in the Atlantic and southern oceans. Ocean warming has extensive impacts that pose risks to marine ecosystems and society. The projected changes necessitate a continuation and improvement of observations and models, along with better uncertainty estimation.</t>
  </si>
  <si>
    <t>[Cheng, Lijing; Yu, Yongqiang; Pan, Yuying; Zhu, Jiang] Chinese Acad Sci, Inst Atmospher Phys, Beijing, Peoples R China; [Cheng, Lijing; Pan, Yuying; Zhu, Jiang] Chinese Acad Sci, Ctr Ocean Megasci, Qingdao, Peoples R China; [von Schuckmann, Karina] Mercator Ocean Int, Toulouse, France; [Abraham, John P.] Univ St Thomas, Sch Engn, Minneapolis, MN USA; [Trenberth, Kevin E.; Fasullo, John T.] Natl Ctr Atmospher Res, POB 3000, Boulder, CO 80307 USA; [Trenberth, Kevin E.] Univ Auckland, Dept Phys, Auckland, New Zealand; [Mann, Michael E.] Penn State Univ, Dept Meteorol &amp; Atmospher Sci, Earth &amp; Environm Syst Inst, University Pk, PA 16802 USA; [Zanna, Laure; News, Emily R.] NYU, Courant Inst, New York, NY USA; [England, Matthew H.] Univ New South Wales, Climate Change Res Ctr, Sydney, NSW, Australia; [England, Matthew H.; Zika, Jan D.] Univ New South Wales, Ctr Excellence Antarctic Sci, Australian Res Council ARC, Sydney, NSW, Australia; [Zika, Jan D.] Univ New South Wales, Sch Math &amp; Stat, Sydney, NSW, Australia; [Lin, Xiaopei] Ocean Univ China, Frontier Sci Ctr Deep Ocean Multispheres &amp; Earth, Qingdao, Peoples R China; [Lin, Xiaopei] Ocean Univ China, Phys Oceanog Lab, Qingdao, Peoples R China; [Lin, Xiaopei] Qingdao Natl Lab Marine Sci &amp; Technol, Qingdao, Peoples R China</t>
  </si>
  <si>
    <t>Chinese Academy of Sciences; Institute of Atmospheric Physics, CAS; Chinese Academy of Sciences; University of St Thomas Minnesota; National Center Atmospheric Research (NCAR) - USA; University of Auckland; Pennsylvania Commonwealth System of Higher Education (PCSHE); Pennsylvania State University; Pennsylvania State University - University Park; New York University; University of New South Wales Sydney; University of New South Wales Sydney; University of New South Wales Sydney; Ocean University of China; Ocean University of China; Laoshan Laboratory</t>
  </si>
  <si>
    <t>Cheng, LJ (corresponding author), Chinese Acad Sci, Inst Atmospher Phys, Beijing, Peoples R China.;Cheng, LJ (corresponding author), Chinese Acad Sci, Ctr Ocean Megasci, Qingdao, Peoples R China.</t>
  </si>
  <si>
    <t>England, Matthew/A-7539-2011; cheng, lijing/W-2261-2017; Fasullo, John/H-4552-2019; Pan, Yu/JQO-5094-2023; Mann, Michael E/B-8472-2017; Zanna, Laure/HPG-1772-2023; Yu, Yongqiang/C-9661-2011; Zanna, Laure/L-3169-2019; Trenberth, Kevin/A-5683-2012</t>
  </si>
  <si>
    <t>England, Matthew/0000-0001-9696-2930; cheng, lijing/0000-0002-9854-0392; Fasullo, John/0000-0003-1216-892X; Mann, Michael E/0000-0003-3067-296X; Zanna, Laure/0000-0002-8472-4828; Yu, Yongqiang/0000-0002-9345-2211; Zanna, Laure/0000-0002-8472-4828; Trenberth, Kevin/0000-0002-1445-1000; Zika, Jan/0000-0003-3462-3559; Abraham, John/0000-0002-3818-8681; von Schuckmann, Karina/0000-0002-9922-8528</t>
  </si>
  <si>
    <t>Strategic Priority Research Program of the Chinese Academy of Sciences [XDB42040402]; National Natural Science Foundation of China [91958201, 42130608, 42122046, 42076202]; Youth Innovation Promotion Association, CAS [2020-077]; US National Science Foundation (NSF); NSF OCE award [2048576]; NASA awards [80NSSC17K0565, 80NSSC22K0046]; Regional and Global Model Analysis (RGMA) component of the Earth and Environmental System Modeling Program of the US Department of Energy's Office of Biological &amp; Environmental Research (BER) [NSF IA 1947282]; Australian Research Council [SR200100008, LP200100406, DP190100494]; Directorate For Geosciences; Division Of Ocean Sciences [2048576] Funding Source: National Science Foundation; Australian Research Council [LP200100406, SR200100008] Funding Source: Australian Research Council</t>
  </si>
  <si>
    <t>Strategic Priority Research Program of the Chinese Academy of Sciences(Chinese Academy of Sciences); National Natural Science Foundation of China(National Natural Science Foundation of China (NSFC)); Youth Innovation Promotion Association, CAS; US National Science Foundation (NSF)(National Science Foundation (NSF)); NSF OCE award(National Science Foundation (NSF)); NASA awards; Regional and Global Model Analysis (RGMA) component of the Earth and Environmental System Modeling Program of the US Department of Energy's Office of Biological &amp; Environmental Research (BER); Australian Research Council(Australian Research Council); Directorate For Geosciences; Division Of Ocean Sciences(National Science Foundation (NSF)NSF - Directorate for Geosciences (GEO)); Australian Research Council(Australian Research Council)</t>
  </si>
  <si>
    <t>L.C. acknowledges financial support from the Strategic Priority Research Program of the Chinese Academy of Sciences (XDB42040402), National Natural Science Foundation of China (42122046, 42076202), Youth Innovation Promotion Association, CAS (2020-077). The National Center for Atmospheric Research is sponsored by the US National Science Foundation (NSF). L.Z. is supported by NSF OCE award 2048576. J.F. is supported by NASA awards 80NSSC17K0565 and 80NSSC22K0046, and by the Regional and Global Model Analysis (RGMA) component of the Earth and Environmental System Modeling Program of the US Department of Energy's Office of Biological &amp; Environmental Research (BER) via NSF IA 1947282. M.E. and J.Z. are supported by the Australian Research Council (SR200100008, LP200100406, DP190100494). Y.Y. is supported by National Natural Science Foundation of China (91958201, 42130608). We thank S. Simoncelli for discussion on the Mediterranean Sea, V. Gouretski and F. Reseghetti for discussion on observations. We acknowledge the World Climate Research Programme's Working Group on Coupled Modelling, which is responsible for CMIP, and we thank the climate modelling groups for producing and making available their model output through Earth System Grid Federation. We also acknowledge the International Argo Program and the national programmes that contribute to it. The Argo Program is part of the Global Ocean Observing System.</t>
  </si>
  <si>
    <t>10.1038/s43017-022-00345-1</t>
  </si>
  <si>
    <t>6G9PL</t>
  </si>
  <si>
    <t>WOS:000869605500001</t>
  </si>
  <si>
    <t>Cao, YZ; Jiang, Z; Alexander, B; Cole-Dai, J; Savarino, J; Erbland, J; Geng, L</t>
  </si>
  <si>
    <t>Cao, Yanzhi; Jiang, Zhuang; Alexander, Becky; Cole-Dai, Jihong; Savarino, Joel; Erbland, Joseph; Geng, Lei</t>
  </si>
  <si>
    <t>On the potential fingerprint of the Antarctic ozone hole in ice-core nitrate isotopes: a case study based on a South Pole ice core</t>
  </si>
  <si>
    <t>AIR-SNOW TRANSFER; DOME C; REACTIVE NITROGEN; STABLE-ISOTOPES; BOUNDARY-LAYER; PART 2; GREENLAND; CHEMISTRY; DEPLETION; SUMMIT</t>
  </si>
  <si>
    <t>Column ozone variability has important implications for surface photochemistry and the climate. Ice-core nitrate isotopes are suspected to be influenced by column ozone variability and delta N-15(NO3-) has been sought to serve as a proxy of column ozone variability. In this study, we examined the ability of ice-core nitrate isotopes to reflect column ozone variability by measuring delta N-15(NO3-) and Delta O-17(NO3-) in a shallow ice core drilled at the South Pole. The ice core covers the period 1944-2005, and during this period delta N-15(NO3-) showed large annual variability ((59.2 +/- 29.3)parts per thousand), but with no apparent response to the Antarctic ozone hole. Utilizing a snow photochemical model, we estimated 6.9 parts per thousand additional enrichments in delta N-15(NO3-) could be caused by the development of the ozone hole. Nevertheless, this enrichment is small and masked by the effects of the snow accumulation rate at the South Pole over the same period of the ozone hole. The Delta O-17(NO3-) record has displayed a decreasing trend by similar to 3.4 parts per thousand since 1976. This magnitude of change cannot be caused by enhanced post-depositional processing related to the ozone hole. Instead, the Delta O-17(NO3-) decrease was more likely due to the proposed decreases in the O-3 / HOx ratio in the extratropical Southern Hemisphere. Our results suggest ice-core delta N-15(NO3-) is more sensitive to snow accumulation rate than to column ozone, but at sites with a relatively constant snow accumulation rate, information of column ozone variability embedded in delta N-15(NO3-) should be retrievable.</t>
  </si>
  <si>
    <t>[Cao, Yanzhi; Jiang, Zhuang; Geng, Lei] Univ Sci &amp; Technol China, Sch Earth &amp; Space Sci, Deep Space Explorat Lab, Hefei, Anhui, Peoples R China; [Alexander, Becky] Univ Washington, Dept Atmospher Sci, Seattle, WA 98195 USA; [Cole-Dai, Jihong] South Dakota State Univ, Dept Chem &amp; Biochem, Brookings, SD USA; [Savarino, Joel; Erbland, Joseph] Univ Grenoble Alpes, CNRS, IRD, Inst Geosci Environm,G INP, Grenoble, France; [Geng, Lei] Univ Sci &amp; Technol China, CAS Ctr Excellence Comparat Planetol, Hefei, Anhui, Peoples R China; [Geng, Lei] Pilot Natl Lab Marine Sci &amp; Technol Qingdao, Lab Ocean Dynam &amp; Climate, Qingdao, Shandong, Peoples R China</t>
  </si>
  <si>
    <t>Chinese Academy of Sciences; University of Science &amp; Technology of China, CAS; University of Washington; University of Washington Seattle; South Dakota State University; Centre National de la Recherche Scientifique (CNRS); Institut de Recherche pour le Developpement (IRD); Communaute Universite Grenoble Alpes; Universite Grenoble Alpes (UGA); Chinese Academy of Sciences; University of Science &amp; Technology of China, CAS; Laoshan Laboratory</t>
  </si>
  <si>
    <t>Geng, L (corresponding author), Univ Sci &amp; Technol China, Sch Earth &amp; Space Sci, Deep Space Explorat Lab, Hefei, Anhui, Peoples R China.</t>
  </si>
  <si>
    <t>genglei@ustc.edu.cn</t>
  </si>
  <si>
    <t>geng, lei/KEZ-8801-2024; , Lei/M-3418-2018; Alexander, Becky/N-7048-2013; savarino, joel/H-9730-2012</t>
  </si>
  <si>
    <t>, Lei/0000-0003-2175-2538; Alexander, Becky/0000-0001-9915-4621; Jiang, Zhuang/0000-0001-5692-8308; Erbland, Joseph/0000-0002-1186-1370; savarino, joel/0000-0002-6708-9623</t>
  </si>
  <si>
    <t>National Natural Science Foundation of China [41822605, 41871051, 41727901]; Fundamental Research Funds for Central Universities; Strategic Priority Research Program of Chinese Academy of Sciences [XDB 41000000]; National Key RAMP;D Program of China [2019YFC1509100]; US NSF OPP [1446904, 1542723, 1443663, 1904142]; French National program LEFE (Les Enveloppes Fluides et l'Environnement); Agence Nationale de la Recherche (ANR) [ANR 16-CE01-0011-01 EAIIST]; Foundation BNP-Paribas; French Polar Institute (IPEV) [1177, 1169]; NSF [1951720, 1951603]; Directorate For Geosciences; Office of Polar Programs (OPP) [1951603, 1951720] Funding Source: National Science Foundation</t>
  </si>
  <si>
    <t>National Natural Science Foundation of China(National Natural Science Foundation of China (NSFC)); Fundamental Research Funds for Central Universities(Fundamental Research Funds for the Central Universities); Strategic Priority Research Program of Chinese Academy of Sciences(Chinese Academy of Sciences); National Key RAMP;D Program of China; US NSF OPP; French National program LEFE (Les Enveloppes Fluides et l'Environnement); Agence Nationale de la Recherche (ANR)(Agence Nationale de la Recherche (ANR)); Foundation BNP-Paribas; French Polar Institute (IPEV); NSF(National Science Foundation (NSF)); Directorate For Geosciences; Office of Polar Programs (OPP)(National Science Foundation (NSF)NSF - Directorate for Geosciences (GEO))</t>
  </si>
  <si>
    <t>Lei Geng acknowledges financial support from the National Natural Science Foundation of China (grant nos. 41822605, 41871051 and 41727901), the Fundamental Research Funds for Central Universities, the Strategic Priority Research Program of Chinese Academy of Sciences (grant no. XDB 41000000), and the National Key R&amp;D Program of China (grant no. 2019YFC1509100). Becky Alexander acknowledges funding from the US NSF OPP (grant nos. 1446904 and 1542723). Jihong Cole-Dai thanks the US NSF OPP for funding (grant nos. 1443663 and 1904142). Joel Savarino was supported by the French National program LEFE (Les Enveloppes Fluides et l'Environnement), the Agence Nationale de la Recherche (ANR) via contract ANR 16-CE01-0011-01 EAIIST, the Foundation BNP-Paribas through its Climate initiative program and by the French Polar Institute (IPEV) through programs CAPOXI 35-75 (grant no. 1177) and EAIIST (grant no. 1169). The authors appreciate the support of the University of Wisconsin-Madison and Madison College AMRDC for the data set, data display, and information (NSF grant nos. 1951720 (UW) and 1951603 (MATC)). The authors acknowledge Audra McClure-Begley, Irina Petropavlovskikh, Samuel Oltmans, and NOAA ESRL for providing surface ozone data sets.</t>
  </si>
  <si>
    <t>10.5194/acp-22-13407-2022</t>
  </si>
  <si>
    <t>5J6BI</t>
  </si>
  <si>
    <t>WOS:000869125300001</t>
  </si>
  <si>
    <t>Qin, BB; Li, TG; Xiong, ZF; Algeo, TJ; Jia, Q; Nürnberg, D; Shi, JN</t>
  </si>
  <si>
    <t>Qin, Bingbin; Li, Tiegang; Xiong, Zhifang; Algeo, Thomas J.; Jia, Qi; Nurnberg, Dirk; Shi, Jiangnan</t>
  </si>
  <si>
    <t>Influences of Atlantic Ocean thermohaline circulation and Antarctic ice-sheet expansion on Pliocene deep Pacific carbonate chemistry</t>
  </si>
  <si>
    <t>shell weight; A[CO2-3 ]; Panamanian Gateway; glaciation; atmosphericpCO2; Site U1490</t>
  </si>
  <si>
    <t>SEA-SURFACE TEMPERATURES; PLANKTONIC-FORAMINIFERA; TROPICAL PACIFIC; SOUTHERN-OCEAN; NORTH-ATLANTIC; WATER; MA; CALCIFICATION; EVOLUTION; NEODYMIUM</t>
  </si>
  <si>
    <t>Quantifying changes in seawater carbonate chemistry is crucial to deciphering of patterns and drivers of the oceanic carbon cycle and climate change. Here, we present a new deep-water carbonate ion saturation state (A[CO2- 3 ]) record for the Pliocene western tropical Pacific, reconstructed from the size -normalized weight of the planktonic foraminifer Trilobatus sacculifer of IODP Site U1490. A steep decline in deep-water A[CO2- 3 ] occurred at similar to 4.6 Ma synchronous to the enhanced production of North Atlantic Deep Water (NADW) related to the closure of the Panamanian Gateway. Subsequently, at the onset of the Northern Hemisphere glaciation at similar to 2.7 Ma the weakening of NADW formation resulted in a deep -water A[CO2- 3 ] peak. The changes in NADW production rate likely controlled a seesaw-like fluctuation in deep-water A[CO2- 3 ] between the Pacific and Atlantic oceans. During the late Pliocene (similar to 3.8-2.8 Ma), Antarctic ice-sheet/sea-ice expansions sequestered CO2 in the deep Pacific through ventilation of the deep watermass, leading to a long-term decrease in deep Pacific A[CO2-3]. We infer that fluctuating NADW production rates at similar to 4.6 Ma and similar to 2.7 Ma influenced inter-basinal fractionation of deep-ocean carbon between the Atlantic and Pacific, and that deep Pacific carbon storage linked to expansions of Antarctic ice sheet/sea ice contributed to the lowering of atmospheric pCO2 and global cooling during the late Pliocene.(c) 2022 Elsevier B.V. All rights reserved.</t>
  </si>
  <si>
    <t>[Qin, Bingbin; Li, Tiegang; Xiong, Zhifang; Jia, Qi] Minist Nat Resources, Inst Oceanog 1, Key Lab Marine Geol &amp; Metallogeny, Qingdao 266061, Peoples R China; [Li, Tiegang; Xiong, Zhifang] Pilot Natl Lab Marine Sci &amp; Technol, Lab Marine Geol, Qingdao 266237, Peoples R China; [Algeo, Thomas J.] Univ Cincinnati, Dept Geol, Cincinnati, OH 45221 USA; [Algeo, Thomas J.] China Univ Geosci, State Key Labs Biogeol &amp; Environm Geol &amp; Geol Pr, Wuhan 430074, Peoples R China; [Nurnberg, Dirk] GEOMAR Helmholtz Ctr Ocean Res Kiel, Wischhofstr 1-3, D-24148 Kiel, Germany; [Shi, Jiangnan] Chinese Acad Sci, Inst Oceanol, Key Lab Marine Geol &amp; Environm, Qingdao 266071, Peoples R China</t>
  </si>
  <si>
    <t>Ministry of Natural Resources of the People's Republic of China; First Institute of Oceanography, Ministry of Natural Resources; Laoshan Laboratory; University System of Ohio; University of Cincinnati; China University of Geosciences; Helmholtz Association; GEOMAR Helmholtz Center for Ocean Research Kiel; Chinese Academy of Sciences; Institute of Oceanology, CAS</t>
  </si>
  <si>
    <t>Xiong, Zhifang/0000-0001-9370-0089; Shi, Jiangnan/0000-0003-3290-9780; Algeo, Thomas/0000-0002-3333-7035; Qin, Bingbin/0000-0003-4000-8421</t>
  </si>
  <si>
    <t>National Natural Science Foundation of China (NSFC) [41830539]; Marine S&amp;T Fund of Shandong Province for Pilot National Laboratory for Marine Science and Technology (Qingdao) [2022QNLM050203]; Evaluation and Effect of Paleoclimatic Evolution [GASI-04-QYQH-04]; NSFC [91858106, 41806084, 41906063]; Taishan Scholars Project Funding [ts20190963]; Basic Scientific Fund for National Public Research Institutes of China [2019S04, 2017Y07, GY0222Q06]</t>
  </si>
  <si>
    <t>We are grateful to the crew and shipboard scientists of IODP Expedition 363, and the authors also thank Philip Sexton and an anonymous reviewer for their constructive comments on the manuscript. This study was supported by the National Natural Science Foundation of China (NSFC, Grant no. 41830539), the Marine S&amp;T Fund of Shandong Province for Pilot National Laboratory for Marine Science and Technology (Qingdao) (Grant no. 2022QNLM050203), Evaluation and Effect of Paleoclimatic Evolution (Grant no. GASI-04-QYQH-04), NSFC (Grant nos. 91858106, 41806084, and 41906063), the Taishan Scholars Project Funding (Grant no. ts20190963), and the Basic Scientific Fund for National Public Research Institutes of China (Grant nos. 2019S04, 2017Y07, and GY0222Q06).</t>
  </si>
  <si>
    <t>10.1016/j.epsl.2022.117868</t>
  </si>
  <si>
    <t>6A7LH</t>
  </si>
  <si>
    <t>WOS:000880832000008</t>
  </si>
  <si>
    <t>Lattuca, ME; Vanella, FA; Malanga, G; Rubel, MD; Manríquez, PH; Torres, R; Alter, K; Marras, S; Peck, MA; Domenici, P; Fernández, DA</t>
  </si>
  <si>
    <t>Lattuca, Maria E.; Vanella, Fabian A.; Malanga, Gabriela; Rubel, Maximiliano D.; Manriquez, Patricio H.; Torres, Rodrigo; Alter, Katharina; Marras, Stefano; Peck, Myron A.; Domenici, Paolo; Fernandez, Daniel A.</t>
  </si>
  <si>
    <t>Ocean acidification and seasonal temperature extremes combine to impair the thermal physiology of a sub-Antarctic fish</t>
  </si>
  <si>
    <t>Eleginops maclovinus; Thermal tolerance; Aerobic scope; Oxidative metabolism; Multiple stressors; Climate change biology</t>
  </si>
  <si>
    <t>HIGH CO2 WORLD; CLIMATE-CHANGE; OXIDATIVE STRESS; BEAGLE CHANNEL; ELEVATED-TEMPERATURE; SUPEROXIDE ANION; METABOLIC-RATES; CARBON-DIOXIDE; MARINE; TOLERANCE</t>
  </si>
  <si>
    <t>To predict the potential impacts of climate change on marine organisms, it is critical to understand how multiple stressors constrain the physiology and distribution of species. We evaluated the effects of seasonal changes in seawater temperature and near-future ocean acidification (OA) on organismal and sub-organismal traits associated with the thermal performance of Eleginops maclovinus, a sub-Antarctic notothenioid species with economic importance to sport and artisanal fisheries in southern South America. Juveniles were exposed to mean winter and summer sea sur-face temperatures (4 and 10 degrees C) at present-day and near-future pCO(2) levels (similar to 500 and 1800 mu atm). After a month, the Critical Thermal maximum and minimum (CTmax, CTmin) of fish were measured using the Critical Thermal Method-ology and the aerobic scope of fish was measured based on the difference between their maximal and standard rates determined from intermittent flow respirometry. Lipid peroxidation and the antioxidant capacity were also quantified to estimate the oxidative damage potentially caused to gill and liver tissue. Although CTmax and CTmin were higher in individuals acclimated to summer versus winter temperatures, the increase in CTmax was minimal in juveniles exposed to the near-future compared to present-day pCO(2) levels (there was a significant interaction between temper-ature and pCO(2) on CTmax). The reduction in the thermal tolerance range under summer temperatures and near-future OA conditions was associated with a reduction in the aerobic scope observed at the elevated pCO(2) level. Moreover, an oxidative stress condition was detected in the gill and liver tissues. Thus, chronic exposure to OA and the current sum-mer temperatures pose limits to the thermal performance of juvenile E. maclovinus at the organismal and sub-organismal levels, making this species vulnerable to projected climate-driven warming.</t>
  </si>
  <si>
    <t>[Lattuca, Maria E.; Vanella, Fabian A.; Rubel, Maximiliano D.; Fernandez, Daniel A.] Ctr Austral Invest Cient CADIC CONICET, Lab Ecol Fisiol &amp; Evoluc Organismos Acuat, Bernardo Houssay 200,V9410BED, Ushuaia, Argentina; [Malanga, Gabriela] Sidad Buenos Aires FFyB URA, Fac Farm &amp; Bioquim, Fisicoquim, Junin 956 C1113AAD, Caba, Argentina; [Malanga, Gabriela] Consejo Nacl Invest Cient &amp; Tecn, Inst Bioquim &amp; Med Mol IBIMOL, Junin 956,C1113AAD, Caba, Argentina; [Manriquez, Patricio H.] Ctr Estudios Avanzados Zonas Arides CEAZA, Av Bernardo Ossandon 877, Coquimbo 1781681, Chile; [Manriquez, Patricio H.] Lab Ecol &amp; Conducts Ontogenia Temprana LECOT, Larrondo 1281, Coquimbo 1781421, Chile; [Torres, Rodrigo] Ctr Invest Ecosistemas Patagonia CIEP, Jose de Moraleda 16, Coyhaique 5951369, Chile; [Torres, Rodrigo] Ctr Invest Dinam Ecosistemas Marinos Altas Latitu, Av El Bosque 01789, Punta Arenas 6200000, Chile; [Alter, Katharina; Peck, Myron A.] Royal Netherlands Inst Sea Res NIOZ, Dept Coastal Syst COS, POB 59, NL-1790 AB Den Burg, Texel, Netherlands; [Marras, Stefano; Domenici, Paolo] CNR, Ist Ambiente Marino Costiero CNR IAMC, I-09070 Torregrande, Oristano, Italy; [Domenici, Paolo] CNR, Ist Biofis CNR IBF, Area Ric San Cataldo, Via C Moruzzi 1, I-56124 Pisa, Italy; [Fernandez, Daniel A.] Univ Nacl Tierra del Fuego, Inst Ciencias Polares Ambiente &amp; Rezursos Nat UNT, Fuegia Basket 251,V9410BXE, Ushuaia, Argentina</t>
  </si>
  <si>
    <t>Consejo Nacional de Investigaciones Cientificas y Tecnicas (CONICET); Consejo Nacional de Investigaciones Cientificas y Tecnicas (CONICET); Utrecht University; Royal Netherlands Institute for Sea Research (NIOZ); Consiglio Nazionale delle Ricerche (CNR); L'Istituto per l'Ambiente Marino Costiero (IAMC-CNR); Consiglio Nazionale delle Ricerche (CNR)</t>
  </si>
  <si>
    <t>Lattuca, ME (corresponding author), Ctr Austral Invest Cient CADIC CONICET, Lab Ecol Fisiol &amp; Evoluc Organismos Acuat, Bernardo Houssay 200,V9410BED, Ushuaia, Argentina.</t>
  </si>
  <si>
    <t>elattuca@gmail.com</t>
  </si>
  <si>
    <t>Peck, Myron A/H-6164-2011; Domenici, Paolo/F-6958-2010</t>
  </si>
  <si>
    <t>Manriquez, Patricio/0000-0001-6586-764X; Torres, Rodrigo/0000-0003-0416-4291</t>
  </si>
  <si>
    <t>project 'Climate -driven changes in the habitat suitability of marine organisms' (CLIMAR) [ELAC2015/T01-0495]; National Scientific and Technical Research Council (CONICET, Argentina) [PIP 0440, PUE 2016-CADIC]; Prince Albert II of Monaco Foundation [2863]; Fondo Nacional de Desarrollo Cientificoy Tecnologico (FONDECYT) [1181609]</t>
  </si>
  <si>
    <t>project 'Climate -driven changes in the habitat suitability of marine organisms' (CLIMAR); National Scientific and Technical Research Council (CONICET, Argentina)(Consejo Nacional de Investigaciones Cientificas y Tecnicas (CONICET)); Prince Albert II of Monaco Foundation; Fondo Nacional de Desarrollo Cientificoy Tecnologico (FONDECYT)(Comision Nacional de Investigacion Cientifica y Tecnologica (CONICYT)CONICYT FONDECYT)</t>
  </si>
  <si>
    <t>We acknowledge D. Aureliano, S. Rimbau and M. Gutierrez for their assistance in fi eldwork and technical support at the laboratory. This study was funded by the project 'Climate -driven changes in the habitat suitability of marine organisms' (CLIMAR, ELAC2015/T01-0495). This work also re- ceived funding from the National Scientific and Technical Research Council (CONICET, Argentina, grant numbers: PIP 0440 and PUE 2016-CADIC) and it contributes to the project The Case of the Beagle Channel (Southern Patagonia-Argentina, Chile) (OCAH-Beagle, The Prince Albert II of Monaco Foundation, Monaco, Financial agreement 2863). PHM acknowledges funding from the Fondo Nacional de Desarrollo Cientificoy Tecnologico (FONDECYT), Grant No 1181609 and RT to the ANID PATSER program. The funding sources had no involvement in the study design, the collection, analysis and interpretation of data, the writing of the manuscript and the decision to submit the article for publication.</t>
  </si>
  <si>
    <t>10.1016/j.scitotenv.2022.159284</t>
  </si>
  <si>
    <t>5S5FM</t>
  </si>
  <si>
    <t>WOS:000875215500003</t>
  </si>
  <si>
    <t>Kim, KA; Choi, NR; Yoo, H; Jang, E; Yoon, YJ; Park, J; Jung, CH; Kim, YP; Park, KT; Lee, JY</t>
  </si>
  <si>
    <t>Kim, Ki Ae; Choi, Na Rae; Yoo, Ha Young; Jang, Eunho; Yoon, Young Jun; Park, Jiyeon; Jung, Chang Hoon; Kim, Yong Pyo; Park, Ki-Tae; Lee, Ji Yi</t>
  </si>
  <si>
    <t>Atmospheric saccharide composition and its possible linkage with marine phytoplankton from North Pacific to the Antarctic regions</t>
  </si>
  <si>
    <t>Saccharides; Pristine marine aerosol; Organic aerosol; GC; MS-MS; Korean IBRV Araon; Antarctic region</t>
  </si>
  <si>
    <t>ORGANIC-COMPOUNDS; ARCTIC-OCEAN; AEROSOLS; SUGARS; CARBON; LEVOGLUCOSAN; SPECIATION; POLLEN; TRACER</t>
  </si>
  <si>
    <t>Saccharide compounds can distinguish the influence of both biogenic emissions and anthropogenic sources. In this study, the spatial distribution of 10 saccharide compounds was observed to determine the major factor for the production of organic aerosols in the pristine marine regions from the North Pacific Ocean to the Antarctic Ocean. The pristine marine atmospheric PM2.5 (Particle matter with an aerodynamic diameter equal to or less than nominal 2.5 mu m) samples were collected using a high-volume air sampler connected to a wind sector controller installed in the Korean Ice-breaking Research Vessel (IBRV) during the cruise through the Pacific Ocean: from the Yellow Sea, Korea on October 31, 2018 to the Antarctic Ocean on December 14, 2018.In the pristine marine region, the total saccharides concentrations varied greatly from 0.16 to 16.57 ng/m3 (mean: 3.02 +/- 4.76 ng/m3). The compositions of 10 saccharide compounds in each PM2.5 sample changed when the marine geographic characteristics changed. The contribution of levoglucosan in the sample collected near land was higher than the sample collected in the open ocean. In addition, saccharides concentrations had a strong positive correlation with OC (Organic carbon), indicating that the increase of saccharides concentrations strongly contributes to the increase in OC concentration in the pristine marine region. The highest concentration of saccharides was observed near the New Zealand coast, which also showed highest air mass exposure to marine biology. We also found that the spatial distribution of saccharide composition was correlated with the spatial distribution of phytoplankton. From these observations, we concluded that 1) marine phytoplankton can be a significant source of organic aerosol production and 2) the type of phytoplankton in a region affects the change of saccharides composition in PM2.5.</t>
  </si>
  <si>
    <t>[Kim, Ki Ae; Choi, Na Rae; Yoo, Ha Young; Lee, Ji Yi] Ewha Womans Univ, Dept Environm Sci &amp; Engn, Seoul 03760, South Korea; [Choi, Na Rae] Georgia Inst Technol, Sch Chem &amp; Biomol Engn, Atlanta, GA 30318 USA; [Yoo, Ha Young] Samsung Elect Co Ltd, Anal Sci &amp; Engn Team, Gyeonggi Do 18448, South Korea; [Jang, Eunho; Yoon, Young Jun; Park, Jiyeon; Park, Ki-Tae] Korea Polar Res Inst, Div Atmospher Sci, Incheon 21990, South Korea; [Jang, Eunho; Park, Ki-Tae] Univ Sci &amp; Technol, Daejeon 34113, South Korea; [Jung, Chang Hoon] Kyungin Womens Univ, Dept Hlth Management, Incheon 21041, South Korea; [Kim, Yong Pyo] Ewha Womans Univ, Grad Sch, Dept Chem Engn &amp; Mat Sci, Seoul 03760, South Korea</t>
  </si>
  <si>
    <t>Ewha Womans University; University System of Georgia; Georgia Institute of Technology; Samsung; Samsung Electronics; Korea Polar Research Institute (KOPRI); University of Science &amp; Technology (UST); Ewha Womans University</t>
  </si>
  <si>
    <t>Lee, JY (corresponding author), Ewha Womans Univ, Dept Environm Sci &amp; Engn, Seoul 03760, South Korea.;Park, KT (corresponding author), Korea Polar Res Inst, Div Atmospher Sci, Incheon 21990, South Korea.</t>
  </si>
  <si>
    <t>ktpark@kopri.re.kr; yijiyi@ewha.ac.kr</t>
  </si>
  <si>
    <t>lee, jiyi/0000-0001-9386-2133</t>
  </si>
  <si>
    <t>Korea Polar Research Institute (KOPRI) [PE22030]; National Research Foundation of Korea (NRF) by the Ministry of Science and ICT [PE22030]; [2020M3G1A1114537]</t>
  </si>
  <si>
    <t>Korea Polar Research Institute (KOPRI)(Korea Polar Research Institute of Marine Research Placement (KOPRI)); National Research Foundation of Korea (NRF) by the Ministry of Science and ICT(National Research Foundation of Korea);</t>
  </si>
  <si>
    <t>This research was supported by the Korea Polar Research Institute (KOPRI, PE22030) and by the FRIEND (Fine Particle Research Initiative in East Asia Considering National Differences) Project (2020M3G1A1114537) funded through the National Research Foundation of Korea (NRF) by the Ministry of Science and ICT.</t>
  </si>
  <si>
    <t>10.1016/j.atmosenv.2022.119420</t>
  </si>
  <si>
    <t>5S6US</t>
  </si>
  <si>
    <t>WOS:000875322900003</t>
  </si>
  <si>
    <t>Campbell, IB; Sheppard, DS</t>
  </si>
  <si>
    <t>Campbell, Iain B.; Sheppard, Douglas S.</t>
  </si>
  <si>
    <t>A review of salt occurrences in soils of the Transantarctic Mountains, Antarctica</t>
  </si>
  <si>
    <t>PERMAFROST AND PERIGLACIAL PROCESSES</t>
  </si>
  <si>
    <t>Antarctic; Cryosols; salts; Transantarctic Mountains; weathering processes</t>
  </si>
  <si>
    <t>WRIGHT VALLEY; TAYLOR VALLEY; ORIGIN; REGION; PERMAFROST; FROZEN; AREA</t>
  </si>
  <si>
    <t>Salts are pervasive throughout the Transantarctic Mountains cold desert soils and are derived primarily from atmospheric sources. Their composition is varied and dependent on local or regional climatic conditions. Their presence within soil profiles ranges from small flecks to continuous salt horizons and their abundance and distribution have a distinct relationship with climatic attributes and land surface age which extends back to the Miocene. While liquid water is seldom present, salts are present in saturated solutions surrounding mineral grains in the soil and may move deeply into the soil or underlying icy permafrost. Extensive ground surface salt efflorescence occurs on freshly exposed surfaces that have been disturbed by human activities, the salts being derived from within the thawed permafrost ice.</t>
  </si>
  <si>
    <t>[Campbell, Iain B.] Land &amp; Soil Consultancy Serv Nelson, Nelson, New Zealand; [Sheppard, Douglas S.] Geochem Solut, Lower Hutt, New Zealand</t>
  </si>
  <si>
    <t>Campbell, IB (corresponding author), Land &amp; Soil Consultancy Serv Nelson, Nelson, New Zealand.</t>
  </si>
  <si>
    <t>iaincampbell@xtra.co.nz</t>
  </si>
  <si>
    <t>Campbell, Iain/0000-0002-1644-6424</t>
  </si>
  <si>
    <t>1045-6740</t>
  </si>
  <si>
    <t>1099-1530</t>
  </si>
  <si>
    <t>PERMAFROST PERIGLAC</t>
  </si>
  <si>
    <t>Permafrost Periglacial Process.</t>
  </si>
  <si>
    <t>10.1002/ppp.2175</t>
  </si>
  <si>
    <t>Geography, Physical; Geology</t>
  </si>
  <si>
    <t>M6KN8</t>
  </si>
  <si>
    <t>WOS:000868937200001</t>
  </si>
  <si>
    <t>Grisart, A; Casado, M; Gkinis, V; Vinther, B; Naveau, P; Vrac, M; Laepple, T; Minster, B; Prié, F; Stenni, B; Fourré, E; Larsen, HCS; Jouzel, J; Werner, M; Pol, K; Masson-Delmotte, V; Hoerhold, M; Popp, T; Landais, A</t>
  </si>
  <si>
    <t>Grisart, Antoine; Casado, Mathieu; Gkinis, Vasileios; Vinther, Bo; Naveau, Philippe; Vrac, Mathieu; Laepple, Thomas; Minster, Benedicte; Prie, Frederic; Stenni, Barbara; Fourre, Elise; Larsen, Hans-Christian Steen; Jouzel, Jean; Werner, Martin; Pol, Katy; Masson-Delmotte, Valerie; Hoerhold, Maria; Popp, Trevor; Landais, Amaelle</t>
  </si>
  <si>
    <t>Sub-millennial climate variability from high-resolution water isotopes in the EPICA Dome C ice core</t>
  </si>
  <si>
    <t>ANTARCTIC ICE; CHRONOLOGY AICC2012; DEUTERIUM DATA; TEMPERATURE; GREENLAND; RECORDS; DIFFUSION; HYDROGEN; CYCLES; SIGNAL</t>
  </si>
  <si>
    <t>The EPICA Dome C (EDC) ice core provides the longest continuous climatic record, covering the last 800 000 years (800 kyr). A unique opportunity to investigate decadal to millennial variability during past glacial and interglacial periods is provided by the high-resolution water isotopic record (delta O-18 and delta D) available for the EDC ice core. We present here a continuous compilation of the EDC water isotopic record at a sample resolution of 11 cm, which consists of 27 000 delta O-18 measurements and 7920 delta D measurements (covering, respectively, 94 % and 27 % of the whole EDC record), including published and new measurements (2900 for both delta O-18 and delta D) for the last 800 kyr. Here, we demonstrate that repeated water isotope measurements of the same EDC samples from different depth intervals obtained using different analytical methods are comparable within analytical uncertainty. We thus combine all available EDC water isotope measurements to generate a high-resolution (11 cm) dataset for the past 800 kyr. A frequency decomposition of the most complete delta O-18 record and a simple assessment of the possible influence of diffusion on the measured profile shows that the variability at the multi-decadal to multi-centennial timescale is higher during glacial than during interglacial periods and higher during early interglacial isotopic maxima than during the Holocene. This analysis shows as well that during interglacial periods characterized by a temperature optimum at the beginning, the multi-centennial variability is strongest over this temperature optimum.</t>
  </si>
  <si>
    <t>[Grisart, Antoine; Casado, Mathieu; Naveau, Philippe; Vrac, Mathieu; Minster, Benedicte; Prie, Frederic; Fourre, Elise; Jouzel, Jean; Pol, Katy; Masson-Delmotte, Valerie; Landais, Amaelle] CEA CNRS UVSQ Paris Saclay IPSL, Lab Sci Climat &amp; Environm, Gif Sur Yvette, France; [Casado, Mathieu; Laepple, Thomas] Helmholtz Ctr Polar &amp; Marine Res, Alfred Wegener Inst, Potsdam, Germany; [Gkinis, Vasileios; Vinther, Bo; Popp, Trevor] Univ Copenhagen, Niels Bohr Inst, Phys Ice Climate &amp; Earth, Copenhagen, Denmark; [Stenni, Barbara] Univ Ca Foscari Venice, Dept Environm Sci Informat &amp; Stat, Venice, Italy; [Larsen, Hans-Christian Steen] Univ Bergen, Geophys Inst, N-5020 Bergen, Norway; [Larsen, Hans-Christian Steen] Bjerknes Ctr Climate Res, N-5020 Bergen, Norway; [Werner, Martin; Hoerhold, Maria] Helmholtz Ctr Polar &amp; Marine Res, Alfred Wegener Inst, Bremerhaven, Germany</t>
  </si>
  <si>
    <t>CEA; Centre National de la Recherche Scientifique (CNRS); Universite Paris Saclay; Helmholtz Association; Alfred Wegener Institute, Helmholtz Centre for Polar &amp; Marine Research; University of Copenhagen; Niels Bohr Institute; Universita Ca Foscari Venezia; University of Bergen; Bjerknes Centre for Climate Research; Helmholtz Association; Alfred Wegener Institute, Helmholtz Centre for Polar &amp; Marine Research</t>
  </si>
  <si>
    <t>Grisart, A (corresponding author), CEA CNRS UVSQ Paris Saclay IPSL, Lab Sci Climat &amp; Environm, Gif Sur Yvette, France.</t>
  </si>
  <si>
    <t>antoine.grisart@lsce.ipsl.fr</t>
  </si>
  <si>
    <t>Masson-Delmotte, Valerie L/G-1995-2011; Werner, Martin/C-8067-2014; Gkinis, Vasileios/E-8185-2011; Laepple, Thomas/M-8783-2015</t>
  </si>
  <si>
    <t>Masson-Delmotte, Valerie L/0000-0001-8296-381X; Werner, Martin/0000-0002-6473-0243; Gkinis, Vasileios/0000-0002-5910-1549; Vinther, Bo/0000-0002-6078-771X; Casado, Mathieu/0000-0002-8185-415X; Stenni, Barbara/0000-0003-4950-3664; Laepple, Thomas/0000-0001-8108-7520; grisart, antoine/0000-0003-4594-5596; Naveau, Philippe/0000-0002-7231-6210</t>
  </si>
  <si>
    <t>European Research Council; H2020 European Research Council (ICORDA) [817493]; European Research Council (ERC) [817493] Funding Source: European Research Council (ERC)</t>
  </si>
  <si>
    <t>European Research Council(European Research Council (ERC)); H2020 European Research Council (ICORDA); European Research Council (ERC)(European Research Council (ERC)Spanish Government)</t>
  </si>
  <si>
    <t>This research has been supported by the European Research Council, H2020 European Research Council (ICORDA (grant no. 817493)).</t>
  </si>
  <si>
    <t>OCT 17</t>
  </si>
  <si>
    <t>10.5194/cp-18-2289-2022</t>
  </si>
  <si>
    <t>5J0LY</t>
  </si>
  <si>
    <t>WOS:000868740200001</t>
  </si>
  <si>
    <t>Gangadharan, N; Goosse, H; Parkes, D; Goelzer, H; Maussion, F; Marzeion, B</t>
  </si>
  <si>
    <t>Gangadharan, Nidheesh; Goosse, Hugues; Parkes, David; Goelzer, Heiko; Maussion, Fabien; Marzeion, Ben</t>
  </si>
  <si>
    <t>Process-based estimate of global-mean sea-level changes in me Common Era</t>
  </si>
  <si>
    <t>EARTH SYSTEM DYNAMICS</t>
  </si>
  <si>
    <t>GLACIER MASS CHANGE; OCEAN HEAT-CONTENT; ICE-SHEET; LAST MILLENNIUM; 20TH-CENTURY; MODEL; RISE; VARIABILITY; GREENLAND; ANTARCTICA</t>
  </si>
  <si>
    <t>Although the global-mean sea level (GMSL) rose over the twentieth century with a positive contribution from thermosteric and barystatic (ice sheets and glaciers) sources, the driving processes of GMSL changes during the pre-industrial Common Era (PCE; 1-1850 CE) are largely unknown. Here, the contributions of glacier and ice sheet mass variations and ocean thermal expansion to GMSL in the Common Era (1-2000 CE) are estimated based on simulations with different physical models. Although the twentieth century global-mean thermosteric sea level (GMTSL) is mainly associated with temperature variations in the upper 700 m (86 % in reconstruction and 74 +/- 8 % in model), GMTSL in the PCE is equally controlled by temperature changes below 700 m. The GMTSL does not vary more than +/- 2 cm during the PCE. GMSL contributions from the Antarctic and Greenland ice sheets tend to cancel each other out during the PCE owing to the differing response of the two ice sheets to atmospheric conditions. The uncertainties of sea-level contribution from land-ice mass variations are large, especially over the first millennium. Despite underestimating the twentieth century model GMSL, there is a general agreement between the model and proxy-based GMSL reconstructions in the CE. Although the uncertainties remain large over the first millennium, model simulations point to glaciers as the dominant source of GMSL changes during the PCE.</t>
  </si>
  <si>
    <t>[Gangadharan, Nidheesh; Goosse, Hugues] Catholic Univ Louvain, Earth &amp; Life Inst, Louvain La Neuve, Belgium; [Parkes, David] Univ Lancaster, Dept Math &amp; Stat, Lancaster, England; [Goelzer, Heiko] Bjerknes Ctr Climate Res, NORCE Norwegian Res Ctr, Bergen, Norway; [Maussion, Fabien] Univ Innsbruck, Dept Atmospher &amp; Cryospher Sci, Innsbruck, Austria; [Marzeion, Ben] Univ Bremen, Inst Geog, Bremen, Germany; [Marzeion, Ben] Univ Bremen, MARUM Ctr Marine Environm Sci, Bremen, Germany</t>
  </si>
  <si>
    <t>Universite Catholique Louvain; Lancaster University; Norwegian Research Centre (NORCE); Bjerknes Centre for Climate Research; University of Innsbruck; University of Bremen; University of Bremen</t>
  </si>
  <si>
    <t>Gangadharan, N (corresponding author), Catholic Univ Louvain, Earth &amp; Life Inst, Louvain La Neuve, Belgium.</t>
  </si>
  <si>
    <t>nidheeshag@gmail.com</t>
  </si>
  <si>
    <t>Maussion, Fabien/B-9814-2013; Marzeion, Ben/G-6514-2013; Goelzer, Heiko/M-2367-2016</t>
  </si>
  <si>
    <t>Maussion, Fabien/0000-0002-3211-506X; Goelzer, Heiko/0000-0002-5878-9599; Gangadharan, Nidheesh/0000-0002-3598-1107</t>
  </si>
  <si>
    <t>Fonds National de la Recherche Scientifique (F.R.S.-FNRS Belgium) [PDR T.0028.18]</t>
  </si>
  <si>
    <t>Fonds National de la Recherche Scientifique (F.R.S.-FNRS Belgium)(Fonds de la Recherche Scientifique - FNRS)</t>
  </si>
  <si>
    <t>This research has been supported by the Fonds National de la Recherche Scientifique (F.R.S.-FNRS Belgium; grant agreement PDR T.0028.18).</t>
  </si>
  <si>
    <t>2190-4979</t>
  </si>
  <si>
    <t>2190-4987</t>
  </si>
  <si>
    <t>EARTH SYST DYNAM</t>
  </si>
  <si>
    <t>Earth Syst. Dynam.</t>
  </si>
  <si>
    <t>10.5194/esd-13-1417-2022</t>
  </si>
  <si>
    <t>5I8PY</t>
  </si>
  <si>
    <t>WOS:000868613200001</t>
  </si>
  <si>
    <t>Anderson, L; Skipp, G; Strickland, L; Honke, J; Havens, J; VanSistine, DP</t>
  </si>
  <si>
    <t>Anderson, Lesleigh; Skipp, Gary; Strickland, Laura; Honke, Jeff; Havens, Jeremy; VanSistine, D. Paco</t>
  </si>
  <si>
    <t>Holocene paleohydrology from alpine lake sediment, Emerald Lake, Wasatch Plateau of central Utah, USA</t>
  </si>
  <si>
    <t>QUATERNARY RESEARCH</t>
  </si>
  <si>
    <t>Holocene; Paleohydrology; Lake level; Carbonate oxygen isotopes; Upper Colorado; High elevation lake; Great Basin</t>
  </si>
  <si>
    <t>YELLOWSTONE-NATIONAL-PARK; SOUTHERN ROCKY-MOUNTAINS; WESTERN UNITED-STATES; GREAT-BASIN; BONNEVILLE BASIN; STABLE-ISOTOPE; ENVIRONMENTAL-CHANGE; CALCIUM-CARBONATE; CLIMATIC-CHANGE; CREVICE LAKE</t>
  </si>
  <si>
    <t>Holocene sediments at Emerald Lake in central Utah (3090 m asl) document the paleohydroclimatic history of the western Upper Colorado River headwater region. Multi-proxy analyses of sediment composition, mineralogy, and stable isotopes of carbonate (delta O-18 and delta C-13) show changes in effective moisture for the past ca. 10,000 years at millennial to decadal timescales. Emerald Lake originated as a shallow, closed-basin cirque pond during the Early Holocene. By ca. 7000 cal yr BP, higher lake levels and carbonate delta O-18 values indicate rising effective moisture and higher proportions of summer precipitation continued at least until ca. 5500 cal yr BP when a landslide entered the lake margin. Between ca. 4500 and 2400 cal yr BP dry conditions at Emerald Lake envelop the timing of the 'Late Holocene Dry Period' identified at lower elevations. For the past ca. 2500 years, Emerald Lake delta O-18 values were relatively low, indicating wetter conditions and higher snow input (compared to rain), except for dry periods at ca. 2000 cal yr BP and during the Medieval Climate Anomaly at ca. 1000 and ca. 500 cal yr BP. Results provide a long-term perspective on precipitation extremes that influence regional water supplies from a snow-dominated catchment typical of the predominant source region for the Upper Colorado River.</t>
  </si>
  <si>
    <t>[Anderson, Lesleigh; Skipp, Gary; Strickland, Laura; Honke, Jeff; Havens, Jeremy; VanSistine, D. Paco] US Geol Survey, Geosci &amp; Environm Change Sci Ctr, Box 25046, Denver, CO 80225 USA</t>
  </si>
  <si>
    <t>United States Department of the Interior; United States Geological Survey</t>
  </si>
  <si>
    <t>Anderson, L (corresponding author), US Geol Survey, Geosci &amp; Environm Change Sci Ctr, Box 25046, Denver, CO 80225 USA.</t>
  </si>
  <si>
    <t>land@usgs.gov</t>
  </si>
  <si>
    <t>Havens, Jeremy/0000-0002-8685-2823</t>
  </si>
  <si>
    <t>U.S. Geological Survey Climate Research and Development Program</t>
  </si>
  <si>
    <t>The USGS ScienceBase data release for this publication can be located at https://doi.org/10.5066/P9CZFVNJ.This research is supported by the U.S. Geological Survey Climate Research and Development Program. We thank Andrea Brunelle and Jesse Morris, who provided logistical support and field assistance that made this research possible. David Dettman at the University of Arizona and Million Hailemichael at Idaho State University provided carbonate and water isotope data; Core D AMS radiocarbon ages were provided by Jack Reed at the USGS Radiocarbon Laboratory and Chad Wolack at the Institute for Arctic Antarctic and Alpine Research (INSTAAR) at the University of Colorado Boulder. Alisa Mast at the USGS Colorado Water Science Center provided water chemistry data. We appreciate reviews by Marith Reheis and Paul Henne and two anonymous journal reviewers for their constructive suggestions that served to significantly improve the manuscript. Any use of trade, firm, or product names is for descriptive purposes only and does not imply endorsement by the U.S. Government.</t>
  </si>
  <si>
    <t>0033-5894</t>
  </si>
  <si>
    <t>1096-0287</t>
  </si>
  <si>
    <t>QUATERNARY RES</t>
  </si>
  <si>
    <t>Quat. Res.</t>
  </si>
  <si>
    <t>PII S0033589422000424</t>
  </si>
  <si>
    <t>10.1017/qua.2022.42</t>
  </si>
  <si>
    <t>L1ZE2</t>
  </si>
  <si>
    <t>WOS:000868459900001</t>
  </si>
  <si>
    <t>Peck, LS</t>
  </si>
  <si>
    <t>Peck, Lloyd Samuel</t>
  </si>
  <si>
    <t>Responding to warming in polar oceans: A commentary on Molina et al. (2022)</t>
  </si>
  <si>
    <t>RESPONSES; TOLERANCE</t>
  </si>
  <si>
    <t>[Peck, Lloyd Samuel] British Antarctic Survey, Madingley Rd, Cambridge CB3 0ET, England</t>
  </si>
  <si>
    <t>Peck, LS (corresponding author), British Antarctic Survey, Madingley Rd, Cambridge CB3 0ET, England.</t>
  </si>
  <si>
    <t>lspe@bas.ac.uk</t>
  </si>
  <si>
    <t>British Antarctic Survey</t>
  </si>
  <si>
    <t>10.1111/gcb.16468</t>
  </si>
  <si>
    <t>7D8ON</t>
  </si>
  <si>
    <t>WOS:000868809200001</t>
  </si>
  <si>
    <t>Gordeev, I; Biserova, N; Zhukova, K; Ekimova, I</t>
  </si>
  <si>
    <t>Gordeev, I; Biserova, N.; Zhukova, K.; Ekimova, I</t>
  </si>
  <si>
    <t>The first report of a parasitic 'turbellarian' from a cephalopod mollusc, with description of Octopoxenus antarcticus gen. nov., sp. nov. (Platyhelminthes: Fecampiida: Notenteridae)</t>
  </si>
  <si>
    <t>JOURNAL OF HELMINTHOLOGY</t>
  </si>
  <si>
    <t>Turbellaria; flatworms; Platyhelminthes; Antarctic; cephalopods; parasite</t>
  </si>
  <si>
    <t>PHYLOGENETIC-RELATIONSHIPS; ET-AL; TAXONOMY; ORIGIN; NEORHABDOCOELA; SYSTEMATICS; EVOLUTION; FRAMEWORK; ALIGNMENT</t>
  </si>
  <si>
    <t>Parasitic 'turbellarians' are known from various animals such as echinoderms, crustaceans, annelids, bivalve and gastropod molluscs. So far, however, no 'turbellarians' have been reported from cephalopods. In this paper we report a parasitic 'turbellarian' from the giant Antarctic octopus, Megaleledone setebos. We dissected two specimens of M. setebos caught in the Ross Sea (Antarctica) and found numerous worms in their intestine and liver. The worms were spherical or oblong and had two morphologically different poles. The frontal pole bears a small conical protrusion containing large elongated pear-shaped frontal glands and large polygonal cells. The ducts of the frontal glands open terminally to form the frontal organ. The caudal pole has an opening shaped as a folded tube connected by the genital pore with a common genital atrium, which continues into a canal with a muscular sheath. The worms were identified as 'turbellarians' from the family Notenteridae (Fecampiida). This family contains only one species, Notentera ivanovi, reported from the gut of a polychaete at the White Sea. The worms that we found in the gastrointestinal tract of the octopuses were morphologically similar to N. ivanovi but differed from it in several important respects. Phylogenetic analysis based on 28S rDNA gene showed that the newly found worm clustered together with other fecampiids in a highly supported clade and was closely related to N. ivanovi. On the basis of these morphological and molecular data, we described a new species, Octopoxenus antarcticus gen. nov., sp. nov. (Fecampiida: Notenteridae), establishing a new genus to accommodate it and provided an updated diagnosis of the family Notenteridae. This is the first report of a parasitic 'turbellarian' from a cephalopod mollusc.</t>
  </si>
  <si>
    <t>[Gordeev, I] Russian Fed Res Inst Fisheries &amp; Oceanog, Moscow, Russia; [Gordeev, I; Biserova, N.; Zhukova, K.; Ekimova, I] Lomonosov Moscow State Univ, Moscow, Russia</t>
  </si>
  <si>
    <t>Research lnstitute of Fisheries &amp; Oceanography; Lomonosov Moscow State University</t>
  </si>
  <si>
    <t>Gordeev, I (corresponding author), Russian Fed Res Inst Fisheries &amp; Oceanog, Moscow, Russia.;Gordeev, I (corresponding author), Lomonosov Moscow State Univ, Moscow, Russia.</t>
  </si>
  <si>
    <t>gordeev_ilya@bk.ru</t>
  </si>
  <si>
    <t>Ekimova, Irina/L-3958-2015; Biserova, Natalia M/E-8813-2010; Gordeev, Ilya/F-2972-2017</t>
  </si>
  <si>
    <t>Ekimova, Irina/0000-0002-1846-0780; Biserova, Natalia M/0000-0002-5481-0207; Gordeev, Ilya/0000-0002-6650-9120; Zhukova, Kristina/0000-0001-8088-435X</t>
  </si>
  <si>
    <t>0022-149X</t>
  </si>
  <si>
    <t>1475-2697</t>
  </si>
  <si>
    <t>J HELMINTHOL</t>
  </si>
  <si>
    <t>J. Helminthol.</t>
  </si>
  <si>
    <t>e73</t>
  </si>
  <si>
    <t>10.1017/S0022149X22000657</t>
  </si>
  <si>
    <t>Parasitology; Zoology</t>
  </si>
  <si>
    <t>5I8FI</t>
  </si>
  <si>
    <t>WOS:000868585600001</t>
  </si>
  <si>
    <t>Whoriskey, S; Pearson, LE; Harris, HS; Whitmer, ER; Liwanag, HEM; Brodie, E; Johnson, S</t>
  </si>
  <si>
    <t>Whoriskey, Sophie; Pearson, Linnea E.; Harris, Heather S.; Whitmer, Emily R.; Liwanag, Heather E. M.; Brodie, Erin; Johnson, Shawn</t>
  </si>
  <si>
    <t>Using a combination of midazolam and butorphanol is a safe and effective reversible field sedation protocol for Weddell seal (Leptonychotes weddellii) pups</t>
  </si>
  <si>
    <t>VETERINARY RECORD</t>
  </si>
  <si>
    <t>CARDIORESPIRATORY PATTERNS; DEVELOPMENTAL-CHANGES; TERRESTRIAL APNEAS; CHEMICAL RESTRAINT; ANESTHESIA; IMMOBILIZATION; GUIDELINES; SLEEP; DOGS; AIR</t>
  </si>
  <si>
    <t>Background: Weddell seals (Leptonychotes weddellii) are a well-studied species of phocid with an apparent sensitivity to immobilising agents. Mortality as high as 31% has been reported during field immobilisation. This study investigated the use of a benzodiazepine in combination with an opioid agonist/antagonist for sedation in Weddell seal pups as part of a physiological study. Methods: During the 2017 and 2019 Antarctic pupping seasons, 18 Weddell seal pups were sedated by intramuscular administration of a combination of midazolam and butorphanol or intravenous midazolam alone. Individuals were sedated at 1, 3, 5 and 7 weeks of age. Naltrexone and flumazenil were used to reverse sedation. The combination was 100% effective in providing appropriate sedation for the intended procedures. Results: Analyses were performed to investigate relationships between dose administered, age, individual reactions, adverse effects and changes in dive physiology. Transient apnoea (10-60 seconds) was the most frequently observed adverse effect. No sedation-associated morbidity or mortality occurred. Limitations: The sample size is small and there is no pharmacokinetic information for either sedative or reversal in phocid species. Conclusions: The combination of midazolam (0.2-0.3 mg/kg) and butorphanol (0.1-0.2 mg/kg) provided safe and effective sedation, with reversible effects, in Weddell seal pups.</t>
  </si>
  <si>
    <t>[Whoriskey, Sophie; Harris, Heather S.; Whitmer, Emily R.; Brodie, Erin; Johnson, Shawn] Marine Mammal Ctr, 2000 Bunker Rd, Sausalito, CA 94965 USA; [Pearson, Linnea E.; Harris, Heather S.; Liwanag, Heather E. M.] Calif Polytech State Univ San Luis Obispo, San Luis Obispo, CA 93407 USA; [Johnson, Shawn] Sea Change Hlth, Sunnyvale, CA USA</t>
  </si>
  <si>
    <t>California State University System; California Polytechnic State University San Luis Obispo</t>
  </si>
  <si>
    <t>Whoriskey, S (corresponding author), Marine Mammal Ctr, 2000 Bunker Rd, Sausalito, CA 94965 USA.</t>
  </si>
  <si>
    <t>whoriskeys@tmmc.org</t>
  </si>
  <si>
    <t>Liwanag, Heather/0000-0003-3250-2542; Whitmer, Emily/0000-0002-5956-6944</t>
  </si>
  <si>
    <t>National Science Foundation [ANT-1543539]</t>
  </si>
  <si>
    <t>National Science Foundation, Grant/Award Number: ANT-1543539</t>
  </si>
  <si>
    <t>0042-4900</t>
  </si>
  <si>
    <t>2042-7670</t>
  </si>
  <si>
    <t>VET REC</t>
  </si>
  <si>
    <t>Vet. Rec.</t>
  </si>
  <si>
    <t>e2238</t>
  </si>
  <si>
    <t>10.1002/vetr.2238</t>
  </si>
  <si>
    <t>8F4BY</t>
  </si>
  <si>
    <t>WOS:000868760700001</t>
  </si>
  <si>
    <t>Cherel, Y; Delord, K; Barbraud, C; Weimerskirch, H</t>
  </si>
  <si>
    <t>Cherel, Yves; Delord, Karine; Barbraud, Christophe; Weimerskirch, Henri</t>
  </si>
  <si>
    <t>Diet, isotopic niche, and spatial distribution of the white-headed petrel (Pterodroma lessonii) at Kerguelen Islands</t>
  </si>
  <si>
    <t>Fish; Food; Myctophidae; Procellariiformes; Seabirds; Southern ocean; Squid</t>
  </si>
  <si>
    <t>FEEDING ECOLOGY; STABLE-ISOTOPES; ILES-KERGUELEN; FORAGING AREAS; BODY FEATHERS; SEABIRDS; CARBON; BLOOD; PREDATORS; NITROGEN</t>
  </si>
  <si>
    <t>The subantarctic white-headed petrel is unique amongst Procellariidae by its biennial breeding frequency. Its food and feeding ecology is poorly known with limited available bio-logging data and no dietary and isotopic information. Our goal was to detail its prey species and isotopic niche at Kerguelen Islands, which is the most important breeding site in the Indian Ocean. Analysis of stomach contents (n = 56) indicated chicks were fed on fish (68% by mass) and secondarily on cephalopods (26%), whilst crustaceans were minor dietary components. Mesopelagic fishes were the main prey, with myctophids and melamphaids being the most important fish family in terms of both abundance (50% and 15% of the fish, respectively) and diversity (10 and three species). Prey distribution indicated that petrels foraged primarily in subantarctic waters and secondarily further south to feed their chicks, which is corroborated by the lower blood delta C-13 values of fledglings (n = 10) than incubating adults (n = 9). Body feather delta C-13 values (n = 45) indicate that adult white-headed petrels moulted over different latitudinal habitats, from the subtropics to Antarctica where delta N-15 values showed they fed on low trophic-level prey (most likely Antarctic krill). Indeed, three geolocator-tracked birds ranged widely, from the mid-Atlantic (18 degrees W) to the eastern Indian Ocean (110 degrees E) and from the warmer Subtropical Zone (19% of the locations), across the Subantarctic Zone (58%) to the colder Antarctic Zone (23%). Neither fishery-related items nor plastic debris were found in chick food samples, thus indicating no significant interactions with human activities, which is a key positive issue for the conservation of white-headed petrels.</t>
  </si>
  <si>
    <t>[Cherel, Yves; Delord, Karine; Barbraud, Christophe; Weimerskirch, Henri] La Rochelle Univ, Ctr Etud Biol Chize, CNRS, UMR 7372, F-79360 Villiers En Bois, France</t>
  </si>
  <si>
    <t>Centre National de la Recherche Scientifique (CNRS); CNRS - Institute of Ecology &amp; Environment (INEE)</t>
  </si>
  <si>
    <t>Cherel, Y (corresponding author), La Rochelle Univ, Ctr Etud Biol Chize, CNRS, UMR 7372, F-79360 Villiers En Bois, France.</t>
  </si>
  <si>
    <t>cherel@cebc.cnrs.fr</t>
  </si>
  <si>
    <t>Weimerskirch, Henri/F-5562-2013</t>
  </si>
  <si>
    <t>Cherel, Yves/0000-0001-9469-9489</t>
  </si>
  <si>
    <t>Institut Polaire Francais Paul Emile Victor [109]</t>
  </si>
  <si>
    <t>Institut Polaire Francais Paul Emile Victor</t>
  </si>
  <si>
    <t>This research was funded by the Institut Polaire Francais Paul Emile Victor (Programme No. 109, C. Barbraud).</t>
  </si>
  <si>
    <t>10.1007/s00300-022-03092-7</t>
  </si>
  <si>
    <t>WOS:000868470600001</t>
  </si>
  <si>
    <t>Trokhymets, V; Zinkovskyi, A; Dykyy, I; La Mesa, M</t>
  </si>
  <si>
    <t>Trokhymets, Vladen; Zinkovskyi, Artem; Dykyy, Ihor; La Mesa, Mario</t>
  </si>
  <si>
    <t>Feeding ecology of an inshore population of Notothenia coriiceps from the Argentine Islands, Bellingshausen Sea</t>
  </si>
  <si>
    <t>Diet; Feeding strategy; Antarctic fish; Black rockcod; Antarctic Peninsula</t>
  </si>
  <si>
    <t>SOUTH SHETLAND ISLANDS; POTTER COVE; DIETARY OVERLAP; ADMIRALTY BAY; FOOD-WEB; FISH; ROSSII; STRATEGY</t>
  </si>
  <si>
    <t>The inshore waters off the Argentine Islands host a diversified benthic fish community largely dominated by the black rockcod, Notothenia coriiceps. Compared to other areas along the western Antarctic Peninsula, the feeding habits of this species in this location are poorly known. Hence, the aim of the study is to assess food preferences by the stomach content examination, applying a sophisticated analytical approach. As reported elsewhere, the black rockcod is omnivorous, relying primarily on algae, gastropods, amphipods, euphausiids and fishes, each consumed with different foraging strategies. Based on multidimensional scaling statistical procedures, fish size and water depth are the primarily contributers to prey resource diversification and partitioning. Overall the sampled population of the black rockcod are generalist feeders with a relatively high between-phenotype component to the niche width, consisting of specialized individuals with little or no overlap in food resource use.</t>
  </si>
  <si>
    <t>[Trokhymets, Vladen; Zinkovskyi, Artem] Taras Shevchenko Natl Univ Kyiv, Educ &amp; Sci Ctr, Dept Ecol &amp; Zool, Inst Biol &amp; Med, Hlushkova Ave 2, UA-03127 Kiev, Ukraine; [Dykyy, Ihor] Ivan Franko Natl Univ Lviv, Fac Biol, Dept Zool, Mykhaila Hrushevskoho St 4, UA-79005 Lvov, Ukraine; [La Mesa, Mario] CNR, Inst Polar Sci ISP, Area Ric Bologna, Via P Gobetti 101, I-40129 Bologna, Italy</t>
  </si>
  <si>
    <t>Ministry of Education &amp; Science of Ukraine; Taras Shevchenko National University of Kyiv; Ministry of Education &amp; Science of Ukraine; Ivan Franko National University Lviv; Consiglio Nazionale delle Ricerche (CNR); Istituto di Scienze Polari (ISP-CNR)</t>
  </si>
  <si>
    <t>La Mesa, M (corresponding author), CNR, Inst Polar Sci ISP, Area Ric Bologna, Via P Gobetti 101, I-40129 Bologna, Italy.</t>
  </si>
  <si>
    <t>mario.lamesa@cnr.it</t>
  </si>
  <si>
    <t>Zinkovskyi, Artem/JYQ-5285-2024</t>
  </si>
  <si>
    <t>Trokhymets, Vladlen/0000-0001-6367-1897; Zinkovskyi, Artem/0000-0002-6424-5854</t>
  </si>
  <si>
    <t>National Antarctic Scientific Centre of Ukraine</t>
  </si>
  <si>
    <t>The authors are grateful to the National Antarctic Scientific Centre of Ukraine for financing and organizing the collection and transport of the samples, as well as for the valuable support to the study. We sincerely thank Joseph T. Eastman who carefully revised the language of the early draft. Finally, we wish to thank an anonymous reviewer and Prof. Esteban Barrera-Oro for their constructive criticism to the early draft of manuscript.</t>
  </si>
  <si>
    <t>10.1007/s00300-022-03095-4</t>
  </si>
  <si>
    <t>WOS:000868470600002</t>
  </si>
  <si>
    <t>Arndt, S</t>
  </si>
  <si>
    <t>Arndt, Stefanie</t>
  </si>
  <si>
    <t>Sensitivity of Sea Ice Growth to Snow Properties in Opposing Regions of the Weddell Sea in Late Summer</t>
  </si>
  <si>
    <t>Antarctic; sea ice; snow; ice mass balance; thermal conductivity; ice growth</t>
  </si>
  <si>
    <t>THERMAL-CONDUCTIVITY; VARIABILITY; OCEAN; PATTERNS; DRIVEN; TRENDS; COVER</t>
  </si>
  <si>
    <t>The sensitivity of sea ice to the contrasting seasonal and perennial snow properties in the southeastern and northwestern Weddell Sea is not yet considered in sea ice model and satellite remote sensing applications. However, the analysis of physical snowpack properties in late summer in recent years reveals a high fraction of melt-freeze forms resulting in significant higher snow densities in the northwestern than in the eastern Weddell Sea. The resulting lower thermal conductivity of the snowpack, which is only half of what has been previously assumed in models in the eastern Weddell Sea, reduces the sea ice bottom growth by 18 cm during winter. In the northwest, however, the potentially formed snow ice thickness of 22 cm at the snow/ice interface contributes to additional 7 cm of thermodynamic ice growth at the bottom. This sensitivity study emphasizes the enormous impact of unappreciated regional differences in snowpack properties on the thermodynamic ice growth.</t>
  </si>
  <si>
    <t>[Arndt, Stefanie] Alfred Wegener Inst, Helmholtz Zentrum Polar &amp; Meeresforsch, Bremerhaven, Germany</t>
  </si>
  <si>
    <t>Arndt, S (corresponding author), Alfred Wegener Inst, Helmholtz Zentrum Polar &amp; Meeresforsch, Bremerhaven, Germany.</t>
  </si>
  <si>
    <t>stefanie.arndt@awi.de</t>
  </si>
  <si>
    <t>Arndt, Stefanie/AAA-6178-2021</t>
  </si>
  <si>
    <t>Arndt, Stefanie/0000-0001-9782-3844</t>
  </si>
  <si>
    <t>German Research Council (DFG) [SPP1158, AR1236/1]; Alfred-Wegener-Institut; Projekt DEAL; Helmholtz-Zentrum fur Polar-und Meeresforschung; [AWI_PS111_00]; [AWI_PS118_11]; [AWI_PS124]; [AWI_PS124_08]</t>
  </si>
  <si>
    <t>German Research Council (DFG)(German Research Foundation (DFG)); Alfred-Wegener-Institut; Projekt DEAL; Helmholtz-Zentrum fur Polar-und Meeresforschung; ; ; ;</t>
  </si>
  <si>
    <t>I gratefully acknowledge the support of the cruise leaders, all involved scientists, the helicopter teams on board, and the captains and crews of R/V Polarstern during expedition PS111, PS118, and PS124 (Grant No. AWI_PS111_00, AWI_PS118_11, AWI_PS124, AWI_PS124_08). Especially, I thank the interdisciplinary sea ice teams on board, including Nicolas Stoll, Marcus Huntermann, Kerstin Jerosch, and Mara Neudert, who carried out the SMP measurements on-site. I also thank Christian Haas and Stefan Kern for fruitful discussions on the manuscript. This work was supported by the German Research Council (DFG) in the framework of the priority program Antarctic Research with comparative investigations in the Arctic ice areas (Grant Nos. SPP1158 and AR1236/1) and by the Alfred-Wegener-Institut, Helmholtz-Zentrum fur Polar-und Meeresforschung. Open Access funding enabled and organized by Projekt DEAL.</t>
  </si>
  <si>
    <t>OCT 16</t>
  </si>
  <si>
    <t>e2022GL099653</t>
  </si>
  <si>
    <t>10.1029/2022GL099653</t>
  </si>
  <si>
    <t>5B5EJ</t>
  </si>
  <si>
    <t>WOS:000863592500001</t>
  </si>
  <si>
    <t>Min, JO; Kim, SH; Jung, J; Jung, UJ; Yang, EJ; Lee, S; Hyun, JH</t>
  </si>
  <si>
    <t>Min, Jun-Oh; Kim, Sung-Han; Jung, Jinyoung; Jung, Ui-Jung; Yang, Eun Jin; Lee, SangHoon; Hyun, Jung-Ho</t>
  </si>
  <si>
    <t>Glacial Ice Melting Stimulates Heterotrophic Prokaryotes Production on the Getz Ice Shelf in the Amundsen Sea, Antarctica</t>
  </si>
  <si>
    <t>bacterial production; microbial loop; Getz Ice Shelf; DOC; meltwater; Amundsen Sea</t>
  </si>
  <si>
    <t>PARTICULATE ORGANIC-MATTER; PINE ISLAND GLACIER; TERRA-NOVA BAY; ROSS SEA; OCEAN CIRCULATION; PHYTOPLANKTON BLOOMS; BACTERIAL PRODUCTION; PROTEIN-SYNTHESIS; WATER-COLUMN; CARBON</t>
  </si>
  <si>
    <t>Extensive oceanographic data sets were combined with microbiological parameters to elucidate the tight coupling between glacial meltwater and heterotrophic bacterial production (BP) on the Getz Ice Shelf (GtzIS) in the Amundsen Sea. BP in the eastern GtzIS (EG; 85.8 pM Leu. h(-1)), where basal glacier meltwater upwells, was significantly higher than BP measured in the western GtzIS (WG; 50.6 pM Leu. h(-1)) and the Amundsen Sea Polynya (ASP; 27.8 pM Leu. h(-1)). BP in the EG accounted for 49% of primary production, which was greater than that of the WG (10%) and ASP (9.2%). Enhanced BP in the eastern GtzIS was not coupled with phytoplankton biomass, but correlated significantly with the freshwater fraction containing meltwater-derived dissolved organic carbon (MW-DOC). These results suggest that warming-induced glacier melting weakens carbon sequestration efficiency in Antarctic coastal waters by stimulating heterotrophic metabolism that converts MW-DOC to CO2.</t>
  </si>
  <si>
    <t>[Min, Jun-Oh; Hyun, Jung-Ho] Hanyang Univ, Dept Marine Sci &amp; Convergent Technol, Ansan, South Korea; [Min, Jun-Oh; Jung, Jinyoung; Yang, Eun Jin; Lee, SangHoon] Korea Polar Res Inst, Div Ocean Sci, Incheon, South Korea; [Kim, Sung-Han; Jung, Ui-Jung] Korea Inst Ocean Sci &amp; Technol, Marine Environm Res Ctr, Busan, South Korea</t>
  </si>
  <si>
    <t>Hanyang University; Korea Polar Research Institute (KOPRI); Korea Institute of Ocean Science &amp; Technology (KIOST)</t>
  </si>
  <si>
    <t>Hyun, JH (corresponding author), Hanyang Univ, Dept Marine Sci &amp; Convergent Technol, Ansan, South Korea.</t>
  </si>
  <si>
    <t>hyunjh@hanyang.ac.kr</t>
  </si>
  <si>
    <t>; Hyun, Jung-Ho/O-1651-2017</t>
  </si>
  <si>
    <t>Jung, Ui-Jung/0000-0003-1396-7694; Lee, SangHoon/0000-0002-0248-0066; Hyun, Jung-Ho/0000-0001-8876-2963; Min, Jun-Oh/0000-0003-1550-8336; Yang, Eun Jin/0000-0002-8639-5968</t>
  </si>
  <si>
    <t>Microbially mediated ecological and biogeochemical process study in the Arctic Ocean - Korean Ministry of Oceans and Fisheries [20220554]; Korea Polar Research Institute (KOPRI) [PE21110]; National Research Foundation of Korea [NRF-2018R1A2B2006340]</t>
  </si>
  <si>
    <t>Microbially mediated ecological and biogeochemical process study in the Arctic Ocean - Korean Ministry of Oceans and Fisheries; Korea Polar Research Institute (KOPRI)(Korea Polar Research Institute of Marine Research Placement (KOPRI)); National Research Foundation of Korea(National Research Foundation of Korea)</t>
  </si>
  <si>
    <t>This study was supported by the Microbially mediated ecological and biogeochemical process study in the Arctic Ocean funded by the Korean Ministry of Oceans and Fisheries through the Open Innovation Program (20220554), Korea Polar Research Institute (KOPRI, PE21110), and a grant from the National Research Foundation of Korea (NRF-2018R1A2B2006340).</t>
  </si>
  <si>
    <t>e2021GL097627</t>
  </si>
  <si>
    <t>10.1029/2021GL097627</t>
  </si>
  <si>
    <t>4Y9TO</t>
  </si>
  <si>
    <t>WOS:000861864000001</t>
  </si>
  <si>
    <t>Cnossen, I</t>
  </si>
  <si>
    <t>A Realistic Projection of Climate Change in the Upper Atmosphere Into the 21st Century</t>
  </si>
  <si>
    <t>climate change; thermosphere; ionosphere; WACCM-X; projection; prediction</t>
  </si>
  <si>
    <t>MESOSPHERE; MODEL; TRENDS; GASES</t>
  </si>
  <si>
    <t>Climate change in the upper atmosphere (similar to 90-500 km altitude) has important impacts on practical applications. To prepare for these, realistic projections of future climate change are needed. The first climate projection up to 500 km altitude is presented here based on a long transient simulation with the whole atmosphere community climate model extension, following Shared Socio-economic Pathway 2-4.5, a moderate emission scenario. Effects of predicted main magnetic field changes and reasonable solar radiative and particle forcings are also included. The predicted global mean cooling in the thermosphere and associated decline in thermosphere density for 2015-2070 are significantly stronger than for the historical period, which is ascribed to the more rapid increase in CO2 concentration. Trends in global mean ionospheric parameters also increase in magnitude, but there are considerable spatial variations, caused by changes in the Earth's magnetic field. The largest ionospheric changes are expected in the region of similar to 50 degrees S-20 degrees N and similar to 90-0 degrees W.</t>
  </si>
  <si>
    <t>[Cnossen, I] British Antarctic Survey, Cambridge, England</t>
  </si>
  <si>
    <t>Cnossen, I (corresponding author), British Antarctic Survey, Cambridge, England.</t>
  </si>
  <si>
    <t>inos@bas.ac.uk</t>
  </si>
  <si>
    <t>Cnossen, Ingrid/E-5809-2010</t>
  </si>
  <si>
    <t>Cnossen, Ingrid/0000-0001-6469-7861</t>
  </si>
  <si>
    <t>Natural Environment Research Council (NERC) Independent Research Fellowship [NE/R015651/1]</t>
  </si>
  <si>
    <t>Natural Environment Research Council (NERC) Independent Research Fellowship(UK Research &amp; Innovation (UKRI)Natural Environment Research Council (NERC))</t>
  </si>
  <si>
    <t>I. Cnossen was supported by a Natural Environment Research Council (NERC) Independent Research Fellowship (NE/R015651/1). M. Mills and S. Solomon offered initial discussions and advice on the WACCM-X simulation setup and F. Vitt and S. Solomon helped with technical issues in running the model. M. Mills and C. Hannay kindly supplied the sea surface temperature data. Two anonymous reviewers provided thoughtful comments that helped to strengthen the original manuscript. The WACCM-X simulations were run on the ARCHER UK National Supercomputing Service ().</t>
  </si>
  <si>
    <t>e2022GL100693</t>
  </si>
  <si>
    <t>10.1029/2022GL100693</t>
  </si>
  <si>
    <t>4Y9UC</t>
  </si>
  <si>
    <t>WOS:000861865400001</t>
  </si>
  <si>
    <t>Hill, SA; Burls, NJ; Fedorov, A; Merlis, TM</t>
  </si>
  <si>
    <t>Hill, Spencer A.; Burls, Natalie J.; Fedorov, Alexey; Merlis, Timothy M.</t>
  </si>
  <si>
    <t>Symmetric and Antisymmetric Components of Polar-Amplified Warming</t>
  </si>
  <si>
    <t>Climate change; Surface temperature; Climate models</t>
  </si>
  <si>
    <t>CLIMATE SENSITIVITY; MODEL; AMPLIFICATION; DEPENDENCE; TRANSIENT; TRANSPORT; FEEDBACKS; PATTERN; CO2</t>
  </si>
  <si>
    <t>CO2-forced surface warming in general circulation models (GCMs) is initially polar amplified in the Arctic but not in the Antarctic-a largely hemispherically antisymmetric signal. Nevertheless, we show in CESM1 and 11 LongRunMIP GCMs that the hemispherically symmetric component of global-mean-normalized, zonal-mean warming (T-sym*) under 4 x CO2 changes weakly or becomes modestly more polar amplified from the first decade to near-equilibrium. Conversely, the antisymmetric warming component (T-asym*) weakens with time in all models, modestly in some including FAMOUS, but effectively vanishing in others including CESM1. We explore mechanisms underlying the robust T-sym* behavior with a diffusive moist energy balance model (MEBM), which given radiative feedback parameter (lambda) and ocean heat uptake (O) fields diagnosed from CESM1 adequately reproduces the CESM1 T-sym* and T-asym* fields. In further MEBM simulations perturbing lambda and O, T-sym* is sensitive to their symmetric components only, and more to that of lambda. A three-box, two-time-scale model fitted to FAMOUS and CESM1 reveals a curiously short Antarctic fast-response time scale in FAMOUS. In additional CESM1 simulations spanning a broader range of forcings, T-sym* changes modestly across 2-16 x CO2, and T-sym* in a Pliocene-like simulation is more polar amplified but likewise approximately time invariant. Determining the real-world relevance of these behaviors-which imply that a surprising amount of information about near-equilibrium polar amplification emerges within decades-merits further study.</t>
  </si>
  <si>
    <t>[Hill, Spencer A.] Columbia Univ, Lamont Doherty Earth Observ, Palisades, NY USA; [Burls, Natalie J.] George Mason Univ, Dept Atmospher Ocean &amp; Earth Sci, Ctr Ocean Land Atmosphere Studies, Fairfax, VA USA; [Fedorov, Alexey] Yale Univ, Dept Earth &amp; Planetary Sci, New Haven, CT USA; [Fedorov, Alexey] Sorbonne Univ, LOCEAN IPSL, Paris, France; [Merlis, Timothy M.] McGill Univ, Dept Atmospher &amp; Ocean Sci, Montreal, PQ, Canada</t>
  </si>
  <si>
    <t>Columbia University; George Mason University; Center for Ocean Land Atmosphere Studies; Yale University; Museum National d'Histoire Naturelle (MNHN); Sorbonne Universite; McGill University</t>
  </si>
  <si>
    <t>Hill, SA (corresponding author), Columbia Univ, Lamont Doherty Earth Observ, Palisades, NY USA.</t>
  </si>
  <si>
    <t>spencerh@princeton.edu</t>
  </si>
  <si>
    <t>Hill, Spencer/D-4445-2014</t>
  </si>
  <si>
    <t>Hill, Spencer/0000-0001-8672-0671; Burls, Natalie/0000-0002-6950-3808</t>
  </si>
  <si>
    <t>NSF Atmospheric and Geospace Sciences Postdoctoral Research Fellowship (NSF) [1624740]; Caltech Foster and Coco Stanback Postdoctoral Fellowship; Columbia University Earth Institute Fellowship; NSERC; NSF Award [1844380]; Alfred P. Sloan Foundation; ARCHANGE project , France [ANR-18-MPGA-0001]; Directorate For Geosciences; Div Atmospheric &amp; Geospace Sciences [1624740] Funding Source: National Science Foundation; Directorate For Geosciences; Div Atmospheric &amp; Geospace Sciences [1844380] Funding Source: National Science Foundation</t>
  </si>
  <si>
    <t>NSF Atmospheric and Geospace Sciences Postdoctoral Research Fellowship (NSF)(National Science Foundation (NSF)); Caltech Foster and Coco Stanback Postdoctoral Fellowship; Columbia University Earth Institute Fellowship; NSERC(Natural Sciences and Engineering Research Council of Canada (NSERC)); NSF Award(National Science Foundation (NSF)); Alfred P. Sloan Foundation(Alfred P. Sloan Foundation); ARCHANGE project , France; Directorate For Geosciences; Div Atmospheric &amp; Geospace Sciences(National Science Foundation (NSF)NSF - Directorate for Geosciences (GEO)); Directorate For Geosciences; Div Atmospheric &amp; Geospace Sciences(National Science Foundation (NSF)NSF - Directorate for Geosciences (GEO))</t>
  </si>
  <si>
    <t>We thank William Wang for generating several figures that facilitated our analyses. S.A.H. was supported during different periods of this study by an NSF Atmospheric and Geospace Sciences Postdoctoral Research Fellowship (NSF Award 1624740), a Caltech Foster and Coco Stanback Postdoctoral Fellowship, and a Columbia University Earth Institute Fellowship. T.M.M acknowledges support from NSERC. N.J.B. acknowledges support from NSF Award 1844380 and is supported by the Alfred P. Sloan Foundation as a Research Fellow. A.V.F. acknowledges support from the ARCHANGE project (ANR-18-MPGA-0001, France). Three anonymous reviewers provided extremely useful comments and motivated the analyses of LongRunMIP and the box model.</t>
  </si>
  <si>
    <t>OCT 15</t>
  </si>
  <si>
    <t>10.1175/JCLI-D-20-0972.1</t>
  </si>
  <si>
    <t>6L6BJ</t>
  </si>
  <si>
    <t>WOS:000888269400015</t>
  </si>
  <si>
    <t>Paun, VI; Banciu, RM; Lavin, P; Vasilescu, A; Fanjul-Bolado, P; Purcarea, C</t>
  </si>
  <si>
    <t>Paun, V., I; Banciu, R. M.; Lavin, P.; Vasilescu, A.; Fanjul-Bolado, P.; Purcarea, C.</t>
  </si>
  <si>
    <t>Antarctic aldehyde dehydrogenase from Flavobacterium PL002 as a potent catalyst for acetaldehyde determination in wine</t>
  </si>
  <si>
    <t>SEQUENCE ALIGNMENT; BIOSENSOR; NADH; ETHANOL; COLD; MICROORGANISMS; IMPACT; SENSOR; SERVER</t>
  </si>
  <si>
    <t>Latest solutions in biotechnologies and biosensing targeted cold-active extremozymes. Analysis of acetaldehyde as a relevant quality indicator of wine is one example of application that could benefit from using low-temperatures operating catalysts. In search of novel aldehyde dehydrogenases (ALDH) with high stability and activity at low temperatures, the recombinant S2-ALDH from the Antarctic Flavobacterium PL002 was obtained by cloning and expression in Escherichia coli BL21(DE3). Structural and phylogenetic analyses revealed strong protein similarities (95%) with psychrophilic homologs, conserved active residues and structural elements conferring enzyme flexibility. Arrhenius plot revealed a conformational shift at 30 degrees C, favoring catalysis (low activation energy) at lower temperatures. In addition to a broad substrate specificity with preference for acetaldehyde (Km = 1.88 mM), this enzyme showed a high tolerance for ethanol (15%) and several salts and chelators (an advantage for wine analysis), while being sensitive to mercury (I-50 = 1.21 mu M). The neutral optimal pH (7.5) and the stability up to 40 degrees C and after lyophilization represent major assets for developing S2-ALDH-based sensors. An enzymatic electrochemical assay was developed for acetaldehyde detection in wines with proven accuracy in comparison with the reference spectrophotometric method, thus evidencing the potential of S2-ALDH as effective biocatalyst for industry and biosensing.</t>
  </si>
  <si>
    <t>[Paun, V., I; Purcarea, C.] Inst Biol, Dept Microbiol, 296 Splaiul Independentei, Bucharest 060031, Romania; [Banciu, R. M.; Vasilescu, A.] Int Ctr Biodynam, 1B Intrarea Portocalelor, Bucharest 060101, Romania; [Lavin, P.] Univ Antofagasta, Fac Ciencias Mar &amp; Recursos Biol, Dept Biotecnol, Antofagasta 1240000, Chile; [Fanjul-Bolado, P.] SL Vivero Ciencias Salud, Metrohm DropSens, C Colegio Santo Domingo de Guzman S-N, Oviedo 33010, Asturias, Spain</t>
  </si>
  <si>
    <t>Institute of Biology Bucharest; Universidad de Antofagasta</t>
  </si>
  <si>
    <t>Purcarea, C (corresponding author), Inst Biol, Dept Microbiol, 296 Splaiul Independentei, Bucharest 060031, Romania.</t>
  </si>
  <si>
    <t>cristina.purcarea@ibiol.ro</t>
  </si>
  <si>
    <t>Purcarea, Cristina/HKO-6092-2023; Vasilescu, Alina/C-5112-2011; Lavin, Paris/HPH-3612-2023</t>
  </si>
  <si>
    <t>Purcarea, Cristina/0000-0001-5784-8545; Vasilescu, Alina/0000-0002-2492-0819; Lavin, Paris/0000-0002-8893-526X</t>
  </si>
  <si>
    <t>UEFISCDI [PN-III-P2-2.1-PED2019-2746, PN-III-P2-2.1-PED2019-2461]; Academia Romana [RO1567-IBB05/2021]</t>
  </si>
  <si>
    <t>UEFISCDI(Consiliul National al Cercetarii Stiintifice (CNCS)Unitatea Executiva pentru Finantarea Invatamantului Superior, a Cercetarii, Dezvoltarii si Inovarii (UEFISCDI)); Academia Romana(Romanian Academy of Sciences)</t>
  </si>
  <si>
    <t>This study was fnancially supported by the UEFISCDI PN-III-P2-2.1-PED2019-2746 and PN-III-P2-2.1-PED2019-2461 grants and Academia Romana (Grant no. RO1567-IBB05/2021).</t>
  </si>
  <si>
    <t>10.1038/s41598-022-22289-8</t>
  </si>
  <si>
    <t>5J8MT</t>
  </si>
  <si>
    <t>WOS:000869292100045</t>
  </si>
  <si>
    <t>Li, T; Wurster, CM; Haig, J; Zhou, YP; Zwart, C; Ren, JL; Comley, R; Munksgaard, NC; Gadd, PS; Bird, MI</t>
  </si>
  <si>
    <t>Li, Ting; Wurster, Christopher M.; Haig, Jordahna; Zhou, Youping; Zwart, Costijn; Ren, Junli; Comley, Rainy; Munksgaard, Niels C.; Gadd, Patricia S.; Bird, Michael I.</t>
  </si>
  <si>
    <t>Environmental change inferred from multiple proxies from an 18 cal ka BP sediment record, Lake Barrine, NE Australia</t>
  </si>
  <si>
    <t>Paleoclimate change; Northeastern Australia; Bulk organic geochemistry; mu-XRF; Maar lake sediment; Deglacial; Carbon isotope</t>
  </si>
  <si>
    <t>DISSOLVED INORGANIC CARBON; SEA-LEVEL CHANGE; WET TROPICS; NORTHEAST AUSTRALIA; CLIMATE-CHANGE; HUMID TROPICS; PALEOENVIRONMENTAL CHANGE; LATE PLEISTOCENE; HIGH-RESOLUTION; SUMMER MONSOON</t>
  </si>
  <si>
    <t>Lake Barrine (17.25 degrees S, 145.64(degrees)E), on the Atherton Tablelands in tropical northeast Australia, was formed as a maar lake in the late Pleistocene. The 65 m-deep stratified lake provides a detailed sediment record of climate and environmental change on the Tablelands. We reconstruct hydroclimate and vegetation change over the last similar to 18,000 years from a 7.2 m long sediment core at 20-year resolution using multiple paleoenvironmental proxies (mu-XRF elements, delta C-13(TOC), TOC and C:N ratio). The data series are supported by a chronology based on 22 accelerator mass spectrometer (AMS) radiocarbon dates. The results suggest a distinct period of intense but highly seasonal rainfall coincident with the Antarctic Cold Reversal (14.7-13.0 cal ka BP). This period was followed by a trend into the early Holocene toward wetter, less seasonal conditions that allowed the progressive establishment of tropical forest in the catchment. The catchment was completely covered by closed forest by 7.3 cal ka BP. The inferred precipitation changes at Lake Barrine are consistent with other records on the Tablelands and in phase with the changes in tropical SE Africa, NW Australia and anti-phase with the East Asian summer monsoon region in the Holocene but not before that. This result supports previous conclusions that precipitation variations correlate (in phase or anti-phased) in these regions. This correlation results from a dynamic balance among intertropical convergence zone (ITCZ), the Indian Ocean Dipole (IOD) and El Nino Southern Oscillation (ENSO). (C) 2022 Elsevier Ltd. All rights reserved.</t>
  </si>
  <si>
    <t>[Li, Ting; Wurster, Christopher M.; Haig, Jordahna; Zwart, Costijn; Comley, Rainy; Munksgaard, Niels C.; Bird, Michael I.] James Cook Univ, Coll Sci &amp; Engn, Cairns 4878, Australia; [Li, Ting; Wurster, Christopher M.; Zwart, Costijn; Comley, Rainy; Munksgaard, Niels C.; Bird, Michael I.] James Cook Univ, ARC Ctr Excellence Australian Biodivers &amp; Heritage, Cairns 4878, Australia; [Li, Ting; Wurster, Christopher M.; Haig, Jordahna; Zwart, Costijn; Comley, Rainy; Munksgaard, Niels C.; Bird, Michael I.] James Cook Univ, Ctr Trop Environm &amp; Sustainabil Sci, Cairns 4878, Australia; [Zhou, Youping] Southern Univ Sci &amp; Technol, Dept Ocean Sci &amp; Engn, Shenzhen 518055, Peoples R China; [Zhou, Youping] Shaanxi Univ Sci &amp; Technol, Sch Chem &amp; Chem Engn, Isotop Chem Biol ICB, Xian 710021, Peoples R China; [Ren, Junli] Chinese Acad Sci, Inst Earth Environm, State Key Lab Loess &amp; Quaternary Geol, Xian 710061, Peoples R China; [Ren, Junli] Univ Chinese Acad Sci, Coll Earth Sci, 10049, Beijing, Peoples R China; [Gadd, Patricia S.] Australias Nucl Sci &amp; Technol Org, Lucas Heights, NSW 2232, Australia; [Wurster, Christopher M.] Ruakura Res Ctr, Analyt Labs, Private Bag 3345, Hamilton 3240, New Zealand</t>
  </si>
  <si>
    <t>James Cook University; James Cook University; James Cook University; Southern University of Science &amp; Technology; Shaanxi University of Science &amp; Technology; Chinese Academy of Sciences; Institute of Earth Environment, CAS; Chinese Academy of Sciences; University of Chinese Academy of Sciences, CAS</t>
  </si>
  <si>
    <t>Li, T (corresponding author), James Cook Univ, Coll Sci &amp; Engn, Cairns 4878, Australia.</t>
  </si>
  <si>
    <t>ting.li2@my.jcu.edu.au</t>
  </si>
  <si>
    <t>ren, jun/KHG-7717-2024</t>
  </si>
  <si>
    <t>Haig, Jordahna/0000-0003-1350-522X; Zwart, Costijn/0000-0002-2450-0531; Comley, Rainy/0000-0002-3692-3558; Li, Ting/0000-0002-8397-9634</t>
  </si>
  <si>
    <t>NSFC [41973072]; Isotopomics in Chemical Biology (ICB) group; Australian Research Council Centre of Excellence for Australian Biodiversity and Heritage [CE170100015]</t>
  </si>
  <si>
    <t>NSFC(National Natural Science Foundation of China (NSFC)); Isotopomics in Chemical Biology (ICB) group; Australian Research Council Centre of Excellence for Australian Biodiversity and Heritage(Australian Research Council)</t>
  </si>
  <si>
    <t>The authors, particularly the first author would like to especially thank Prof. Jiaqi Liu, Prof. Guoqiang Chu, Dr. Jing Wu, Prof. Luo Wang and Prof. Zhengfu Guo for providing accommodation and help on data interpretation when the first author was blocked in China during the COVID pandemic and away from her PhD advisors. The authors would like to thank the researchers who shared thesis or published data. We would also like to thank the lab technicians at University of Waikato for measuring the radiocarbon dates and Dr. Emma Rehn for providing the R scripts for PCA, cluster and correlational analyses. We also thank Xenophone Hadeen for helping extract the core at Lake Barrine. Youping Zhou was sup- ported by an NSFC grant (41973072) . This is contribution #27 from the Isotopomics in Chemical Biology (ICB) group. The work was supported by the Australian Research Council Centre of Excellence for Australian Biodiversity and Heritage (CE170100015) .</t>
  </si>
  <si>
    <t>10.1016/j.quascirev.2022.107751</t>
  </si>
  <si>
    <t>4Z5XA</t>
  </si>
  <si>
    <t>WOS:000862280000003</t>
  </si>
  <si>
    <t>Coff, L; Guy, AJ; Campbell, BE; Nowak, BF; Ramsland, PA; Bott, NJ</t>
  </si>
  <si>
    <t>Coff, Lachlan; Guy, Andrew J.; Campbell, Bronwyn E.; Nowak, Barbara F.; Ramsland, Paul A.; Bott, Nathan J.</t>
  </si>
  <si>
    <t>Draft genome of the bluefin tuna blood fluke, Cardicola forsteri</t>
  </si>
  <si>
    <t>THUNNUS-ORIENTALIS TEMMINCK; GLUTATHIONE-S-TRANSFERASE; DE-NOVO IDENTIFICATION; SCHISTOSOMA-MANSONI; TREMATODA APOROCOTYLIDAE; INTERMEDIATE HOSTS; CATHEPSIN-B; LIFE STAGES; TGF-BETA; SEQUENCE</t>
  </si>
  <si>
    <t>The blood fluke Cardicola forsteri (Trematoda: Aporocotylidae) is a pathogen of ranched bluefin tuna in Japan and Australia. Genomics of Cardicola spp. have thus far been limited to molecular phylogenetics of select gene sequences. In this study, sequencing of the C. forsteri genome was performed using Illumina short-read and Oxford Nanopore long-read technologies. The sequences were assembled de novo using a hybrid of short and long reads, which produced a high-quality contig-level assembly (N50 &gt; 430 kb and L50 = 138). The assembly was also relatively complete and unfragmented, comprising 66% and 7.2% complete and fragmented metazoan Benchmarking Universal Single-Copy Orthologs (BUSCOs), respectively. A large portion (&gt; 55%) of the genome was made up of intergenic repetitive elements, primarily long interspersed nuclear elements (LINEs), while protein-coding regions cover &gt; 6%. Gene prediction identified 8,564 hypothetical polypeptides, &gt; 77% of which are homologous to published sequences of other species. The identification of select putative proteins, including cathepsins, calpains, tetraspanins, and glycosyltransferases is discussed. This is the first genome assembly of any aporocotylid, a major step toward understanding of the biology of this family of fish blood flukes and their interactions within hosts.</t>
  </si>
  <si>
    <t>[Coff, Lachlan; Guy, Andrew J.; Campbell, Bronwyn E.; Nowak, Barbara F.; Ramsland, Paul A.; Bott, Nathan J.] RMIT Univ, STEM Coll, Sch Sci, Bundoora, Vic, Australia; [Guy, Andrew J.] ZiP Diagnost, Collingwood, Vic, Australia; [Nowak, Barbara F.] Univ Tasmania, Inst Marine &amp; Antarctic Studies, Launceston, Tas, Australia; [Ramsland, Paul A.] Monash Univ, Dept Immunol, Melbourne, Vic, Australia; [Ramsland, Paul A.] Univ Melbourne, Dept Surg, Austin Hlth, Heidelberg, Vic, Australia; [Coff, Lachlan] CSIRO, Australian Ctr Dis Preparedness, East Geelong, Vic, Australia</t>
  </si>
  <si>
    <t>Royal Melbourne Institute of Technology (RMIT); University of Tasmania; Monash University; Florey Institute of Neuroscience &amp; Mental Health; Austin Research Institute; University of Melbourne; Commonwealth Scientific &amp; Industrial Research Organisation (CSIRO); Australian Centre for Disease Preparedness</t>
  </si>
  <si>
    <t>Bott, NJ (corresponding author), RMIT Univ, STEM Coll, Sch Sci, Bundoora, Vic, Australia.</t>
  </si>
  <si>
    <t>Nathan.Bott@rmit.edu.au</t>
  </si>
  <si>
    <t>Nowak, Barbara/J-7261-2014; Bott, Nathan J/A-3816-2009</t>
  </si>
  <si>
    <t>Bott, Nathan/0000-0003-4049-9945; Coff, Lachlan/0000-0002-3763-1055; Ramsland, Paul/0000-0002-2107-2738; Guy, Andrew/0000-0003-0376-2329</t>
  </si>
  <si>
    <t>OCT 14</t>
  </si>
  <si>
    <t>e0276287</t>
  </si>
  <si>
    <t>10.1371/journal.pone.0276287</t>
  </si>
  <si>
    <t>8N0OY</t>
  </si>
  <si>
    <t>WOS:000924854300090</t>
  </si>
  <si>
    <t>Lenzi, J; Bresesti, F; Lozoya, JP; De Feo, B; Krojmal, E; Lacerot, G; Braun, C; de Mello, FT</t>
  </si>
  <si>
    <t>Lenzi, Javier; Bresesti, Fiorella; Lozoya, Juan Pablo; De Feo, Barbara; Krojmal, Evelyn; Lacerot, Gissell; Braun, Christina; de Mello, Franco Teixeira</t>
  </si>
  <si>
    <t>Diet and debris ingestion of skuas on Fildes Peninsula, King George Island, Antarctica</t>
  </si>
  <si>
    <t>Brown skua; Pellet analysis; Polar front; Plastic debris; Non-plastic debris; Seabirds; South polar skua</t>
  </si>
  <si>
    <t>SOUTH POLAR SKUA; CATHARACTA-MACCORMICKI; FOOD AVAILABILITY; PLASTIC INGESTION; BROWN; LONNBERGI; SEABIRDS; POLLUTION; ECOLOGY</t>
  </si>
  <si>
    <t>Using pellet analysis, we characterized the diet and plastic and non-plastic debris ingestion of skuas (Catharacta spp.) during 2017-2020 summer seasons along the coastal sector of Fildes Peninsula (King George Island, Antarctica). In addition, we conducted the same analysis during the 2020 breeding season on reproductive territories of south polar (Catharacta maccormicki) and brown (Catharacta antarctica lonnbergi) skua. Our results confirm the generalist and opportunistic habits of both skua species. Additionally, it has been proposed that brown skua displaces south polar skua from penguin breeding colonies given its higher competitive abilities, and our results suggest this might not have happened during the study period. Along with evidence from other studies, this work underlines the idea that potential local anthropogenic sources of plastic and non-plastic debris at Fildes Peninsula need to be further addressed to improve current mitigation efforts.</t>
  </si>
  <si>
    <t>[Lenzi, Javier] Ctr Invest &amp; Conservac Marina CICMAR, Ave Giannattasio Km 30-5, Canelones 15008, Uruguay; [Lenzi, Javier] Univ North Dakota, Dept Biol, 10 Cornell St Stop 9019, Grand Forks, ND 58202 USA; [Bresesti, Fiorella; De Feo, Barbara; de Mello, Franco Teixeira] Univ Republ, Dept Ecol &amp; Gest Ambiental CURE, Tacuarembo S-N, Maldonado, Uruguay; [Lozoya, Juan Pablo; Krojmal, Evelyn; Lacerot, Gissell] Univ Republ, Ctr Univ Reg Este, Dept Interdisciplinario Sistemas Costeros &amp; Marino, Tacuarembo S-N, Maldonado 20000, Uruguay; [Braun, Christina] Friedrich Schiller Univ Jena, Inst Ecol &amp; Evolut, Dornburger Str 159, D-07743 Jena, Germany</t>
  </si>
  <si>
    <t>University of North Dakota Grand Forks; Universidad de la Republica, Uruguay; Universidad de la Republica, Uruguay; Friedrich Schiller University of Jena</t>
  </si>
  <si>
    <t>Lenzi, J (corresponding author), Ctr Invest &amp; Conservac Marina CICMAR, Ave Giannattasio Km 30-5, Canelones 15008, Uruguay.;de Mello, FT (corresponding author), Univ Republ, Dept Ecol &amp; Gest Ambiental CURE, Tacuarembo S-N, Maldonado, Uruguay.</t>
  </si>
  <si>
    <t>javier.lenzi@cicmar.org; frantei@fcien.edu.uy</t>
  </si>
  <si>
    <t>Lenzi, Javier/0000-0002-8313-2193; Lacerot, Gissell/0000-0002-9705-5715</t>
  </si>
  <si>
    <t>Department of Biology at the University of North Dakota; UND Postdoctoral Seed Funding Program; Susan Ellis-Felege; SNI; PEDECIBA</t>
  </si>
  <si>
    <t>We would like to thank the Instituto Antartico Uruguayo and especially the BCAA staff of the XXXIII, XXXIV, XXXV, and XXXVI Uruguayan Antarctic expeditions (2017-2020). JL wants to thank the Department of Biology at the University of North Dakota, UND Postdoctoral Seed Funding Program, and Susan Ellis-Felege for the support. JPL, GL, and FTM especially thank the SNI and PEDECIBA for all the support provided. Especial thanks to Sara Yannuzzi for reviewing the English language of the manuscript. Finally, we thank the anonymous reviewers who contributed to improve the quality of our research.</t>
  </si>
  <si>
    <t>10.1016/j.marpolbul.2022.114211</t>
  </si>
  <si>
    <t>7V9FA</t>
  </si>
  <si>
    <t>WOS:000913116400002</t>
  </si>
  <si>
    <t>Lillis, PE; Kennedy, IP; Carolan, JC; Griffin, CT</t>
  </si>
  <si>
    <t>Lillis, Peter E.; Kennedy, Ian P.; Carolan, James C.; Griffin, Christine T.</t>
  </si>
  <si>
    <t>Low-temperature exposure has immediate and lasting effects on the stress tolerance, chemotaxis and proteome of entomopathogenic nematodes</t>
  </si>
  <si>
    <t>PARASITOLOGY</t>
  </si>
  <si>
    <t>Behaviour; biocontrol; dauer; Heterorhabditis megidis; infective juvenile; infective larva; Steinernema carpocapsae; storage; survival</t>
  </si>
  <si>
    <t>HETERORHABDITIS-MEGIDIS; COLD TOLERANCE; STEINERNEMA-CARPOCAPSAE; INFECTIVE JUVENILES; STORAGE-TEMPERATURE; ANTARCTIC NEMATODE; LEA PROTEINS; VINE WEEVIL; BEHAVIOR; HOST</t>
  </si>
  <si>
    <t>Temperature is one of the most important factors affecting soil organisms, including the infective stages of parasites and entomopathogenic nematodes, which are important biological control agents. We investigated the response of 2 species of entomopathogenic nematodes to different storage regimes: cold (9 degrees C), culture temperature (20 degrees C) and temperature swapped from 9 to 20 degrees C. For Steinernema carpocapsae, cold storage had profound effects on chemotaxis, stress tolerance and protein expression that were retained in temperatures-wapped individuals. These effects included reversal of chemotactic response for 3 (prenol, methyl salicylate and hexanol) of the 4 chemicals tested, and enhanced tolerance to freezing (-10 degrees C) and desiccation (75% RH). Label-free quantitative proteomics showed that cold storage induced widespread changes in S. carpocapsae, including an increase in heat-shock proteins and late embryogenesis abundant proteins. For Heterorhabditis megidis, cold storage had a less dramatic effect on chemotaxis (as previously shown for proteomic expression) and changes were not maintained on return to 20 degrees C. Thus, cold temperature exposure has significant effects on entomopathogenic nematodes, but the nature of the change depends on the species. Steinernema carpocapsae, in particular, displays significant plasticity, and its behaviour and stress tolerance may be manipulated by brief exposure to low temperatures, with implications for its use as a biological control agent.</t>
  </si>
  <si>
    <t>[Lillis, Peter E.; Kennedy, Ian P.; Carolan, James C.; Griffin, Christine T.] Maynooth Univ, Dept Biol, Maynooth, Kildare, Ireland</t>
  </si>
  <si>
    <t>Maynooth University</t>
  </si>
  <si>
    <t>Griffin, CT (corresponding author), Maynooth Univ, Dept Biol, Maynooth, Kildare, Ireland.</t>
  </si>
  <si>
    <t>Christine.Griffin@mu.ie</t>
  </si>
  <si>
    <t>Griffin, Christine/0000-0002-0399-8932</t>
  </si>
  <si>
    <t>Maynooth University John and Pat Hume Doctoral Fellowship; Maynooth University Q-Exactive Quantitative Mass Spectrometer [12/RI/2346]</t>
  </si>
  <si>
    <t>Maynooth University John and Pat Hume Doctoral Fellowship; Maynooth University Q-Exactive Quantitative Mass Spectrometer</t>
  </si>
  <si>
    <t>P. E. L. was funded by a Maynooth University John and Pat Hume Doctoral Fellowship. The Maynooth University Q-Exactive Quantitative Mass Spectrometer was funded under the SFI Research Infrastructure Call 2012; Grant Number: 12/RI/2346 (3).</t>
  </si>
  <si>
    <t>0031-1820</t>
  </si>
  <si>
    <t>1469-8161</t>
  </si>
  <si>
    <t>Parasitology</t>
  </si>
  <si>
    <t>10.1017/S0031182022001445</t>
  </si>
  <si>
    <t>6Z9AI</t>
  </si>
  <si>
    <t>WOS:000878695300001</t>
  </si>
  <si>
    <t>Taviani, M; Foglini, F; Castellan, G; Montagna, P; McCulloch, MT; Trotter, JA</t>
  </si>
  <si>
    <t>Taviani, Marco; Foglini, Federica; Castellan, Giorgio; Montagna, Paolo; McCulloch, Malcom T.; Trotter, Julie A.</t>
  </si>
  <si>
    <t>First assessment of anthropogenic impacts in submarine canyon systems off southwestern Australia</t>
  </si>
  <si>
    <t>Macro-litter; Bremer Marine Park; Perth Canyon; Remotely operated vehicle; Anthropogenic impacts</t>
  </si>
  <si>
    <t>ANTARCTIC INTERMEDIATE WATER; DEEP-SEA-FLOOR; MARINE LITTER; MEDITERRANEAN SEA; DEBRIS; ABUNDANCE; SITES; SOUTH; ACCUMULATION; CIRCULATION</t>
  </si>
  <si>
    <t>We assessed the anthropogenic impacts on southwestern Australian submarine canyons by quantifying macro-litter discovered during Remotely Operated Vehicle surveys. The study area encompasses the Bremer canyon systems and Perth Canyon. The categories of macro-litter identified by our study are plastic, metal, aluminium, glass, fabric, mixed, derelict fishing gear, and unclassified. The anthropogenic impacts in the canyons explored is minimal, espe-cially in the Bremer canyon systems, whereas Perth Canyon has comparatively more macro-litter, presumably due to intense maritime traffic and nearby urban development. On a global scale, however, the environmental status of southwestern Australian canyons is relatively pristine. This analysis provides a baseline for the monitoring and endur-ing stewardship of these habitats where lush and diverse biota, including deep-sea corals, thrive.</t>
  </si>
  <si>
    <t>[Taviani, Marco; Foglini, Federica; Castellan, Giorgio] Ist Sci Marine ISMAR, Consiglio Nazl Ric CNR, Bologna, Italy; [Taviani, Marco] Stn Zool Anton Dohrn, Naples, Italy; [Montagna, Paolo] Ist Sci Polari ISP, Consiglio Nazl Ric CNR, Bologna, Italy; [McCulloch, Malcom T.; Trotter, Julie A.] Univ Western Australia, UWA Oceans Inst, Oceans Grad Sch, Perth 6009, Australia; [McCulloch, Malcom T.] Univ Western Australia, ARC Ctr Excellence Coral Reef Studies, Perth 6009, Australia</t>
  </si>
  <si>
    <t>Consiglio Nazionale delle Ricerche (CNR); Istituto di Scienze Marine (ISMAR-CNR); Stazione Zoologica Anton Dohrn di Napoli; Consiglio Nazionale delle Ricerche (CNR); Istituto di Scienze Polari (ISP-CNR); University of Western Australia; University of Western Australia</t>
  </si>
  <si>
    <t>Castellan, G (corresponding author), Ist Sci Marine ISMAR, Consiglio Nazl Ric CNR, Bologna, Italy.</t>
  </si>
  <si>
    <t>giorgio.castellan@bo.ismar.cnr.it</t>
  </si>
  <si>
    <t>Taviani, Marco/AAF-2168-2020; Castellan, Giorgio/ABC-3340-2020; Trotter, Julie/H-5981-2014; McCulloch, Malcolm Thomas/C-3651-2009</t>
  </si>
  <si>
    <t>Taviani, Marco/0000-0003-0414-4274; Castellan, Giorgio/0000-0001-6084-1504; Trotter, Julie/0000-0002-0505-488X; McCulloch, Malcolm Thomas/0000-0003-1538-1558</t>
  </si>
  <si>
    <t>Australian Research Council; Italian National Programme of Antarctic Research; [FT160100259]; [DP210102896]; [PNRA16-00069]</t>
  </si>
  <si>
    <t>Australian Research Council(Australian Research Council); Italian National Programme of Antarctic Research; ; ;</t>
  </si>
  <si>
    <t>Funding This work was supported by research funding from the Australian Research Council to JT (FT160100259) and MM, JT, PM, MT (DP210102896) , and from the Italian National Programme of Antarctic Research (PNRA16-00069 Graceful Project) to PM and MT.</t>
  </si>
  <si>
    <t>JAN 20</t>
  </si>
  <si>
    <t>10.1016/j.scitotenv.2022.159243</t>
  </si>
  <si>
    <t>5R8OW</t>
  </si>
  <si>
    <t>WOS:000874765700014</t>
  </si>
  <si>
    <t>Bottari, T; Nibali, VC; Branca, C; Grotti, M; Savoca, S; Romeo, T; Spanò, N; Azzaro, M; Greco, S; D'Angelo, G; Mancuso, M</t>
  </si>
  <si>
    <t>Bottari, Teresa; Nibali, Valeria Conti; Branca, Caterina; Grotti, Marco; Savoca, Serena; Romeo, Teresa; Spano, Nunziacarla; Azzaro, Maurizio; Greco, Silvestro; D'Angelo, Giovanna; Mancuso, Monique</t>
  </si>
  <si>
    <t>Anthropogenic microparticles in the emerald rockcod Trematomus bernacchii (Nototheniidae) from the Antarctic</t>
  </si>
  <si>
    <t>TERRA-NOVA BAY; ROSS SEA; MICROPLASTIC CONTAMINATION; ACCUMULATION; INGESTION; PLASTICS; IMPACTS; FIBERS; WATERS; FISH</t>
  </si>
  <si>
    <t>Anthropogenic microparticles (AMs) were found for the first time in specimens of Trematomus bernacchii collected in 1998 in the Ross Sea (Antarctica) and stored in the Antarctic Environmental Specimen Bank. Most of the identified AMs were fibers of natural and synthetic origin. The natural AMs were cellulosic, the synthetic ones were polyester, polypropylene, polypropylene/polyester, and cellulose acetate. The presence of dyes in the natural AMs indicates their anthropogenic origin. Five industrial dyes were identified by Raman spectroscopy with Indigo occurring in most of them (55%). Our research not only adds further data to the ongoing knowledge of pollution levels in the Antarctic ecosystem, it provides an interesting snapshot of the past, highlighting that microplastics and anthropogenic fiber pollution had already entered the Antarctic marine food web at the end of the '90 s. These findings therefore establish the foundations for understand the changes in marine litter pollution over time.</t>
  </si>
  <si>
    <t>[Bottari, Teresa; Savoca, Serena; Spano, Nunziacarla; Mancuso, Monique] Inst Marine Biol Resources &amp; Biotechnol IRBIM CNR, Messina, Italy; [Bottari, Teresa; Romeo, Teresa; Mancuso, Monique] Stn Zool Anton Dohrn, Sicily Marine Ctr, Natl Inst Biol Ecol &amp; Marine Biotechnol, Dept Integrat Marine Ecol EMI, Messina, Italy; [Nibali, Valeria Conti; Branca, Caterina; D'Angelo, Giovanna] Univ Messina, Dept Math &amp; Computat Sci Phys Sci &amp; Earth Sci, Messina, Italy; [Grotti, Marco] Univ Genoa, Dept Chem &amp; Ind Chem DCCI, Genoa, Italy; [Savoca, Serena; Spano, Nunziacarla] Univ Messina, Dept Biomed Dent &amp; Morphol &amp; Funct Imaging, Messina, Italy; [Romeo, Teresa] Inst Environm Protect &amp; Res ISPRA, Milazzo, ME, Italy; [Azzaro, Maurizio] Inst Polar Sci ISP CNR, Messina, Italy; [Greco, Silvestro] Stn Zool Anton Dohrn, Natl Inst Biol Ecol &amp; Marine Biotechnol, Calabrian Res Ctr, Res Infrastruct Marine Biol Resources Dept RIMAR, Amendolara, CS, Italy; [Greco, Silvestro] Marine Adv Infrastruct CRIMAC, Amendolara, CS, Italy; [D'Angelo, Giovanna] Natl Res Council Italy IPCF CNR, Inst Chem Phys Proc, Messina, Italy</t>
  </si>
  <si>
    <t>Stazione Zoologica Anton Dohrn di Napoli; University of Messina; University of Genoa; University of Messina; Italian Institute for Environmental Protection &amp; Research (ISPRA); Consiglio Nazionale delle Ricerche (CNR); Istituto di Scienze Polari (ISP-CNR); Stazione Zoologica Anton Dohrn di Napoli</t>
  </si>
  <si>
    <t>Mancuso, M (corresponding author), Inst Marine Biol Resources &amp; Biotechnol IRBIM CNR, Messina, Italy.;Mancuso, M (corresponding author), Stn Zool Anton Dohrn, Sicily Marine Ctr, Natl Inst Biol Ecol &amp; Marine Biotechnol, Dept Integrat Marine Ecol EMI, Messina, Italy.;D'Angelo, G (corresponding author), Univ Messina, Dept Math &amp; Computat Sci Phys Sci &amp; Earth Sci, Messina, Italy.;D'Angelo, G (corresponding author), Natl Res Council Italy IPCF CNR, Inst Chem Phys Proc, Messina, Italy.</t>
  </si>
  <si>
    <t>giovanna.dangelo@unime.it; monique.mancuso@irbim.cnr.it</t>
  </si>
  <si>
    <t>Grotti, Marco/HGU-3949-2022; Nibali, Valeria Conti/L-1260-2016; azzaro, Maurizio/AAE-6784-2019</t>
  </si>
  <si>
    <t>Grotti, Marco/0000-0001-6956-5761; azzaro, Maurizio/0000-0001-7885-2340; SAVOCA, SERENA/0000-0001-5207-6582; Conti Nibali, Valeria/0000-0002-5269-7132</t>
  </si>
  <si>
    <t>10.1038/s41598-022-21670-x</t>
  </si>
  <si>
    <t>5U0RL</t>
  </si>
  <si>
    <t>WOS:000876261700030</t>
  </si>
  <si>
    <t>Colarusso, A; Lauro, C; Calvanese, M; Parrilli, E; Tutino, ML</t>
  </si>
  <si>
    <t>Colarusso, Andrea; Lauro, Concetta; Calvanese, Marzia; Parrilli, Ermenegilda; Tutino, Maria Luisa</t>
  </si>
  <si>
    <t>Active human full-length CDKL5 produced in the Antarctic bacterium Pseudoalteromonas haloplanktis TAC125</t>
  </si>
  <si>
    <t>Pseudoalteromonas haloplanktis TAC125; Antarctic bacterium; Psychrophilic gene expression system; Intrinsically disordered protein (IDP); Bicistronic design; In cellulo kinase assay; Tricistronic design; Recombinant protein aggregation; Recombinant protein condensation</t>
  </si>
  <si>
    <t>KINASE; EXPRESSION; PROTEINS; GENOME; MODEL</t>
  </si>
  <si>
    <t>Background A significant fraction of the human proteome is still inaccessible to in vitro studies since the recombinant production of several proteins failed in conventional cell factories. Eukaryotic protein kinases are difficult-to-express in heterologous hosts due to folding issues both related to their catalytic and regulatory domains. Human CDKL5 belongs to this category. It is a serine/threonine protein kinase whose mutations are involved in CDKL5 Deficiency Disorder (CDD), a severe neurodevelopmental pathology still lacking a therapeutic intervention. The lack of successful CDKL5 manufacture hampered the exploitation of the otherwise highly promising enzyme replacement therapy. As almost two-thirds of the enzyme sequence is predicted to be intrinsically disordered, the recombinant product is either subjected to a massive proteolytic attack by host-encoded proteases or tends to form aggregates. Therefore, the use of an unconventional expression system can constitute a valid alternative to solve these issues. Results Using a multiparametric approach we managed to optimize the transcription of the CDKL5 gene and the synthesis of the recombinant protein in the Antarctic bacterium Pseudoalteromonas haloplanktis TAC125 applying a bicistronic expression strategy, whose generalization for recombinant expression in the cold has been here confirmed with the use of a fluorescent reporter. The recombinant protein largely accumulated as a full-length product in the soluble cell lysate. We also demonstrated for the first time that full-length CDKL5 produced in Antarctic bacteria is catalytically active by using two independent assays, making feasible its recovery in native conditions from bacterial lysates as an active product, a result unmet in other bacteria so far. Finally, the setup of an in cellulo kinase assay allowed us to measure the impact of several CDD missense mutations on the kinase activity, providing new information towards a better understanding of CDD pathophysiology. Conclusions Collectively, our data indicate that P. haloplanktis TAC125 can be a valuable platform for both the preparation of soluble active human CDKL5 and the study of structural-functional relationships in wild type and mutant CDKL5 forms. Furthermore, this paper further confirms the more general potentialities of exploitation of Antarctic bacteria to produce intractable proteins, especially those containing large intrinsically disordered regions.</t>
  </si>
  <si>
    <t>[Colarusso, Andrea; Lauro, Concetta; Calvanese, Marzia; Parrilli, Ermenegilda; Tutino, Maria Luisa] Complesso Univ Monte S Angelo, Federico II Univ Naples, Dept Chem Sci, Via Cintia, I-80126 Naples, Italy; [Colarusso, Andrea; Lauro, Concetta] Ist Nazl Biostrutture &amp; Biosistemi INBB, Viale Medaglie dOro 305, I-00136 Rome, Italy</t>
  </si>
  <si>
    <t>Tutino, ML (corresponding author), Complesso Univ Monte S Angelo, Federico II Univ Naples, Dept Chem Sci, Via Cintia, I-80126 Naples, Italy.</t>
  </si>
  <si>
    <t>tutino@unina.it</t>
  </si>
  <si>
    <t>Lauro, Concetta/0000-0003-0139-5166; Calvanese, Marzia/0000-0002-7554-0680; parrilli, ermenegilda/0000-0002-9002-5409</t>
  </si>
  <si>
    <t>University of Pennsylvania Orphan Disease Center on behalf of the Loulou Foundation [CDKL5-20-101-08]; Italian Parents' Association La fabbrica dei sogni 2-New developments for Rett syndrome; Italian Parents' Association CONRETT ONLUS</t>
  </si>
  <si>
    <t>University of Pennsylvania Orphan Disease Center on behalf of the Loulou Foundation; Italian Parents' Association La fabbrica dei sogni 2-New developments for Rett syndrome; Italian Parents' Association CONRETT ONLUS</t>
  </si>
  <si>
    <t>This research was funded by a research grant from the University of Pennsylvania Orphan Disease Center on behalf of the Loulou Foundation to MLT (pilot award no. CDKL5-20-101-08), by the Italian Parents' Association La fabbrica dei sogni 2-New developments for Rett syndrome (to A.C., M.C., C.L., E.P. and M.L.T.), and by the Italian Parents' Association CONRETT ONLUS (to A.C. and C.L.).</t>
  </si>
  <si>
    <t>10.1186/s12934-022-01939-6</t>
  </si>
  <si>
    <t>5Q1MJ</t>
  </si>
  <si>
    <t>WOS:000873602600002</t>
  </si>
  <si>
    <t>Watt, CEJ; Allison, HJ; Bentley, SN; Thompson, RL; Rae, IJ; Allanson, O; Meredith, NP; Ross, JPJ; Glauert, SA; Horne, RB; Zhang, S; Murphy, KR; Rasinskaite, D; Killey, S</t>
  </si>
  <si>
    <t>Watt, Clare E. J.; Allison, Hayley J.; Bentley, Sarah N.; Thompson, Rhys L.; Rae, I. Jonathan; Allanson, Oliver; Meredith, Nigel P.; Ross, Johnathan P. J.; Glauert, Sarah A.; Horne, Richard B.; Zhang, Shuai; Murphy, Kyle R.; Rasinskaite, Dovile; Killey, Shannon</t>
  </si>
  <si>
    <t>Temporal variability of quasi-linear pitch-angle diffusion</t>
  </si>
  <si>
    <t>wave-particle interactions; radiation belt; quasilinear; temporal variability; stochastic</t>
  </si>
  <si>
    <t>RADIATION-BELT ELECTRONS; WAVE-PARTICLE INTERACTIONS; PLASMASPHERIC HISS; RELATIVISTIC ELECTRONS; LOCAL ACCELERATION; CHORUS; DYNAMICS; MODEL; MAGNETOSPHERE; EVOLUTION</t>
  </si>
  <si>
    <t>Kinetic wave-particle interactions in Earth's outer radiation belt energize and scatter high-energy electrons, playing an important role in the dynamic variation of the extent and intensity of the outer belt. It is possible to model the effects of wave-particle interactions across long length and time scales using quasi-linear theory, leading to a Fokker-Planck equation to describe the effects of the waves on the high energy electrons. This powerful theory renders the efficacy of the wave-particle interaction in a diffusion coefficient that varies with energy or momentum and pitch angle. In this article we determine how the Fokker-Planck equation responds to the temporal variation of the quasi-linear diffusion coefficient in the case of pitch-angle diffusion due to plasmaspheric hiss. Guided by in-situ observations of how hiss wave activity and local number density change in time, we use stochastic parameterisation to describe the temporal evolution of hiss diffusion coefficients in ensemble numerical experiments. These experiments are informed by observations from three different example locations in near-Earth space, and a comparison of the results indicates that local differences in the distribution of diffusion coefficients can result in material differences to the ensemble solutions. We demonstrate that ensemble solutions of the Fokker-Planck equation depend both upon the timescale of variability (varied between minutes and hours), and the shape of the distribution of diffusion coefficients. Based upon theoretical construction of the diffusion coefficients and the results presented here, we argue that there is a useful maximum averaging timescale that should be used to construct a diffusion coefficient from observations, and that this timescale is likely less than the orbital period of most inner magnetospheric missions. We discuss time and length scales of wave-particle interactions relative to the drift velocity of high-energy electrons and confirm that arithmetic drift-averaging is can be appropriate in some cases. We show that in some locations, rare but large values of the diffusion coefficient occur during periods of relatively low number density. Ensemble solutions are sensitive to the presence of these rare values, supporting the need for accurate cold plasma density models in radiation belt descriptions.</t>
  </si>
  <si>
    <t>[Watt, Clare E. J.; Bentley, Sarah N.; Rae, I. Jonathan; Murphy, Kyle R.; Rasinskaite, Dovile; Killey, Shannon] Northumbria Univ, Dept Math Phys &amp; Elect Engn, Newcastle Upon Tyne, England; [Allison, Hayley J.] GFZ German Res Ctr Geosci, Potsdam, Germany; [Thompson, Rhys L.] Univ Reading, Dept Math &amp; Stat, Reading, England; [Allanson, Oliver] Univ Exeter, Dept Math, Penryn Cornwall Campus, Penryn, England; [Meredith, Nigel P.; Ross, Johnathan P. J.; Glauert, Sarah A.; Horne, Richard B.] British Antarctic Survey, Cambridge, England; [Zhang, Shuai] Southern Univ Sci &amp; Technol, Dept Earth &amp; Space Sci, Shenzhen, Peoples R China; [Murphy, Kyle R.] Univ Maryland, Dept Astron, College Pk, MD USA</t>
  </si>
  <si>
    <t>Northumbria University; Helmholtz Association; Helmholtz-Center Potsdam GFZ German Research Center for Geosciences; University of Reading; University of Exeter; UK Research &amp; Innovation (UKRI); Natural Environment Research Council (NERC); NERC British Antarctic Survey; Southern University of Science &amp; Technology; University System of Maryland; University of Maryland College Park</t>
  </si>
  <si>
    <t>Watt, CEJ (corresponding author), Northumbria Univ, Dept Math Phys &amp; Elect Engn, Newcastle Upon Tyne, England.</t>
  </si>
  <si>
    <t>clare.watt@northumbria.ac.uk</t>
  </si>
  <si>
    <t>Rasinskaite, Dovile/HOH-5649-2023; Rae, Jonathan/D-8132-2013; Horne, Richard B/U-3764-2019; Watt, Clare/C-5218-2008</t>
  </si>
  <si>
    <t>Rae, Jonathan/0000-0002-2637-4786; Horne, Richard B/0000-0002-0412-6407; Killey, Shannon/0000-0002-1685-1884; Allanson, Oliver/0000-0003-2353-8586; Watt, Clare/0000-0003-3193-8993; Bentley, Sarah N/0000-0002-0095-1979</t>
  </si>
  <si>
    <t>Natural Environment Research Council (NERC) Highlight Topic consortium Rad-Sat,; Space Weather Instrumentation, Measurement, Modelling and Risk (SWIMMR) Strategic Priorities Fund consortium Sat-Risk.; Science and Technology Facilities Council (STFC); Natural Environment Research Council (NERC) [ST/W000369/1]; Alexander von Humboldt Postdoctoral Research Fellowship [NE/P017274/1, NE/V002759/2]; STFC; NERC [ST/V006320/1]; University of Exeter [NE/P017185/1, NE/V002554/2, NE/P01738X/1, NE/V00249X/1, NE/R016038/1]; United Kingdom Natural Environment Research Council (NERC); [NE/V013963/1]; NERC [NE/R016038/1, NE/V013963/1] Funding Source: UKRI</t>
  </si>
  <si>
    <t>Natural Environment Research Council (NERC) Highlight Topic consortium Rad-Sat,(UK Research &amp; Innovation (UKRI)Natural Environment Research Council (NERC)); Space Weather Instrumentation, Measurement, Modelling and Risk (SWIMMR) Strategic Priorities Fund consortium Sat-Risk.; Science and Technology Facilities Council (STFC)(UK Research &amp; Innovation (UKRI)Science &amp; Technology Facilities Council (STFC)Science and Technology Development Fund (STDF)); Natural Environment Research Council (NERC)(UK Research &amp; Innovation (UKRI)Natural Environment Research Council (NERC)); Alexander von Humboldt Postdoctoral Research Fellowship(Alexander von Humboldt Foundation); STFC(UK Research &amp; Innovation (UKRI)Science &amp; Technology Facilities Council (STFC)); NERC(UK Research &amp; Innovation (UKRI)Natural Environment Research Council (NERC)); University of Exeter; United Kingdom Natural Environment Research Council (NERC)(UK Research &amp; Innovation (UKRI)Natural Environment Research Council (NERC)); ; NERC(UK Research &amp; Innovation (UKRI)Natural Environment Research Council (NERC))</t>
  </si>
  <si>
    <t>This work was enabled by collaborations supported by the Natural Environment Research Council (NERC) Highlight Topic consortium Rad-Sat, and the Space Weather Instrumentation, Measurement, Modelling and Risk (SWIMMR) Strategic Priorities Fund consortium Sat-Risk. Individual grant numbers are noted below. CW is supported by Science and Technology Facilities Council (STFC) grant ST/W000369/1 and Natural Environment Research Council (NERC) grants NE/P017274/1 (Rad-Sat) and NE/V002759/2 (Sat-Risk). HA is supported by an Alexander von Humboldt Postdoctoral Research Fellowship. IR acknowledges support from STFC grant ST/V006320/1 and NERC grants NE/P017185/1 (Rad-Sat) and NE/V002554/2 (Sat-Risk). NM, RH, SG, and JR would like to acknowledge financial support from the NERC Highlight Topic grant NE/P01738X/1 (Rad-Sat) and the NERC grants NE/V00249X/1 (Sat-Risk) and NE/R016038/1. OA acknowledges financial support from the University of Exeter and from the United Kingdom Natural Environment Research Council (NERC) Independent Research Fellowship NE/V013963/1, as well as NE/P017274/1 (Rad-Sat).</t>
  </si>
  <si>
    <t>OCT 13</t>
  </si>
  <si>
    <t>10.3389/fspas.2022.1004634</t>
  </si>
  <si>
    <t>5U4FU</t>
  </si>
  <si>
    <t>WOS:000876505600001</t>
  </si>
  <si>
    <t>Giannattasio, F; Consolini, G; Coco, I; De Michelis, P; Pezzopane, M; Pignalberi, A; Tozzi, R</t>
  </si>
  <si>
    <t>Giannattasio, Fabio; Consolini, Giuseppe; Coco, Igino; De Michelis, Paola; Pezzopane, Michael; Pignalberi, Alessio; Tozzi, Roberta</t>
  </si>
  <si>
    <t>Dissipation of field-aligned currents in the topside ionosphere</t>
  </si>
  <si>
    <t>POLAR-CAP; AURORAL IONOSPHERE; CONSTELLATION; INDEX; SWARM; AE</t>
  </si>
  <si>
    <t>Field-aligned currents (FACs) are electric currents parallel to the geomagnetic field and connecting the Earth's magnetosphere to the high-latitude ionosphere. Part of the energy injected into the ionosphere by FACs is converted into kinetic energy of the surrounding plasma. Such a current dissipation is poorly investigated, mainly due to the high electrical conductivity and the small electric field strength expected in direction parallel to the geomagnetic field. However, previous results in literature have shown that parallel electric field is not null (and may be locally not negligible), and that parallel electrical conductivity is high but finite. Thus, dissipation of FACs may occur. In this work, for the first time, we show maps of power density dissipation features associated with FACs in the topside ionosphere of the Northern hemisphere. To this aim, we use a 6-year time series of data at one second cadence acquired by the European Space Agency's Swarm A satellite flying at an altitude of about 460 km. In particular, we use data from the Langmuir probe together with the FAC product provided by the Swarm team. The results obtained point out that dissipation of FACs, even if small when compared to that associated with horizontal currents flowing about 350 km lower, is not null and shows evident features co-located with electron temperature at the same altitude. In particular, power density dissipation features are enhanced mainly in the ionospheric regions where intense energy injection from the magnetosphere occurs. In addition, these features depend on geomagnetic activity, which quantifies the response of the Earth's environment to energetic forcing from magnetized plasma of solar origin.</t>
  </si>
  <si>
    <t>[Giannattasio, Fabio; Coco, Igino; De Michelis, Paola; Pezzopane, Michael; Pignalberi, Alessio; Tozzi, Roberta] Ist Nazl Geofis &amp; Vulcanol, Via Vigna Murata 605, I-00143 Rome, Italy; [Consolini, Giuseppe] INAF Ist Astrofis &amp; Planetol Spaziali, Via Fosso Cavaliere, I-00133 Rome, Italy</t>
  </si>
  <si>
    <t>Istituto Nazionale Geofisica e Vulcanologia (INGV); Istituto Nazionale Astrofisica (INAF)</t>
  </si>
  <si>
    <t>Giannattasio, F (corresponding author), Ist Nazl Geofis &amp; Vulcanol, Via Vigna Murata 605, I-00143 Rome, Italy.</t>
  </si>
  <si>
    <t>fabio.giannattasio@ingv.it</t>
  </si>
  <si>
    <t>Tozzi, Roberta/ABP-8925-2022; Pignalberi, Alessio/Q-6727-2019</t>
  </si>
  <si>
    <t>Tozzi, Roberta/0000-0002-1836-4078; Pignalberi, Alessio/0000-0001-9459-4919; CONSOLINI, Giuseppe/0000-0002-3403-647X</t>
  </si>
  <si>
    <t>Italian National Program for Antarctic Research [PNRA18 00289-SPIRiT]; Italian MIUR-PRIN [2017APKP7T]</t>
  </si>
  <si>
    <t>Italian National Program for Antarctic Research; Italian MIUR-PRIN(Ministry of Education, Universities and Research (MIUR)Research Projects of National Relevance (PRIN))</t>
  </si>
  <si>
    <t>The results presented rely on data collected by one of the three satellites of the Swarm constellation, for which we thank the European Space Agency (ESA) that supports the Swarm mission, and on AE geomagnetic index calculated and made available by ISGI collaborating Institutes from data collected at magnetic observatories. For AE index we thank the involved national institutes, the INTERMAGNET network and ISGI (isgi.unistra.fr). This work is supported by the Italian National Program for Antarctic Research under contract N. PNRA18 00289-SPIRiT and partially supported by the Italian MIUR-PRIN grant 2017APKP7T on Circumterrestrial Environment: Impact of Sun-Earth Interaction.</t>
  </si>
  <si>
    <t>10.1038/s41598-022-21503-x</t>
  </si>
  <si>
    <t>5H7YC</t>
  </si>
  <si>
    <t>WOS:000867889200023</t>
  </si>
  <si>
    <t>Stober, G; Liu, A; Kozlovsky, A; Qiao, ZS; Kuchar, A; Jacobi, C; Meek, C; Janches, D; Liu, GP; Tsutsumi, M; Gulbrandsen, N; Nozawa, S; Lester, M; Belova, E; Kero, J; Mitchell, N</t>
  </si>
  <si>
    <t>Stober, Gunter; Liu, Alan; Kozlovsky, Alexander; Qiao, Zishun; Kuchar, Ales; Jacobi, Christoph; Meek, Chris; Janches, Diego; Liu, Guiping; Tsutsumi, Masaki; Gulbrandsen, Njal; Nozawa, Satonori; Lester, Mark; Belova, Evgenia; Kero, Johan; Mitchell, Nicholas</t>
  </si>
  <si>
    <t>Meteor radar vertical wind observation biases and mathematical debiasing strategies including the 3DVAR+DIV algorithm</t>
  </si>
  <si>
    <t>STREAM SURVEY; GRAVITY-WAVES; ORBIT-RADAR; ATMOSPHERE COMPONENT; GENERAL-CIRCULATION; MESOSPHERIC WINDS; SUMMER MESOPAUSE; MOTION FIELD; STOKES DRIFT; ICON-A</t>
  </si>
  <si>
    <t>Meteor radars have become widely used instruments to study atmospheric dynamics, particularly in the 70 to 110 km altitude region. These systems have been proven to provide reliable and continuous measurements of horizontal winds in the mesosphere and lower thermosphere. Recently, there have been many attempts to utilize specular and/or transverse scatter meteor measurements to estimate vertical winds and vertical wind variability. In this study we investigate potential biases in vertical wind estimation that are intrinsic to the meteor radar observation geometry and scattering mechanism, and we introduce a mathematical debiasing process to mitigate them. This process makes use of a spatiotemporal Laplace filter, which is based on a generalized Tikhonov regularization. Vertical winds obtained from this retrieval algorithm are compared to UA-ICON model data. This comparison reveals good agreement in the statistical moments of the vertical velocity distributions. Furthermore, we present the first observational indications of a forward scatter wind bias. It appears to be caused by the scattering center's apparent motion along the meteor trajectory when the meteoric plasma column is drifted by the wind. The hypothesis is tested by a radiant mapping of two meteor showers. Finally, we introduce a new retrieval algorithm providing a physically and mathematically sound solution to derive vertical winds and wind variability from multistatic meteor radar networks such as the Nordic Meteor Radar Cluster (NORDIC) and the Chilean Observation Network De meteOr Radars (CONDOR). The new retrieval is called 3DVAR+DIV and includes additional diagnostics such as the horizontal divergence and relative vorticity to ensure a physically consistent solution for all 3D winds in spatially resolved domains. Based on this new algorithm we obtained vertical velocities in the range of w = +/- 1-2 ms(-1) for most of the analyzed data during 2 years of collection, which is consistent with the values reported from general circulation models (GCMs) for this timescale and spatial resolution.</t>
  </si>
  <si>
    <t>[Stober, Gunter] Univ Bern, Inst Appl Phys, Bern, Switzerland; [Stober, Gunter] Univ Bern, Oeschger Ctr Climate Change Res, Microwave Phys, Bern, Switzerland; [Liu, Alan; Qiao, Zishun] Embry Riddle Aeronaut Univ, Ctr Space &amp; Atmospher Res, Daytona Beach, FL USA; [Liu, Alan; Qiao, Zishun] Embry Riddle Aeronaut Univ, Dept Phys Sci, Daytona Beach, FL USA; [Kozlovsky, Alexander] Univ Oulu, Sodankyla Geophys Observ, Oulu, Finland; [Kuchar, Ales; Jacobi, Christoph] Univ Leipzig, Inst Meteorol, Leipzig, Germany; [Meek, Chris] Univ Saskatchewan, Phys &amp; Engn Phys, Saskatoon, SK, Canada; [Janches, Diego; Liu, Guiping] NASA, ITM Phys Lab, Goddard Space Flight Ctr, Mail Code 675, Greenbelt, MD 20771 USA; [Liu, Guiping] Univ Calif Berkeley, Space Sci Lab, Berkeley, CA 94720 USA; [Tsutsumi, Masaki] Natl Inst Polar Res, Tachikawa, Tokyo, Japan; [Tsutsumi, Masaki] Grad Univ Adv Studies SOKENDAI, Tokyo, Japan; [Gulbrandsen, Njal] UiT Arctic Univ Norway, Tromso Geophys Observ, Tromso, Norway; [Nozawa, Satonori] Nagoya Univ, Div Ionospher &amp; Magnetospher Res, Inst Space Earth Environm Res, Nagoya, Aichi, Japan; [Lester, Mark] Univ Leicester, Dept Phys &amp; Astron, Leicester, Leics, England; [Belova, Evgenia; Kero, Johan] Swedish Inst Space Phys IRF, Kiruna, Sweden; [Mitchell, Nicholas] British Antarctic Survey, Cambridge, England; [Mitchell, Nicholas] Univ Bath, Dept Elect &amp; Elect Engn, Bath, Avon, England</t>
  </si>
  <si>
    <t>University of Bern; University of Bern; Embry-Riddle Aeronautical University; Embry-Riddle Aeronautical University; University of Oulu; Leipzig University; University of Saskatchewan; National Aeronautics &amp; Space Administration (NASA); NASA Goddard Space Flight Center; University of California System; University of California Berkeley; Research Organization of Information &amp; Systems (ROIS); National Institute of Polar Research (NIPR) - Japan; Graduate University for Advanced Studies - Japan; UiT The Arctic University of Tromso; Nagoya University; University of Leicester; UK Research &amp; Innovation (UKRI); Natural Environment Research Council (NERC); NERC British Antarctic Survey; University of Bath</t>
  </si>
  <si>
    <t>Stober, G (corresponding author), Univ Bern, Inst Appl Phys, Bern, Switzerland.;Stober, G (corresponding author), Univ Bern, Oeschger Ctr Climate Change Res, Microwave Phys, Bern, Switzerland.</t>
  </si>
  <si>
    <t>gunter.stober@unibe.ch</t>
  </si>
  <si>
    <t>Lester, Mark/C-9657-2016; Kuchar, Ales/Q-2505-2017</t>
  </si>
  <si>
    <t>Stober, Gunter/0000-0002-7909-6345; Jacobi, Christoph/0000-0002-7878-0110; Kuchar, Ales/0000-0002-3672-6626; Gulbrandsen, Njal/0000-0002-5009-0652; Qiao, Zishun/0000-0001-6900-7313</t>
  </si>
  <si>
    <t>National Science Foundation (NSF) [1828589]; Deutsche Forschungsgemeinschaft [JA 836/43-1]; NASA Heliophysics ISFM program; STFC [ST/S000429/1]; Japan Society for the Promotion of Science (JSPS) [17H02968]; NASA NESC assessment [TI-17-01204]; NASA Meteoroid Environment Office [80NSSC18M0046]; Div Atmospheric &amp; Geospace Sciences; Directorate For Geosciences [1828589] Funding Source: National Science Foundation; STFC [ST/S000429/1, ST/W00089X/1] Funding Source: UKRI</t>
  </si>
  <si>
    <t>National Science Foundation (NSF)(National Science Foundation (NSF)National Research Foundation of Korea); Deutsche Forschungsgemeinschaft(German Research Foundation (DFG)); NASA Heliophysics ISFM program; STFC(UK Research &amp; Innovation (UKRI)Science &amp; Technology Facilities Council (STFC)); Japan Society for the Promotion of Science (JSPS)(Ministry of Education, Culture, Sports, Science and Technology, Japan (MEXT)Japan Society for the Promotion of Science); NASA NESC assessment; NASA Meteoroid Environment Office; Div Atmospheric &amp; Geospace Sciences; Directorate For Geosciences(National Science Foundation (NSF)NSF - Directorate for Geosciences (GEO)); STFC(UK Research &amp; Innovation (UKRI)Science &amp; Technology Facilities Council (STFC))</t>
  </si>
  <si>
    <t>This research has been supported by the National Science Foundation (NSF, grant no. 1828589), the Deutsche Forschungsgemeinschaft (grant no. JA 836/43-1), the NASA Heliophysics ISFM program, NASA NESC assessment TI-17-01204, the NASA Meteoroid Environment Office (grant no. 80NSSC18M0046), the STFC (grant no. ST/S000429/1), and the Japan Society for the Promotion of Science (JSPS, Grants-inAid for Scientific Research, grant no. 17H02968).</t>
  </si>
  <si>
    <t>10.5194/amt-15-5769-2022</t>
  </si>
  <si>
    <t>5F8HV</t>
  </si>
  <si>
    <t>WOS:000866553700001</t>
  </si>
  <si>
    <t>Lu, Y; Li, WH; Li, YL; Zhai, WY; Zhou, XM; Wu, ZC; Jiang, SW; Liu, TG; Wang, HM; Hu, RQ; Zhou, Y; Zou, J; Hu, P; Guan, GJ; Xu, QH; Canário, AVM; Chen, LB</t>
  </si>
  <si>
    <t>Lu, Ying; Li, Wenhao; Li, Yalin; Zhai, Wanying; Zhou, Xuming; Wu, Zhichao; Jiang, Shouwen; Liu, Taigang; Wang, Huamin; Hu, Ruiqin; Zhou, Yan; Zou, Jun; Hu, Peng; Guan, Guijun; Xu, Qianghua; Canario, Adelino V. M.; Chen, Liangbiao</t>
  </si>
  <si>
    <t>Population genomics of an icefish reveals mechanisms of glacier-driven adaptive radiation in Antarctic notothenioids</t>
  </si>
  <si>
    <t>BMC BIOLOGY</t>
  </si>
  <si>
    <t>Quaternary glacial cycles; Selection sweep; Reproductive isolation; Gut microbiota; Adaptive radiation</t>
  </si>
  <si>
    <t>COMPLETE MITOCHONDRIAL GENOME; PHYLOGENETIC ANALYSIS; SPRING VIREMIA; ALIGNMENT; HISTORY; FISH; CHANNICHTHYIDAE; GENERATION; ANTIFREEZE; MAXIMUM</t>
  </si>
  <si>
    <t>Background Antarctica harbors the bulk of the species diversity of the dominant teleost fish suborder-Notothenioidei. However, the forces that shape their evolution are still under debate. Results We sequenced the genome of an icefish, Chionodraco hamatus, and used population genomics and demographic modelling of sequenced genomes of 52 C. hamatus individuals collected mainly from two East Antarctic regions to investigate the factors driving speciation. Results revealed four icefish populations with clear reproduction separation were established 15 to 50 kya (kilo years ago) during the last glacial maxima (LGM). Selection sweeps in genes involving immune responses, cardiovascular development, and photoperception occurred differentially among the populations and were correlated with population-specific microbial communities and acquisition of distinct morphological features in the icefish taxa. Population and species-specific antifreeze glycoprotein gene expansion and glacial cycle-paced duplication/degeneration of the zona pellucida protein gene families indicated fluctuating thermal environments and periodic influence of glacial cycles on notothenioid divergence. Conclusions We revealed a series of genomic evidence indicating differential adaptation of C. hamatus populations and notothenioid species divergence in the extreme and unique marine environment. We conclude that geographic separation and adaptation to heterogeneous pathogen, oxygen, and light conditions of local habitats, periodically shaped by the glacial cycles, were the key drivers propelling species diversity in Antarctica.</t>
  </si>
  <si>
    <t>[Lu, Ying; Li, Wenhao; Li, Yalin; Zhai, Wanying; Wu, Zhichao; Jiang, Shouwen; Wang, Huamin; Hu, Ruiqin; Zhou, Yan; Zou, Jun; Hu, Peng; Guan, Guijun; Xu, Qianghua; Chen, Liangbiao] Shanghai Ocean Univ, Minist Educ, Key Lab Explorat &amp; Utilizat Aquat Genet Resources, Shanghai, Peoples R China; [Lu, Ying; Li, Wenhao; Li, Yalin; Zhai, Wanying; Wu, Zhichao; Jiang, Shouwen; Liu, Taigang; Wang, Huamin; Hu, Ruiqin; Zhou, Yan; Zou, Jun; Hu, Peng; Guan, Guijun; Xu, Qianghua; Canario, Adelino V. M.; Chen, Liangbiao] Shanghai Ocean Univ, Minist Sci &amp; Technol, Int Res Ctr Marine Biosci, Shanghai, Peoples R China; [Zhou, Xuming] Chinese Acad Sci, Inst Zool, Beijing, Peoples R China; [Liu, Taigang] Shanghai Ocean Univ, Coll Informat Technol, Shanghai, Peoples R China; [Canario, Adelino V. M.] Univ Algarve, Ctr Marine Sci CCMAR CIMAR LA, Faro, Portugal</t>
  </si>
  <si>
    <t>Shanghai Ocean University; Shanghai Ocean University; Chinese Academy of Sciences; Institute of Zoology, CAS; Shanghai Ocean University; Universidade do Algarve</t>
  </si>
  <si>
    <t>Xu, QH; Chen, LB (corresponding author), Shanghai Ocean Univ, Minist Educ, Key Lab Explorat &amp; Utilizat Aquat Genet Resources, Shanghai, Peoples R China.;Xu, QH; Canário, AVM; Chen, LB (corresponding author), Shanghai Ocean Univ, Minist Sci &amp; Technol, Int Res Ctr Marine Biosci, Shanghai, Peoples R China.;Canário, AVM (corresponding author), Univ Algarve, Ctr Marine Sci CCMAR CIMAR LA, Faro, Portugal.</t>
  </si>
  <si>
    <t>qhxu@shou.edu.cn; acanario@ualg.pt; lbchen@shou.edu.cn</t>
  </si>
  <si>
    <t>Liu, Taigang/HGF-0312-2022; Wang, Huamin/J-8701-2012; Liu, Xiangyan/JTV-4868-2023; chen, minghui/KFR-8832-2024; li, fangyu/KCY-0521-2024; Canario, Adelino/C-7942-2009</t>
  </si>
  <si>
    <t>li, fangyu/0009-0009-8303-9157; Canario, Adelino/0000-0002-6244-6468; li, wenhao/0000-0001-5209-8933; Lu, Ying/0000-0002-2509-9209</t>
  </si>
  <si>
    <t>National Key Research and Development Program of China [2018YFD0900600]; Shanghai Education Committee [2017-01-07-00-10-E00060]; National Natural Science Foundation of China [31572598, 31772826, 41761134050]</t>
  </si>
  <si>
    <t>National Key Research and Development Program of China; Shanghai Education Committee; National Natural Science Foundation of China(National Natural Science Foundation of China (NSFC))</t>
  </si>
  <si>
    <t>The work was supported by grants from the National Key Research and Development Program of China (2018YFD0900600), the Major Science Innovation Grant (2017-01-07-00-10-E00060) from the Shanghai Education Committee and the National Natural Science Foundation of China (No. 41761134050) to LC, and the National Natural Science Foundation of China (No. 31572598 and 31772826) to QX.</t>
  </si>
  <si>
    <t>1741-7007</t>
  </si>
  <si>
    <t>BMC BIOL</t>
  </si>
  <si>
    <t>BMC Biol.</t>
  </si>
  <si>
    <t>10.1186/s12915-022-01432-x</t>
  </si>
  <si>
    <t>5F7IN</t>
  </si>
  <si>
    <t>WOS:000866485500001</t>
  </si>
  <si>
    <t>Barnes, JM; Gudmundsson, GH</t>
  </si>
  <si>
    <t>Barnes, Jowan M.; Gudmundsson, G. Hilmar</t>
  </si>
  <si>
    <t>The predictive power of ice sheet models and the regional sensitivity of ice loss to basal sliding parameterisations: a case study of Pine Island and Thwaites glaciers, West Antarctica</t>
  </si>
  <si>
    <t>AMUNDSEN SEA EMBAYMENT; INTERCOMPARISON PROJECT; MASS-LOSS; FRICTION; BASIN; FLOW; RETREAT; LEVEL</t>
  </si>
  <si>
    <t>Ice sheet models use a wide range of sliding laws to define a relationship between ice velocity and basal drag, generally comprising some combination of a Weertman-style power law and Coulomb friction. The exact nature of basal sliding is not known from observational data, making assessment of the suitability of different sliding laws difficult. The question of how much this choice could affect predictions of future ice sheet evolution is an important one. Here we conduct a model study of a large sector of the West Antarctic Ice Sheet (WAIS), a particularly critical component of the cryosphere, using a range of sliding parameterisations, and we provide an assessment of the sensitivity of ice loss to the choice of sliding law. We show that, after initialisation, various sliding laws result in broadly similar ranges of sea level contribution over 100 years, with the range primarily dependent on exact parameter values used in each sliding law. Comparing mass loss from Thwaites and Pine Island glaciers and the neighbouring regions reveals significant qualitative geographical differences in the relationship between sliding parameters and the modelled response to changes in forcing. We show that the responses do not necessarily follow universal systematic patterns, and, in particular, higher values of the sliding exponent m do not necessarily imply larger rates of mass loss. Despite differences in the magnitudes of ice loss and rates of change in the system, all of our experiments display broad similarities in behaviour which serve to reinforce the decade-to-century-scale predictive power of ice sheet models, regardless of the choice of basal sliding.</t>
  </si>
  <si>
    <t>[Barnes, Jowan M.; Gudmundsson, G. Hilmar] Northumbria Univ, Dept Geog &amp; Environm Sci, Newcastle Upon Tyne, Tyne &amp; Wear, England</t>
  </si>
  <si>
    <t>Northumbria University</t>
  </si>
  <si>
    <t>Barnes, JM (corresponding author), Northumbria Univ, Dept Geog &amp; Environm Sci, Newcastle Upon Tyne, Tyne &amp; Wear, England.</t>
  </si>
  <si>
    <t>jowan.barnes@northumbria.ac.uk</t>
  </si>
  <si>
    <t>Barnes, Jowan/CAG-4750-2022; Gudmundsson, Gudmundur Hilmar/AAU-5987-2020</t>
  </si>
  <si>
    <t>Barnes, Jowan/0000-0002-5238-8970; Gudmundsson, Gudmundur Hilmar/0000-0003-4236-5369</t>
  </si>
  <si>
    <t>Natural Environment Research Council (NERC) [NE/S006745/]; NERC [NE/S006745/1] Funding Source: UKRI</t>
  </si>
  <si>
    <t>This research has been supported by the Natural Environment Research Council (NERC, grant no. NE/S006745/</t>
  </si>
  <si>
    <t>10.5194/tc-16-4291-2022</t>
  </si>
  <si>
    <t>5F6WK</t>
  </si>
  <si>
    <t>WOS:000866453600001</t>
  </si>
  <si>
    <t>Fu, JJ; Fu, DW; Zhang, GY; Zhang, ZH; Shao, ZW; Ma, ZH; Tang, Y; Zhou, DY; Song, L</t>
  </si>
  <si>
    <t>Fu, Jing-jing; Fu, Dong-wen; Zhang, Guang-yao; Zhang, Zhi-hui; Shao, Zhen-wen; Ma, Zhen-hua; Tang, Yue; Zhou, Da-yong; Song, Liang</t>
  </si>
  <si>
    <t>Oxidative stability and in vitro release behaviour of microencapsulated Antarctic krill oil and fish oil: the effect of lipid class composition</t>
  </si>
  <si>
    <t>In vitro release behaviour; microencapsulation; oxidative stability; phospholipids; spray drying; triacylglycerols</t>
  </si>
  <si>
    <t>WATER EMULSIONS; EMULSIFIER TYPE; FLAXSEED OIL; SEED OIL; DIGESTION; PROTEIN; ENCAPSULATION; TRIGLYCERIDE; POWDER; PLASMA</t>
  </si>
  <si>
    <t>Antarctic krill oil (AKO) and fish oil (FO) were microencapsulated by a pilot-scale spray dryer in this study. The effect of lipid class compositions on the encapsulation properties of the obtained microcapsules was investigated. The particle size distribution of both microcapsules ranged from 29.23 +/- 2.20 to 36.79 +/- 3.45 mu m, and the moisture content and water activity (a(w)) also indicated that both AKO and FO microcapsules were suitable for long-term storage. Interestingly, differences in lipid composition affected the microstructure of the microcapsules formed, thereby affecting their oxidative stability and digestive behaviour. Compared with FO microcapsules, the surface microstructure of PLs-enriched microcapsules (AKO microcapsules) was smoother, endowing it better oxidative stability and higher DHA (72.13 +/- 2.32% vs. 63.08 +/- 2.98%) and EPA (75.94 +/- 1.43% vs. 68.26 +/- 2.98%) bioaccessibility. These findings may have important implications for the development of microcapsules formulated with different lipid classes in the food industry.</t>
  </si>
  <si>
    <t>[Fu, Jing-jing; Fu, Dong-wen; Zhang, Guang-yao; Zhang, Zhi-hui; Tang, Yue; Zhou, Da-yong; Song, Liang] Dalian Polytech Univ, Sch Food Sci &amp; Technol, 1 Qinggongyuan, Dalian 116034, Peoples R China; [Shao, Zhen-wen] Qingdao Seawit Life Sci Co Ltd, Qingdao 370200, Peoples R China; [Ma, Zhen-hua] Chinese Acad Fishery Sci, Trop Aquaculture Res &amp; Dev Ctr, South China Sea Fisheries Res Inst, Sanya 572018, Peoples R China; [Tang, Yue; Zhou, Da-yong; Song, Liang] Natl Engn Res Ctr Seafood, 1 Qinggongyuan, Dalian 116034, Peoples R China</t>
  </si>
  <si>
    <t>Dalian Polytechnic University; Chinese Academy of Fishery Sciences; Dalian Polytechnic University</t>
  </si>
  <si>
    <t>Song, L (corresponding author), Dalian Polytech Univ, Sch Food Sci &amp; Technol, 1 Qinggongyuan, Dalian 116034, Peoples R China.;Song, L (corresponding author), Natl Engn Res Ctr Seafood, 1 Qinggongyuan, Dalian 116034, Peoples R China.</t>
  </si>
  <si>
    <t>ryo.song@foxmail.com</t>
  </si>
  <si>
    <t>tang, yu'e/IAO-9657-2023; Zhang, Guangyao/G-7364-2019</t>
  </si>
  <si>
    <t>Major R&amp;D Program for Science and Technology of Jiangxi Province [20203ABC28W015]; Basic scientific research project of colleges and universities of Liaoning Provincial Department of Education [LJKZ0547]; Dalian High-level Talent Innovation Support Program of China [2020RQ065]</t>
  </si>
  <si>
    <t>Major R&amp;D Program for Science and Technology of Jiangxi Province; Basic scientific research project of colleges and universities of Liaoning Provincial Department of Education; Dalian High-level Talent Innovation Support Program of China</t>
  </si>
  <si>
    <t>This work was financially supported by Major R&amp;D Program for Science and Technology of Jiangxi Province (20203ABC28W015), Basic scientific research project of colleges and universities of Liaoning Provincial Department of Education (LJKZ0547), and Dalian High-level Talent Innovation Support Program of China (2020RQ065).</t>
  </si>
  <si>
    <t>10.1111/ijfs.16099</t>
  </si>
  <si>
    <t>WOS:000866469200001</t>
  </si>
  <si>
    <t>Harrison, RG; Nicoll, KA</t>
  </si>
  <si>
    <t>Harrison, R. Giles; Nicoll, Keri A.</t>
  </si>
  <si>
    <t>The electricity of extensive layer clouds</t>
  </si>
  <si>
    <t>[Harrison, R. Giles; Nicoll, Keri A.] Univ Reading, Dept Meteorol, Reading, Berks, England</t>
  </si>
  <si>
    <t>University of Reading</t>
  </si>
  <si>
    <t>Harrison, RG (corresponding author), Univ Reading, Dept Meteorol, Reading, Berks, England.</t>
  </si>
  <si>
    <t>r.g.harrison@reading.ac.uk</t>
  </si>
  <si>
    <t>; Nicoll, Keri/L-6106-2017</t>
  </si>
  <si>
    <t>Harrison, Richard Giles/0000-0003-0693-347X; Nicoll, Keri/0000-0001-5580-6325</t>
  </si>
  <si>
    <t>Natural Environment Research Council (NERC) [NE/L011514/1, NE/L011514/2]; NERC [NE/H002081/1]; British Antarctic Survey (BAS); NERC [NE/L011514/2] Funding Source: UKRI</t>
  </si>
  <si>
    <t>Natural Environment Research Council (NERC)(UK Research &amp; Innovation (UKRI)Natural Environment Research Council (NERC)); NERC(UK Research &amp; Innovation (UKRI)Natural Environment Research Council (NERC)); British Antarctic Survey (BAS); NERC(UK Research &amp; Innovation (UKRI)Natural Environment Research Council (NERC))</t>
  </si>
  <si>
    <t>Keri A. Nicoll acknowledges an Independent Research Fellowship funded by the Natural Environment Research Council (NERC; NE/L011514/1) and (NE/L011514/2) and a NERC collaborative gearing scheme grant with the British Antarctic Survey (BAS). Radiosonde sensor development was supported by NERC (NE/H002081/1). David Maxfield and Mervyn Freeman at BAS and Thomas Ulich at Sodankyla Geophysical Observatory helped with obtaining the potential gradient measurements and balloon data.</t>
  </si>
  <si>
    <t>10.1002/wea.4307</t>
  </si>
  <si>
    <t>5Z2OW</t>
  </si>
  <si>
    <t>WOS:000866409800001</t>
  </si>
  <si>
    <t>Chen, C; Hilário, A; Rodrigues, CF; Ramirez-Llodra, E</t>
  </si>
  <si>
    <t>Chen, Chong; Hilario, Ana; Rodrigues, Clara F.; Ramirez-Llodra, Eva</t>
  </si>
  <si>
    <t>Integrative taxonomy of a new cocculinid limpet dominating the Aurora Vent Field in the central Arctic ocean</t>
  </si>
  <si>
    <t>Cocculina; cocculinidae; Gastropoda; mollusca; gakkel ridge</t>
  </si>
  <si>
    <t>SP NOV.; SEA; GASTROPODA; MOLLUSCA; DISCOVERY; ECOLOGY; RIDGE</t>
  </si>
  <si>
    <t>Deep-sea hydrothermal vents host lush chemosynthetic communities, dominated by endemic fauna that cannot live in other ecosystems. Despite over 500 active vents found worldwide, the Arctic has remained a little-studied piece of vent biogeography. Though located as early as 2001, the faunal communities of the Aurora Vent Field on the ultra-slow spreading Gakkel Ridge remained unsampled until recently, owing to difficulties with sampling on complex topography below permanent ice. Here, we report an unusual cocculinid limpet abundant on inactive chimneys in Aurora (3883-3884 m depth), describing it as Cocculina aurora n. sp. using an integrative approach combining traditional dissection, electron microscopy, molecular phylogeny, and three-dimensional anatomical reconstruction. Gross anatomy of the new species was typical for Cocculina, but it has a unique radula with broad, multi-cuspid rachidian where the outermost lateral is reduced compared to typical cocculinids. A phylogenetic reconstruction using the mitochondrial COI gene also confirmed its placement in Cocculina. Only the second cocculinid found at vents following the description of the Antarctic Cocculina enigmadonta, this is currently the sole cocculinid restricted to vents. Our discovery adds to the evidence that Arctic vents host animal communities closely associated with wood falls and distinct from other parts of the world.</t>
  </si>
  <si>
    <t>[Chen, Chong] Japan Agcy Marine Earth Sci &amp; Technol JAMSTEC, X Star, 2-15 Natsushima Cho, Yokosuka, Kanagawa 2370061, Japan; [Hilario, Ana; Rodrigues, Clara F.] Univ Aveiro, Ctr Environm &amp; Marine Studies, P-3810193 Aveiro, Portugal; [Hilario, Ana; Rodrigues, Clara F.] Univ Aveiro, Dept Biol, P-3810193 Aveiro, Portugal; [Ramirez-Llodra, Eva] Norwegian Inst Water Res, Oslo, Norway; [Ramirez-Llodra, Eva] REV Ocean, Lysaker, Norway</t>
  </si>
  <si>
    <t>Japan Agency for Marine-Earth Science &amp; Technology (JAMSTEC); Universidade de Aveiro; Universidade de Aveiro; Norwegian Institute for Water Research (NIVA)</t>
  </si>
  <si>
    <t>Chen, C (corresponding author), Japan Agcy Marine Earth Sci &amp; Technol JAMSTEC, X Star, 2-15 Natsushima Cho, Yokosuka, Kanagawa 2370061, Japan.</t>
  </si>
  <si>
    <t>cchen@jamstec.go.jp</t>
  </si>
  <si>
    <t>Rodrigues, Clara F./A-4536-2009; Hilario, Ana/C-1260-2008; Chen, Chong/F-7489-2019</t>
  </si>
  <si>
    <t>Rodrigues, Clara F./0000-0002-3426-8342; Hilario, Ana/0000-0001-8287-1528; Chen, Chong/0000-0002-5035-4021</t>
  </si>
  <si>
    <t>OCT 12</t>
  </si>
  <si>
    <t>10.1098/rsos.220885</t>
  </si>
  <si>
    <t>5H4YP</t>
  </si>
  <si>
    <t>WOS:000867686500001</t>
  </si>
  <si>
    <t>Singh, A; Thomalla, SJ; Fietz, S; Ryan-Keogh, TJ</t>
  </si>
  <si>
    <t>Singh, Asmita; Thomalla, Sandy J.; Fietz, Susanne; Ryan-Keogh, Thomas J.</t>
  </si>
  <si>
    <t>Spatial and temporal variability of phytoplankton photophysiology in the Atlantic Southern Ocean</t>
  </si>
  <si>
    <t>Fast Induction and Relaxation (FIRe) fluorometry; fluorescence; physical and biogeochemical parameters; phytoplankton photophysiology; photosynthetic efficiency; zonal variability; inter-annual variability; intra-seasonal variability</t>
  </si>
  <si>
    <t>IRON-LIGHT INTERACTIONS; COMMUNITY STRUCTURE; CHLOROPHYLL FLUORESCENCE; MARINE-PHYTOPLANKTON; CLIMATE-CHANGE; TRACE-METALS; CELL-SIZE; IN-SITU; GROWTH; LIMITATION</t>
  </si>
  <si>
    <t>Active chlorophyll-a fluorescence was measured during five summer research cruises (2008 - 2016), spanning the Atlantic sector of the Southern Ocean. This unique data set provides information for assessing zonal, inter-annual and intra-seasonal variability (early versus late summer) of photosynthetic efficiency (F-v/F-m). The zonal variability of F-v/F-m showed a typical latitudinal decline from a maximum in the Polar Frontal Zone (PFZ) (0.24 +/- 0.03) to a minimum in the Southern Antarctic Circumpolar Current Zone (SACCZ) (0.18 +/- 0.07). The inter-annual variability in F-v/F-m (between each cruise) was the highest in the SACCZ, while the Antarctic Zone (AZ) exhibited low inter-annual variability. Intra-seasonal variability between the zones was limited to a significantly higher mean F-v/F-m in the PFZ and AZ in early summer compared to late summer. Intra-seasonal variability between the cruises was, however, inconsistent as higher mean F-v/F-m in early summer were seen during some years as opposed to others. Ancillary physical and biogeochemical parameters were also assessed to investigate potential direct and indirect drivers of co-variability with F-v/F-m through a series of statistical t-tests, where significant differences in F-v/F-m were used as focus points to interrogate the plausibility of co-variance. Inter-zonal variability of surface seawater temperature (SST) and Silicate:Phosphate (Si:P) ratios were highlighted as co-varying with F-v/F-m in all zones, whilst community structure played an indirect role in some instances. Similarly, inter-annual variability in F-v/F-m co-varied with SST, Nitrate:Phosphate (N:P) and Si:P ratios in the PFZ, AZ and SACCZ, while community structure influenced inter-annual variability in the PFZ and SACCZ. Intra-seasonal variability in F-v/F-m was linked to all the ancillary parameters, except community structure in the AZ, whilst different ancillary parameters dominated differences during each of the cruises. These results were further scrutinized with a Principal Component Analysis for a subset of co-located data points, where N:P and Si:P ratios emerged as the principal indirect drivers of F-v/F-m variability. This study highlights the scope for using F-v/F-m to reflect the net response of phytoplankton photophysiology to environmental adjustments and accentuates the complex interplay of different physical and biogeochemical parameters that act simultaneously and oftentimes antagonistically, influencing inter-zonal, inter-annual and intra-seasonal variability of F-v/F-m.</t>
  </si>
  <si>
    <t>[Singh, Asmita; Thomalla, Sandy J.; Ryan-Keogh, Thomas J.] Council Sci &amp; Ind Res CSIR, Southern Ocean Carbon Climate Observ SOCCO, Cape Town, South Africa; [Singh, Asmita; Fietz, Susanne] Stellenbosch Univ, Dept Earth Sci, Stellenbosch, South Africa</t>
  </si>
  <si>
    <t>Stellenbosch University</t>
  </si>
  <si>
    <t>Ryan-Keogh, TJ (corresponding author), Council Sci &amp; Ind Res CSIR, Southern Ocean Carbon Climate Observ SOCCO, Cape Town, South Africa.</t>
  </si>
  <si>
    <t>; Fietz, Susanne/A-8695-2012</t>
  </si>
  <si>
    <t>Singh, Asmita/0000-0002-5165-2602; Fietz, Susanne/0000-0003-0896-8385</t>
  </si>
  <si>
    <t>CSIR's Southern Ocean Carbon-Climate Observatory (SOCCO) Programme - Department of Science and Innovation [DST/CON 0182/2017]; CSIR's Parliamentary Grant; National Research Foundation, South Africa [110731, 91313, 118751, 110729]</t>
  </si>
  <si>
    <t>CSIR's Southern Ocean Carbon-Climate Observatory (SOCCO) Programme - Department of Science and Innovation; CSIR's Parliamentary Grant; National Research Foundation, South Africa(National Research Foundation - South AfricaSouth African Medical Research Council)</t>
  </si>
  <si>
    <t>AS, ST and TR-K were supported through the CSIR's Southern Ocean Carbon-Climate Observatory (SOCCO) Programme (http://socco.org.za/) funded by the Department of Science and Innovation (DST/CON 0182/2017) and the CSIR's Parliamentary Grant. We would like to acknowledge funding received from anumber of grants from the National Research Foundation, South Africa, grant numbers 110731 (SF), 91313 (SF), 118751 (ST) and 110729 (ST).</t>
  </si>
  <si>
    <t>10.3389/fmars.2022.912856</t>
  </si>
  <si>
    <t>5U8PJ</t>
  </si>
  <si>
    <t>WOS:000876803000001</t>
  </si>
  <si>
    <t>Keith, DA; Ferrer-Paris, JR; Nicholson, E; Bishop, MJ; Polidoro, BA; Ramirez-Llodra, E; Tozer, MG; Nel, JL; Mac Nally, R; Gregr, EJ; Watermeyer, KE; Essl, F; Faber-Langendoen, D; Franklin, J; Lehmann, CER; Etter, A; Roux, DJ; Stark, JS; Rowland, JA; Brummitt, NA; Fernandez-Arcaya, UC; Suthers, IM; Wiser, SK; Donohue, I; Jackson, LJ; Pennington, RT; Iliffe, TM; Gerovasileiou, V; Giller, P; Robson, BJ; Pettorelli, N; Andrade, A; Lindgaard, A; Tahvanainen, T; Terauds, A; Chadwick, MA; Murray, NJ; Moat, J; Pliscoff, P; Zager, I; Kingsford, RT</t>
  </si>
  <si>
    <t>Keith, David A.; Ferrer-Paris, Jose R.; Nicholson, Emily; Bishop, Melanie J.; Polidoro, Beth A.; Ramirez-Llodra, Eva; Tozer, Mark G.; Nel, Jeanne L.; Mac Nally, Ralph; Gregr, Edward J.; Watermeyer, Kate E.; Essl, Franz; Faber-Langendoen, Don; Franklin, Janet; Lehmann, Caroline E. R.; Etter, Andres; Roux, Dirk J.; Stark, Jonathan S.; Rowland, Jessica A.; Brummitt, Neil A.; Fernandez-Arcaya, Ulla C.; Suthers, Iain M.; Wiser, Susan K.; Donohue, Ian; Jackson, Leland J.; Pennington, R. Toby; Iliffe, Thomas M.; Gerovasileiou, Vasilis; Giller, Paul; Robson, Belinda J.; Pettorelli, Nathalie; Andrade, Angela; Lindgaard, Arild; Tahvanainen, Teemu; Terauds, Aleks; Chadwick, Michael A.; Murray, Nicholas J.; Moat, Justin; Pliscoff, Patricio; Zager, Irene; Kingsford, Richard T.</t>
  </si>
  <si>
    <t>A function-based typology for Earth's ecosystems</t>
  </si>
  <si>
    <t>BIODIVERSITY; ECOREGIONS; SERVICES; BIOMES; WORLD; WATER; MAP</t>
  </si>
  <si>
    <t>As the United Nations develops a post-2020 global biodiversity framework for the Convention on Biological Diversity, attention is focusing on how new goals and targets for ecosystem conservation might serve its vision of 'living in harmony with nature'(1,2). Advancing dual imperatives to conserve biodiversity and sustain ecosystem services requires reliable and resilient generalizations and predictions about ecosystem responses to environmental change and management(3). Ecosystems vary in their biota(4), service provision(5) and relative exposure to risks(6), yet there is no globally consistent classification of ecosystems that reflects functional responses to change and management. This hampers progress on developing conservation targets and sustainability goals. Here we present the International Union for Conservation of Nature (IUCN) Global Ecosystem Typology, a conceptually robust, scalable, spatially explicit approach for generalizations and predictions about functions, biota, risks and management remedies across the entire biosphere. The outcome of a major cross-disciplinary collaboration, this novel framework places all of Earth's ecosystems into a unifying theoretical context to guide the transformation of ecosystem policy and management from global to local scales. This new information infrastructure will support knowledge transfer for ecosystem-specific management and restoration, globally standardized ecosystem risk assessments, natural capital accounting and progress on the post-2020 global biodiversity framework.</t>
  </si>
  <si>
    <t>[Keith, David A.; Ferrer-Paris, Jose R.; Tozer, Mark G.; Suthers, Iain M.; Murray, Nicholas J.; Kingsford, Richard T.] Univ New South Wales, Ctr Ecosyst Sci, Sydney, NSW, Australia; [Keith, David A.; Tozer, Mark G.] New South Wales Dept Planning Ind &amp; Environm, Hurstville, NSW, Australia; [Keith, David A.; Ferrer-Paris, Jose R.; Nicholson, Emily; Rowland, Jessica A.; Andrade, Angela; Murray, Nicholas J.] IUCN Commiss Ecosyst Management, Gland, Switzerland; [Nicholson, Emily; Watermeyer, Kate E.; Rowland, Jessica A.] Deakin Univ, Ctr Integrat Ecol, Burwood, Vic, Australia; [Bishop, Melanie J.] Macquarie Univ, Dept Biol Sci, Sydney, NSW, Australia; [Polidoro, Beth A.] Arizona State Univ, Sch Math &amp; Nat Sci, Glendale, AZ USA; [Ramirez-Llodra, Eva] Norwegian Inst Water Res, Oslo, Norway; [Ramirez-Llodra, Eva] REV Ocean, Lysaker, Norway; [Nel, Jeanne L.; Roux, Dirk J.] Nelson Mandela Univ, Sustainabil Res Unit, Port Elizabeth, South Africa; [Nel, Jeanne L.] Wageningen Univ, Wageningen Environm Res, Wageningen, Netherlands; [Mac Nally, Ralph] Univ Melbourne, Sch BioSci, Melbourne, Vic, Australia; [Gregr, Edward J.] Univ British Columbia, Inst Resources Environm &amp; Sustainabil, Vancouver, BC, Canada; [Gregr, Edward J.] SciTech Environm Consulting, Vancouver, BC, Canada; [Essl, Franz] Univ Vienna, Dept Bot &amp; Biodivers Res, Macroecol Grp, BioInvas,Global Change, Vienna, Austria; [Essl, Franz] Stellenbosch Univ, Ctr Invas Biol, Stellenbosch, South Africa; [Faber-Langendoen, Don] NatureServe, Arlington, VA USA; [Franklin, Janet] Univ Calif Riverside, Riverside, CA 92521 USA; [Lehmann, Caroline E. R.; Pennington, R. Toby] Royal Bot Garden Edinburgh, Edinburgh, Midlothian, Scotland; [Lehmann, Caroline E. R.] Univ Edinburgh, Sch GeoSci, Edinburgh, Midlothian, Scotland; [Etter, Andres] Pontificia Univ Javeriana, Dept Ecol &amp; Terr, Bogota, Colombia; [Roux, Dirk J.] South African Natl Pk, Sci Serv, George, South Africa; [Stark, Jonathan S.; Terauds, Aleks] Australian Antarctic Div, Dept Climate Change Energy Environm &amp; Water, Hobart, Tas, Australia; [Brummitt, Neil A.] Nat Hist Museum, Dept Life Sci, London, England; [Fernandez-Arcaya, Ulla C.] Ctr Oceanog Baleares, Inst Espanol Oceanog, Palma De Mallorca, Spain; [Wiser, Susan K.] Manaaki Whenua Landcare Res, Lincoln, New Zealand; [Donohue, Ian] Trinity Coll Dublin, Sch Nat Sci, Dept Zool, Dublin, Ireland; [Jackson, Leland J.] Univ Calgary, Calgary, AB, Canada; [Pennington, R. Toby] Univ Exeter, Coll Life &amp; Environm Sci Geog, Exeter, Devon, England; [Iliffe, Thomas M.] Texas A&amp;M Univ, Dept Marine Biol, Galveston, TX 77553 USA; [Gerovasileiou, Vasilis] Inst Marine Biol Biotechnol &amp; Aquaculture IMBBC, Hellen Ctr Marine Res HCMR, Iraklion, Greece; [Gerovasileiou, Vasilis] Ionian Univ, Fac Environm, Dept Environm, Zakynthos, Greece; [Giller, Paul] Univ Coll Cork, Sch Biol Earth &amp; Environm Sci, Cork, Ireland; [Giller, Paul] South China Normal Univ, Sch Life Sci, Guangzhou, Peoples R China; [Robson, Belinda J.] Murdoch Univ, Ctr Sustainable Aquat Ecosyst, Harry Butler Inst, Perth, WA, Australia; [Pettorelli, Nathalie] Zool Soc London, Inst Zool, London, England; [Andrade, Angela] Conservat Int Colombia, Bogota, Colombia; [Lindgaard, Arild] Norwegian Biodivers Informat Ctr, Trondheim, Norway; [Tahvanainen, Teemu] Univ Eastern Finland, Dept Environm &amp; Biol Sci, Joensuu, Finland; [Chadwick, Michael A.] Kings Coll London, Dept Geog, London, England; [Murray, Nicholas J.] James Cook Univ, Coll Sci &amp; Engn, Townsville, Qld, Australia; [Moat, Justin] Royal Bot Gardens Kew, Richmond, Surrey, England; [Pliscoff, Patricio] Univ Catolica Chile, Ctr Appl Ecol &amp; Sustainabil CAPES, Inst Geog, Dept Ecol, Santiago, Chile; [Pliscoff, Patricio] Inst Ecol &amp; Biodiversidad, Santiago, Chile; [Zager, Irene] Provita, Caracas, Venezuela</t>
  </si>
  <si>
    <t>University of New South Wales Sydney; Deakin University; Macquarie University; Arizona State University; Norwegian Institute for Water Research (NIVA); Nelson Mandela University; Wageningen University &amp; Research; Melbourne Genomics Health Alliance; University of Melbourne; University of British Columbia; University of Vienna; Stellenbosch University; Nature Conservancy; University of California System; University of California Riverside; University of Edinburgh; Pontificia Universidad Javeriana; Australian Antarctic Division; Natural History Museum London; Spanish Institute of Oceanography; Landcare Research - New Zealand; Trinity College Dublin; University of Calgary; University of Exeter; Texas A&amp;M University System; Hellenic Centre for Marine Research; University College Cork; South China Normal University; Murdoch University; Zoological Society of London; University of Eastern Finland; University of London; King's College London; James Cook University; Royal Botanic Gardens, Kew; Universidad Catolica del Norte; Pontificia Universidad Catolica de Chile</t>
  </si>
  <si>
    <t>Keith, DA (corresponding author), Univ New South Wales, Ctr Ecosyst Sci, Sydney, NSW, Australia.;Keith, DA (corresponding author), New South Wales Dept Planning Ind &amp; Environm, Hurstville, NSW, Australia.;Keith, DA (corresponding author), IUCN Commiss Ecosyst Management, Gland, Switzerland.</t>
  </si>
  <si>
    <t>david.keith@unsw.edu.au</t>
  </si>
  <si>
    <t>Pettorelli, Nathalie/AAW-8438-2021; Robson, Belinda J/G-4694-2010; Donohue, Ian/A-7270-2010; Essl, Franz/ABE-7064-2020; Roux, Dirk/F-2894-2012; Rowland, Jessica A/Q-9851-2019; Ferrer-Paris, José/M-3785-2015; Gerovasileiou, Vasilis/H-6376-2019; Murray, Nicholas J/E-4607-2016; Suthers, Iain M/C-4559-2008; Terauds, Aleks/A-4991-2010; Wiser, Susan K./G-1975-2011; Illife, Thomas/R-2252-2017; Nicholson, Emily/H-9001-2013</t>
  </si>
  <si>
    <t>Essl, Franz/0000-0001-8253-2112; Roux, Dirk/0000-0001-7809-0446; Rowland, Jessica A/0000-0001-9831-681X; Ferrer-Paris, José/0000-0002-9554-3395; Gerovasileiou, Vasilis/0000-0002-9143-7480; Murray, Nicholas J/0000-0002-4008-3053; Illife, Thomas/0000-0002-4342-5960; Nicholson, Emily/0000-0003-2199-3446; Chadwick, Michael/0000-0003-4891-4357; Polidoro, Beth/0000-0002-4361-0189; Kingsford, Richard/0000-0001-6565-4134; Pettorelli, Nathalie/0000-0002-1594-6208; Bishop, Melanie/0000-0001-8210-6500; Robson, Belinda/0000-0002-9215-3666; Fernandez-Arcaya, Ulla/0000-0002-5588-3520; Keith, David/0000-0002-7627-4150</t>
  </si>
  <si>
    <t>ARC [LP170101143, LP180100159]; MAVA Foundation; ARC Future Fellowship [FT190100234]; PLuS Alliance; NERC [NE/I027797/1, NE/N012526/1, NE/N000587/1, NE/N01247X/1] Funding Source: UKRI; Australian Research Council [LP170101143, FT190100234, LP180100159] Funding Source: Australian Research Council</t>
  </si>
  <si>
    <t>ARC(Australian Research Council); MAVA Foundation; ARC Future Fellowship(Australian Research Council); PLuS Alliance; NERC(UK Research &amp; Innovation (UKRI)Natural Environment Research Council (NERC)); Australian Research Council(Australian Research Council)</t>
  </si>
  <si>
    <t>The PLuS Alliance supported a workshop in London to initiate development. D.A.K., E.N., R.T.K., J.R.F.-P., J.A.R. and N.J.M. were supported by ARC Linkage Grants LP170101143 and LP180100159 and the MAVA Foundation. E.N. was supported by ARC Future Fellowship FT190100234. The IUCN Commission on Ecosystem Management supported travel for D.A.K. to present aspects of the research to peers and stakeholders at International Congresses on Conservation Biology in 2017 and 2019, and at meetings in Africa, the Middle East and Europe. E. Woischin drafted Fig. 2. We thank the many specialist contributors to the typology listed in Supplementary Information, Appendices 4 and 5.</t>
  </si>
  <si>
    <t>10.1038/s41586-022-05318-4</t>
  </si>
  <si>
    <t>5M0HU</t>
  </si>
  <si>
    <t>WOS:000866404100005</t>
  </si>
  <si>
    <t>Zhao, ZJ; Han, M; Yang, K; Holbrook, NJ</t>
  </si>
  <si>
    <t>Zhao, Zijie; Han, Meng; Yang, Kai; Holbrook, Neil J.</t>
  </si>
  <si>
    <t>Signatures of midsummer droughts over Central America and Mexico</t>
  </si>
  <si>
    <t>Midsummer drought; Central America; Mexico; Madden-Julian oscillation; El Nino-Southern oscillation; Statistical modelling</t>
  </si>
  <si>
    <t>LOW-LEVEL JET; INTERANNUAL VARIABILITY; BIMODAL DISTRIBUTION; SUMMERTIME RAINFALL; CARIBBEAN RAINFALL; TROPICAL PACIFIC; PRECIPITATION; ATLANTIC; ENSO; SEA</t>
  </si>
  <si>
    <t>The annual cycle of precipitation over most parts of Central America and southern Mexico is climatologically characterized by a robust bimodal distribution, normally termed as the midsummer drought (MSD), influencing a large range of agricultural economic and public insurances. Compared to studies focusing on mechanisms underpinning the MSD, less research has been undertaken related to its climatological signatures. This is due to a lack of generally accepted methods through which to detect and quantify the bimodal precipitation accurately. The present study focuses on characterizing the MSD climatological signatures over Central America and Mexico using daily precipitation observations between 1979 and 2017, aiming to provide a comprehensive analysis of MSD in fine scale over this region. This was completed using a new method of detection. The signatures were analyzed from three aspects, namely (1) climatological mean states and variability; (2) connections with large scale modes of climate variability (El Nino-Southern Oscillation (ENSO) and the Madden-Julian Oscillation (MJO)); and (3) the potential afforded by statistical modelling. The development of MSDs across the region is attributed to changes of surface wind-pressure composites, characterized by anomalously negative (positive) surface pressure and onshore (offshore) winds during the peak (trough) of precipitation. ENSO's modulation of MSDs is also shown by modifying the surface wind-pressure patterns through MSD periods, inducing the intensified North Atlantic Subtropical High and associated easterlies from the Caribbean region, which induce relatively weak precipitation at corresponding time points and subsequently intensify the MSD magnitude and extend the MSD period. Building on previous research which showed MSDs tend to start/end in MJO phases 1 and 8, a fourth-order polynomial was used here to statistically model the precipitation time series during the rainy season. We show that the strength of the bimodal precipitation can be well modelled by the coefficient of the polynomial terms, and the intra-seasonal variability is largely covered by the MJO indices. Using two complete MJO cycles and the polynomial, the bimodal precipitation during the rainy season over Central America and Mexico is synoptically explained, largely contributing to our understanding of the MJO's modulation on the MSD.</t>
  </si>
  <si>
    <t>[Zhao, Zijie] Univ Melbourne, Sch Earth Sci, Melbourne, Vic, Australia; [Zhao, Zijie] Univ Melbourne, Australian Res Council, Ctr Excellence Climate Extremes, Melbourne, Vic, Australia; [Han, Meng; Yang, Kai; Holbrook, Neil J.] Univ Tasmania, Inst Marine &amp; Antarctic Studies, Hobart, Tas, Australia; [Han, Meng; Yang, Kai; Holbrook, Neil J.] Univ Tasmania, Australian Res Council, Ctr Excellence Climate Extremes, Hobart, Tas, Australia</t>
  </si>
  <si>
    <t>University of Melbourne; Melbourne Bioinformatics; Melbourne Genomics Health Alliance; University of Melbourne; University of Tasmania; University of Tasmania</t>
  </si>
  <si>
    <t>Zhao, ZJ (corresponding author), Univ Melbourne, Sch Earth Sci, Melbourne, Vic, Australia.;Zhao, ZJ (corresponding author), Univ Melbourne, Australian Res Council, Ctr Excellence Climate Extremes, Melbourne, Vic, Australia.</t>
  </si>
  <si>
    <t>zijizhao@student.unimelb.edu.au</t>
  </si>
  <si>
    <t>; Holbrook, Neil/M-7544-2013</t>
  </si>
  <si>
    <t>Yang, Kai/0000-0002-1074-3081; Zhao, Zijie/0000-0003-3403-878X; Holbrook, Neil/0000-0002-3523-6254</t>
  </si>
  <si>
    <t>ARC Centre of Excellence for Climate Extremes [CE17010023]</t>
  </si>
  <si>
    <t>ARC Centre of Excellence for Climate Extremes</t>
  </si>
  <si>
    <t>Open Access funding enabled and organized by CAUL and its Member Institutions. This work was supported by the ARC Centre of Excellence for Climate Extremes (CE17010023).</t>
  </si>
  <si>
    <t>10.1007/s00382-022-06505-9</t>
  </si>
  <si>
    <t>WOS:000866319300001</t>
  </si>
  <si>
    <t>Wawrzynek-Borejko, J; Panasiuk, A; Hinke, JT; Korczak-Abshire, M</t>
  </si>
  <si>
    <t>Wawrzynek-Borejko, Justyna; Panasiuk, Anna; Hinke, Jefferson T.; Korczak-Abshire, Malgorzata</t>
  </si>
  <si>
    <t>Are the diets of sympatric Pygoscelid penguins more similar than previously thought?</t>
  </si>
  <si>
    <t>Penguin diet; Pygoscelid; Antarctic crustacean; Dietary overlap; Plastic debris</t>
  </si>
  <si>
    <t>SOUTH-SHETLAND ISLANDS; KING-GEORGE-ISLAND; CHINSTRAP PENGUINS; EUPHAUSIA-SUPERBA; ANTARCTIC KRILL; REPRODUCTIVE SUCCESS; POPULATION-CHANGES; ADELIE; VARIABILITY; PREDATORS</t>
  </si>
  <si>
    <t>In recent years, functional changes in Southern Ocean are becoming more noticeable, due to climate change and increasing human impacts, including a growing fishery that is concentrating in the Antarctic Peninsula (AP) region. Antarctic krill Euphausia superba is often the primary prey species for animals such as Pygoscelis penguins, a sentinel species for ecosystem monitoring and management. During the last two decades in the AP gentoo penguin numbers (Pygoscelis papua) have increased and their range has shifted southward, in contrast to the decline in numbers of Adelie (P. adeliae) and chinstrap (P. antarcticus) penguins. Given divergent population trends, the goal of this study was to examine differences in their diet, and size structure of Antarctic krill recovered from penguin diet samples. The study is based on diet samples collected during the austral summers on King George Island (South Shetland Islands) where P. adeliae, P. antarcticus, and P. papua breed in mixed colonies. Results indicate that the penguins consumed krill of similar sizes during the breeding period. In contrast to prior diet studies, we found higher proportions of krill in the gentoo diet and changes in the percentage of krill in the diet relative obtained during 1970s. The similarity in diets among all three species suggests that the availability prey items (e. g., fishes) may be changing and driving higher dietary overlap. Moreover, we also check differences in krill length among penguin individuals and we did not find any statistically significant differences. We also found plastic debris in penguin stomachs during both summers.</t>
  </si>
  <si>
    <t>[Wawrzynek-Borejko, Justyna] Univ Gdansk, Fac Oceanog &amp; Geog, Inst Oceanog, Dept Marine Ecosyst Functioning, Al Marszalka Pilsudskiego 46, PL-81378 Gdynia, Poland; [Panasiuk, Anna] Fac Oceanog &amp; Geog, Inst Oceanog, Dept Marine Plankton Res, Al Marszalka Pilsudskiego 46, PL-81378 Gdynia, Poland; [Hinke, Jefferson T.] NOAA, Antarctic Ecosyst Res Div, Southwest Fisheries Sci Ctr, Natl Marine Fisheries Serv, La Jolla, CA 92037 USA; [Korczak-Abshire, Malgorzata] 4Polish Acad Sci, Inst Biochem &amp; Biophys, Pawinskiego 5a, PL-02106 Warsaw, Poland</t>
  </si>
  <si>
    <t>Fahrenheit Universities; University of Gdansk; National Oceanic Atmospheric Admin (NOAA) - USA; Polish Academy of Sciences; Institute of Biochemistry &amp; Biophysics - Polish Academy of Sciences</t>
  </si>
  <si>
    <t>Panasiuk, A (corresponding author), Fac Oceanog &amp; Geog, Inst Oceanog, Dept Marine Plankton Res, Al Marszalka Pilsudskiego 46, PL-81378 Gdynia, Poland.</t>
  </si>
  <si>
    <t>Korczak-Abshire, Malgorzata/0000-0001-7695-0588</t>
  </si>
  <si>
    <t>Polish National Science Centre [2017/01/X/NZ8/01181]</t>
  </si>
  <si>
    <t>Polish National Science Centre</t>
  </si>
  <si>
    <t>This work was supported by the Polish National Science Centre, Project Miniatura 1 no. 2017/01/X/NZ8/01181, received by Anna Panasiuk.</t>
  </si>
  <si>
    <t>OCT</t>
  </si>
  <si>
    <t>10.1007/s00300-022-03090-9</t>
  </si>
  <si>
    <t>5Q4TQ</t>
  </si>
  <si>
    <t>WOS:000866321500001</t>
  </si>
  <si>
    <t>Souza-Kasprzyk, J; Paiva, TD; Convey, P; Da Cunha, LST; Soares, TA; Zawierucha, K; Costa, ES; Niedzielski, P; Torres, JPM</t>
  </si>
  <si>
    <t>Souza-Kasprzyk, Juliana; Paiva, Thais de Castro; Convey, Peter; Teixeira da Cunha, Larissa Schmauder; Soares, Tuany Alves; Zawierucha, Krzysztof; Costa, Erli Schneider; Niedzielski, Przemyslaw; Machado Torres, Joao Paulo</t>
  </si>
  <si>
    <t>Influence of marine vertebrates on organic matter, phosphorus and other chemical element levels in Antarctic soils</t>
  </si>
  <si>
    <t>Soil contamination; Ornithogenic soils; Metals; Polar regions</t>
  </si>
  <si>
    <t>KING GEORGE ISLAND; HEAVY-METAL CONTAMINATION; ROSS SEA REGION; ORNITHOGENIC SEDIMENTS; SEABIRD COLONY; VEGETATION</t>
  </si>
  <si>
    <t>The presence of marine vertebrates in dense reproductive colonies and other aggregations contributes to the input of organic matter and nutrients into the local environment and it is believed that chemical elements are subsequently remobilized from the excreta of these animals. In this study, we investigated the influence of marine vertebrates on trace elements levels (As, Cd, Co, Cu, Fe, Li, Lu, Mg, Mn, Ni, Pb, Sb, Sc, Se, Sm, Sn, Sr, Tb, U and Zn), nutrient (total phosphorus) and soil organic matter (SOM) content from five locations with and without the presence of seabirds and marine mammals in Admiralty Bay, King George Island, South Shetland Islands, Antarctica. Soils were acid digested using a microwave digestion system, elements were quantified using inductively coupled plasma mass spectrometry and SOM was calculated by loss-on-ignition. The non-influenced and vertebrate-influenced soils had similar concentrations of most of the trace elements assessed, however, we observed a significant increase in SOM and P that was positively correlated with the concentrations of As, Cd, Se, Sr and Zn. Although marine vertebrates did not appear to significantly increase the elemental concentrations in the soils examined here, there is a clear evidence of selective enrichment indicating a zoogenic influence. Comparing our results with other studies, we conclude that soil elemental levels are result from an interplay between local geology, vertebrate diet and colony size. Further studies with increased sample size are required to obtain a better understanding of the influence of marine vertebrates on chemical element levels in Antarctic soils.</t>
  </si>
  <si>
    <t>[Souza-Kasprzyk, Juliana; Paiva, Thais de Castro; Teixeira da Cunha, Larissa Schmauder; Soares, Tuany Alves; Machado Torres, Joao Paulo] Univ Fed Rio de Janeiro, Lab Radioisotopos Eduardo Penna Franca &amp; Micropol, Inst Biofis Carlos Chagas Filho, Av Carlos Chagas Filho,373,CCS,Bloco G,Sala G0-61, BR-21941902 Rio De Janeiro, RJ, Brazil; [Souza-Kasprzyk, Juliana; Niedzielski, Przemyslaw] Adam Mickiewicz Univ, Fac Chem, Dept Analyt Chem, Uniwersytetu Poznanskiego St 8, PL-61614 Poznan, Poland; [Convey, Peter] British Antarctic Survey, Madingley Rd, Cambridge CB3 0ET, England; [Convey, Peter] Univ Johannesburg, Dept Zool, POB 524, ZA-2006 Auckland Pk, South Africa; [Zawierucha, Krzysztof] Adam Mickiewicz Univ, Fac Biol, Dept Anim Taxon &amp; Ecol, Uniwersytetu Poznanskiego St 6, PL-61614 Poznan, Poland; [Costa, Erli Schneider] Univ Estadual Rio Grande do Sul, Unidade Univ Hortensias, Rua Assis Brasil 842, BR-95400000 Sao Francisco De Paula, RS, Brazil</t>
  </si>
  <si>
    <t>Universidade Federal do Rio de Janeiro; Adam Mickiewicz University; UK Research &amp; Innovation (UKRI); Natural Environment Research Council (NERC); NERC British Antarctic Survey; University of Johannesburg; Adam Mickiewicz University; Universidade Estadual do Rio Grande do Sul (UERGS)</t>
  </si>
  <si>
    <t>Souza-Kasprzyk, J (corresponding author), Univ Fed Rio de Janeiro, Lab Radioisotopos Eduardo Penna Franca &amp; Micropol, Inst Biofis Carlos Chagas Filho, Av Carlos Chagas Filho,373,CCS,Bloco G,Sala G0-61, BR-21941902 Rio De Janeiro, RJ, Brazil.;Souza-Kasprzyk, J (corresponding author), Adam Mickiewicz Univ, Fac Chem, Dept Analyt Chem, Uniwersytetu Poznanskiego St 8, PL-61614 Poznan, Poland.</t>
  </si>
  <si>
    <t>juliana.souza@biof.ufrj.br</t>
  </si>
  <si>
    <t>COSTA, ERLI SCHNEIDER/AAP-2375-2020; Zawierucha, Krzysztof/HTP-6506-2023; torres, joao/AAI-8390-2021; Convey, Peter/AAV-5728-2020; Zawierucha, Krzysztof/HDN-5985-2022; Paiva, Thais/IUN-2724-2023</t>
  </si>
  <si>
    <t>COSTA, ERLI SCHNEIDER/0000-0002-3739-1178; torres, joao/0000-0002-2510-1612; Convey, Peter/0000-0001-8497-9903; Zawierucha, Krzysztof/0000-0002-0754-1411; Alves Soares, Tuany/0009-0003-8999-6501; Souza-Kasprzyk, Juliana/0000-0003-2307-8006; Niedzielski, Przemyslaw/0000-0002-2787-9057</t>
  </si>
  <si>
    <t>Conselho Nacional de Desenvolvimento Cientifico e Tecnologico [CNPq/MCTIC: 557049/2009, POWR.03.02.00-00-I020/17]; NERC</t>
  </si>
  <si>
    <t>Conselho Nacional de Desenvolvimento Cientifico e Tecnologico(Conselho Nacional de Desenvolvimento Cientifico e Tecnologico (CNPQ)); NERC(UK Research &amp; Innovation (UKRI)Natural Environment Research Council (NERC))</t>
  </si>
  <si>
    <t>This study was supported by the Conselho Nacional de Desenvolvimento Cientifico e Tecnologico (Grant No. CNPq/MCTIC: 557049/2009-and the HighChem-interdisciplinary and international doctoral studies with elements of support for intersectoral cooperation (Grant No. POWR.03.02.00-00-I020/17). Peter Convey is supported by NERC core funding to the BAS `Biodiversity, Evolution and Adaptation' Team. We thank the Brazilian Antarctic Program (PROANTAR) and the Secretaria da Comissao Interministerial para os Recursos do Mar (SECIRM/Brazilian Navy) for logistical support. We also thank researchers from the Pinguins and Skuas Project who participated in the fieldwork.</t>
  </si>
  <si>
    <t>10.1007/s00300-022-03091-8</t>
  </si>
  <si>
    <t>WOS:000866321500002</t>
  </si>
  <si>
    <t>Trathan, PN; Fielding, S; Warwick-Evans, ; Freer, J; Perry, F</t>
  </si>
  <si>
    <t>Trathan, P. N.; Fielding, S.; Warwick-Evans, V; Freer, J.; Perry, F.</t>
  </si>
  <si>
    <t>Seabird and seal responses to the physical environment and to spatio-temporal variation in the distribution and abundance of Antarctic krill at South Georgia, with implications for local fisheries management</t>
  </si>
  <si>
    <t>Antarctic fur seals; Antarctic krill; ecological drivers; gentoo penguins; macaroni penguins; spatial and temporal variability</t>
  </si>
  <si>
    <t>EUPHAUSIA-SUPERBA; INTERANNUAL VARIABILITY; ARCTOCEPHALUS-GAZELLA; MANAGING FISHERIES; ECOSYSTEM APPROACH; MARINE PREDATORS; CLIMATE-CHANGE; SCOTIA SEA; FUR SEALS; FOOD-WEB</t>
  </si>
  <si>
    <t>We used 22 years of seasonally and spatially consistent monitoring data to explore marine predator-prey numerical response relationships. Specifically, we tested whether indices of offspring performance (e.g. offspring mass near the time of their independence and/or growth rate) from three Antarctic krill-dependent predators, showed positive relationships with estimates of krill density, determined using fishery-independent acoustic surveys undertaken towards the middle of the predator breeding season. Results showed that indices of predator reproductive performance had little relationship with krill density. In most years, average krill densities were higher on-shelf than off-shelf, potentially providing ecological buffering for predators provisioning offspring. Interestingly, positive response relationships were evident between predator offspring mass and the spatial distribution of krill, measured using indices that represent levels of inequality (patchiness) in krill distribution. These relationships were strongest using indices that reflected the off-shelf krill spatial distribution. We found that krill density and predator offspring mass were also both negatively influenced by sea surface temperature and the Southern Annular Mode, indicating that the environment exerts strong control over ecosystem processes. Finally, we consider the relevance of our results to the ecological framework used by managers responsible for setting catch limits for the regional fishery for krill.</t>
  </si>
  <si>
    <t>[Trathan, P. N.; Fielding, S.; Warwick-Evans, V; Freer, J.] British Antarctic Survey, Nat Environm Res Council, Madingley Rd, Cambridge CB3 0ET, England; [Trathan, P. N.] Univ Southampton, Natl Oceanog Ctr, Ocean &amp; Earth Sci, Southampton SO17 1BJ, Hants, England; [Perry, F.] Plymouth Marine Lab, Prospect Pl, Plymouth PL1 3DH, Devon, England</t>
  </si>
  <si>
    <t>UK Research &amp; Innovation (UKRI); Natural Environment Research Council (NERC); NERC British Antarctic Survey; University of Southampton; NERC National Oceanography Centre; Plymouth Marine Laboratory</t>
  </si>
  <si>
    <t>Trathan, PN (corresponding author), British Antarctic Survey, Nat Environm Res Council, Madingley Rd, Cambridge CB3 0ET, England.;Trathan, PN (corresponding author), Univ Southampton, Natl Oceanog Ctr, Ocean &amp; Earth Sci, Southampton SO17 1BJ, Hants, England.</t>
  </si>
  <si>
    <t>pnt@bas.ac.uk</t>
  </si>
  <si>
    <t>Fielding, Sophie/E-5137-2012</t>
  </si>
  <si>
    <t>Freer, Jennifer/0000-0002-3947-9261</t>
  </si>
  <si>
    <t>Pew Charitable Trusts [PA00034295]</t>
  </si>
  <si>
    <t>Pew Charitable Trusts</t>
  </si>
  <si>
    <t>VW-E, JF, and FP were supported by The Pew Charitable Trusts under grant PA00034295.</t>
  </si>
  <si>
    <t>10.1093/icesjms/fsac168</t>
  </si>
  <si>
    <t>WOS:000865958900001</t>
  </si>
  <si>
    <t>Dominguez, AAB; Macdonald, HS; Rickard, G; Hammond, ML</t>
  </si>
  <si>
    <t>Dominguez, Angela A. Bahamondes; Macdonald, Helen S.; Rickard, Graham; Hammond, Matthew L.</t>
  </si>
  <si>
    <t>Seasonal nutrient co-limitation in a temperate shelf sea: A modelling approach</t>
  </si>
  <si>
    <t>Shelf sea biogeochemistry; Biogeochemical modelling; Celtic sea; Dissolved iron; Nitrate; Primary production</t>
  </si>
  <si>
    <t>MESOSCALE IRON ENRICHMENT; DISSOLVED IRON; PHYTOPLANKTON GROWTH; SPRING BLOOM; CELTIC SEA; BIOGEOCHEMICAL MODEL; ORGANIC-MATTER; ATLANTIC-OCEAN; NITRATE UPTAKE; CLIMATE-CHANGE</t>
  </si>
  <si>
    <t>Nutrient limitation on phytoplankton growth plays a critical role in ocean productivity, the functioning of marine ecosystems, and the ocean carbon cycle. In the Celtic Sea, a temperate shelf sea, many studies have shown the importance of nitrate on phytoplankton growth focusing on the seasonal cycle of nitrate and feedbacks with the physical environment; but only recently has it been demonstrated, through discrete measurements, that dissolved iron also plays an important role in the ecosystem of the region. A well -established one-dimensional model has been developed to analyse the nutrient co-limitation between dissolved iron and dissolved inorganic nitrogen in the Celtic Sea. This model allows us to study the full seasonal cycle and inter-annual variability of these two nutrients. Simulations show that dissolved iron is an important nutrient for the development of the spring bloom, while nitrate plays a more important role during the summer season. Sensitivity analyses show that these results are robust when varying the nutrient-related parameters; the largest variability observed for primary production was observed when varying the nutrient sediment flux rates for dissolved iron and nitrate while less impact on phytoplankton production occurs when changing the half saturation constants. Here, we demonstrate that dissolved iron is an important nutrient for the development of the spring bloom and it should not be neglected as a state variable when modelling the Celtic Sea or other temperate shelf seas.</t>
  </si>
  <si>
    <t>[Dominguez, Angela A. Bahamondes; Macdonald, Helen S.; Rickard, Graham] Natl Inst Water &amp; Atmospher Res, Evans Bay Parade Hataitai, Wellington 6021, New Zealand; [Hammond, Matthew L.] Natl Oceanog Ctr, European Way, Southampton SO14 3ZH, England</t>
  </si>
  <si>
    <t>National Institute of Water &amp; Atmospheric Research (NIWA) - New Zealand; University of Southampton; NERC National Oceanography Centre</t>
  </si>
  <si>
    <t>Dominguez, AAB (corresponding author), Natl Inst Water &amp; Atmospher Res, Evans Bay Parade Hataitai, Wellington 6021, New Zealand.</t>
  </si>
  <si>
    <t>angela.bahamondesdominguez@niwa.co.nz</t>
  </si>
  <si>
    <t>Bahamondes Dominguez, Angela/0000-0001-7994-9160; rickard, graham/0000-0002-0169-4361</t>
  </si>
  <si>
    <t>MBIE NZ project; Antarctic Science Platform (ASP) , New Zealand; [ANTA1801]; New Zealand Ministry of Business, Innovation &amp; Employment (MBIE) [ANTA1801] Funding Source: New Zealand Ministry of Business, Innovation &amp; Employment (MBIE)</t>
  </si>
  <si>
    <t>MBIE NZ project; Antarctic Science Platform (ASP) , New Zealand; ; New Zealand Ministry of Business, Innovation &amp; Employment (MBIE)</t>
  </si>
  <si>
    <t>Funding This work was funded by the MBIE NZ project code ANTA1801 aligned by the Antarctic Science Platform (ASP) , New Zealand.</t>
  </si>
  <si>
    <t>10.1016/j.csr.2022.104855</t>
  </si>
  <si>
    <t>5R1FI</t>
  </si>
  <si>
    <t>WOS:000874263500001</t>
  </si>
  <si>
    <t>Griffiths, HJ; Whittle, RJ; Mitchell, EG</t>
  </si>
  <si>
    <t>Griffiths, Huw J.; Whittle, Rowan J.; Mitchell, Emily G.</t>
  </si>
  <si>
    <t>Animal survival strategies in Neoproterozoic ice worlds</t>
  </si>
  <si>
    <t>Cryogenian; Ediacaran; Gaskiers; Marinoan; polar; slushball Earth; snowball Earth; Sturtian</t>
  </si>
  <si>
    <t>SHALLOW-WATER SITE; ANTARCTIC SEA-ICE; WEDDELL SEA; OCEAN CIRCULATION; CLIMATE-CHANGE; EDIACARAN; SHELF; LIFE; ORIGIN; PENINSULA</t>
  </si>
  <si>
    <t>The timing of the first appearance of animals is of crucial importance for understanding the evolution of life on Earth. Although the fossil record places the earliest metazoans at 572-602 Ma, molecular clock studies suggest a far earlier origination, as far back as similar to 850 Ma. The difference in these dates would place the rise of animal life into a time period punctuated by multiple colossal, potentially global, glacial events. Although the two schools of thought debate the limitations of each other's methods, little time has been dedicated to how animal life might have survived if it did arise before or during these global glacial periods. The history of recent polar biota shows that organisms have found ways of persisting on and around the ice of the Antarctic continent throughout the Last Glacial Maximum (33-14 Ka), with some endemic species present before the breakup of Gondwana (180-23 Ma), Here we discuss the survival strategies and habitats of modern polar marine organisms in environments analogous to those that could have existed during Neoproterozoic glaciations. We discuss how, despite the apparent harshness of many ice covered, sub-zero, Antarctic marine habitats, animal life thrives on, in and under the ice. Ice dominated systems and processes make some local environments more habitable through water circulation, oxygenation, terrigenous nutrient input and novel habitats. We consider how the physical conditions of Neoproterozoic glaciations would likely have dramatically impacted conditions for potential life in the shallows and erased any possible fossil evidence from the continental shelves. The recent glacial cycle has driven the evolution of Antarctica's unique fauna by acting as a diversity pump, and the same could be true for the late Proterozoic and the evolution of animal life on Earth, and the existence of life elsewhere in the universe on icy worlds or moons.</t>
  </si>
  <si>
    <t>[Griffiths, Huw J.; Whittle, Rowan J.] British Antarctic Survey, Madingley Rd, Cambridge CB3 0ET, England; [Mitchell, Emily G.] Univ Cambridge, Dept Zool, Cambridge, England</t>
  </si>
  <si>
    <t>UK Research &amp; Innovation (UKRI); Natural Environment Research Council (NERC); NERC British Antarctic Survey; University of Cambridge</t>
  </si>
  <si>
    <t>Griffiths, HJ (corresponding author), British Antarctic Survey, Madingley Rd, Cambridge CB3 0ET, England.</t>
  </si>
  <si>
    <t>hjg@bas.ac.uk</t>
  </si>
  <si>
    <t>Griffiths, Huw J/D-4234-2009; Mitchell, Emily/AAK-1991-2020</t>
  </si>
  <si>
    <t>Griffiths, Huw J/0000-0003-1764-223X;</t>
  </si>
  <si>
    <t>British Antarctic Survey [NE/S014756/1]; FLF [MR/W01002X/1] Funding Source: UKRI; NERC [NE/S014756/1, NE/P002412/1] Funding Source: UKRI</t>
  </si>
  <si>
    <t>British Antarctic Survey; FLF; NERC(UK Research &amp; Innovation (UKRI)Natural Environment Research Council (NERC))</t>
  </si>
  <si>
    <t>The authors thank Franz Anthony for his interpretation of our musing to create the palaeo-reconstruction used in Figure 3. We thank Katie Delahooke for her useful suggestions and additional references. This work was funded by British Antarctic Survey national capability funding for H.J.G. and R.J.W. and a UKRI grant (NE/S014756/1) to E.G.M. For the purpose of open access, the author has applied a Creative Commons Attribution (CC BY) license to any Author Accepted Manuscript version arising.</t>
  </si>
  <si>
    <t>10.1111/gcb.16393</t>
  </si>
  <si>
    <t>WOS:000867626000001</t>
  </si>
  <si>
    <t>Adams, S</t>
  </si>
  <si>
    <t>Adams, Spencer</t>
  </si>
  <si>
    <t>Imaginaries of planetary inhabitance: Polar futurism and the labors of climate science</t>
  </si>
  <si>
    <t>ENVIRONMENT AND PLANNING E-NATURE AND SPACE</t>
  </si>
  <si>
    <t>Climate adaptation; labor; design; polar geographies; socio-technical imaginaries</t>
  </si>
  <si>
    <t>ANTARCTICA</t>
  </si>
  <si>
    <t>An emergent polar futurism characterizes the contemporary built space of climate science in Antarctica, inaugurated in large part by the British Antarctic Survey's cutting-edge Halley VI research base. This article analyzes the spatial form, design, and use of Halley VI as well as the rhetoric surrounding it, seeing in Halley VI an expression of a particular socio-technical imaginary that implicitly gestures toward a tendential integration of climate science and global logistics. Alongside claims toward fostering a comfortable, communal life among its inhabitants, the imaginary embedded in Halley VI is one where climate research is subsumed within capital's broader aims to facilitate stable logistical movements and infrastructural durability amid chaotic, volatile conditions, a subsumption that bears in particular on the knowledge workers who inhabit the base. What a reading of the base's layout, interior, and lived-in uses exposes, the paper claims, is an implicit portending of a growing proletarianization of sensual experience and knowledge work among residents at the base, increasingly displaced as they are from the subjective core of the base's operations. This reading both extends and complicates recent calls in polar geographies to attend to speculative figurations of Antarctic futures, channeling Halley VI's polar futurism through structural determinants drawn out of literatures critically dealing with design, the history of systems sciences, and theorizations of ongoing restructurings of contemporary labor. The article suggests then that imaginaries of Anthropocenic futures such as those embedded in Halley VI's polar futurism might serve at once as speculative-projective tools and implicit sites for carrying out critiques of tensions and pernicious trends that underlie such Anthropocenic speculation.</t>
  </si>
  <si>
    <t>[Adams, Spencer] Univ Calif Berkeley, Berkeley, CA USA</t>
  </si>
  <si>
    <t>University of California System; University of California Berkeley</t>
  </si>
  <si>
    <t>Adams, S (corresponding author), Univ Calif Berkeley, Dept Rhetor, 7408 Dwinelle Hall 2670, Berkeley, CA 94720 USA.</t>
  </si>
  <si>
    <t>spencera716@berkeley.edu</t>
  </si>
  <si>
    <t>Adams, Spencer/0000-0001-6990-6060</t>
  </si>
  <si>
    <t>SAGE PUBLICATIONS INC</t>
  </si>
  <si>
    <t>THOUSAND OAKS</t>
  </si>
  <si>
    <t>2455 TELLER RD, THOUSAND OAKS, CA 91320 USA</t>
  </si>
  <si>
    <t>2514-8486</t>
  </si>
  <si>
    <t>2514-8494</t>
  </si>
  <si>
    <t>ENVIRON PLAN E-NAT</t>
  </si>
  <si>
    <t>Environ. Plan. E-Nat. Space</t>
  </si>
  <si>
    <t>10.1177/25148486221129124</t>
  </si>
  <si>
    <t>Environmental Studies; Geography</t>
  </si>
  <si>
    <t>Environmental Sciences &amp; Ecology; Geography</t>
  </si>
  <si>
    <t>T8AI1</t>
  </si>
  <si>
    <t>WOS:000866194500001</t>
  </si>
  <si>
    <t>Stroeve, J; Nandan, V; Willatt, R; Dadic, R; Rostosky, P; Gallagher, M; Mallett, R; Barrett, A; Hendricks, S; Tonboe, R; McCrystall, M; Serreze, M; Thielke, L; Spreen, G; Newman, T; Yackel, J; Ricker, R; Tsamados, M; Macfarlane, A; Hannula, HR; Schneebeli, M</t>
  </si>
  <si>
    <t>Stroeve, Julienne; Nandan, Vishnu; Willatt, Rosemary; Dadic, Ruzica; Rostosky, Philip; Gallagher, Michael; Mallett, Robbie; Barrett, Andrew; Hendricks, Stefan; Tonboe, Rasmus; McCrystall, Michelle; Serreze, Mark; Thielke, Linda; Spreen, Gunnar; Newman, Thomas; Yackel, John; Ricker, Robert; Tsamados, Michel; Macfarlane, Amy; Hannula, Henna-Reetta; Schneebeli, Martin</t>
  </si>
  <si>
    <t>Rain on snow (ROS) understudied in sea ice remote sensing: a multi-sensor analysis of ROS during MOSAiC (Multidisciplinary drifting Observatory for the Study of Arctic Climate)</t>
  </si>
  <si>
    <t>SURFACE-AREA; WET SNOW; RADAR; EVENTS; THICKNESS; COVER; DEPTH; ALGORITHMS; RETRIEVAL; CRYOSAT-2</t>
  </si>
  <si>
    <t>Arctic rain on snow (ROS) deposits liquid water onto existing snowpacks. Upon refreezing, this can form icy crusts at the surface or within the snowpack. By altering radar backscatter and microwave emissivity, ROS over sea ice can influence the accuracy of sea ice variables retrieved from satellite radar altimetry, scatterometers, and passive microwave radiometers. During the Arctic Ocean MOSAiC (Multidisciplinary drifting Observatory for the Study of Arctic Climate) expedition, there was an unprecedented opportunity to observe a ROS event using in situ active and passive microwave instruments similar to those deployed on satellite platforms. During liquid water accumulation in the snowpack from rain and increased melt, there was a 4-fold decrease in radar energy returned at Ku- and Ka-bands. After the snowpack refroze and ice layers formed, this decrease was followed by a 6-fold increase in returned energy. Besides altering the radar backscatter, analysis of the returned waveforms shows the waveform shape changed in response to rain and refreezing. Microwave emissivity at 19 and 89 GHz increased with increasing liquid water content and decreased as the snowpack refroze, yet subsequent ice layers altered the polarization difference. Corresponding analysis of the CryoSat-2 waveform shape and backscatter as well as AMSR2 brightness temperatures further shows that the rain and refreeze were significant enough to impact satellite returns. Our analysis provides the first detailed in situ analysis of the impacts of ROS and subsequent refreezing on both active and passive microwave observations, providing important baseline knowledge for detecting ROS over sea ice and assessing their impacts on satellite-derived sea ice variables.</t>
  </si>
  <si>
    <t>[Stroeve, Julienne; Nandan, Vishnu; McCrystall, Michelle] Univ Manitoba, Ctr Earth Observat Sci CEOS, Winnipeg, MB, Canada; [Stroeve, Julienne; Barrett, Andrew; Serreze, Mark] Univ Colorado, Natl Snow &amp; Ice Data Ctr NSIDC, Cooperat Inst Res Environm Sci CIRES, Boulder, CO 80309 USA; [Stroeve, Julienne; Willatt, Rosemary; Mallett, Robbie; Newman, Thomas; Tsamados, Michel] UCL, Dept Earth Sci, London, England; [Dadic, Ruzica] Victoria Univ Wellington, Antarctic Res Ctr, Wellington, New Zealand; [Dadic, Ruzica; Macfarlane, Amy; Schneebeli, Martin] WSL Inst Snow &amp; Avalanche Res SLF, Davos, Switzerland; [Rostosky, Philip; Thielke, Linda; Spreen, Gunnar] Univ Bremen, Inst Environm Phys, Bremen, Germany; [Gallagher, Michael] Univ Colorado, Cooperat Inst Res Environm Sci CIRES, Natl Oceanog &amp; Atmospher Adm NOAA, Phys Sci Lab, Boulder, CO 80309 USA; [Hendricks, Stefan] Alfred Wegener Inst, Helmholtz Ctr Polar &amp; Marine Res, Bremerhaven, Germany; [Tonboe, Rasmus] Tech Univ Denmark, Dept Space Res &amp; Technol Microwaves &amp; Remote Sens, Copenhagen, Denmark; [Nandan, Vishnu; Yackel, John] Univ Calgary, Dept Geog, Calgary, AB, Canada; [Ricker, Robert] Norwegian Res Ctr, Tromso, Norway; [Hannula, Henna-Reetta] Finnish Meteorol Inst, Space &amp; Earth Observat Ctr, Helsinki, Finland</t>
  </si>
  <si>
    <t>University of Manitoba; University of Colorado System; University of Colorado Boulder; University of London; University College London; Victoria University Wellington; Swiss Federal Institutes of Technology Domain; Swiss Federal Institute for Forest, Snow &amp; Landscape Research; University of Bremen; University of Colorado System; University of Colorado Boulder; Helmholtz Association; Alfred Wegener Institute, Helmholtz Centre for Polar &amp; Marine Research; Technical University of Denmark; University of Calgary; Norwegian Research Centre (NORCE); Finnish Meteorological Institute</t>
  </si>
  <si>
    <t>Stroeve, J (corresponding author), Univ Manitoba, Ctr Earth Observat Sci CEOS, Winnipeg, MB, Canada.;Stroeve, J (corresponding author), Univ Colorado, Natl Snow &amp; Ice Data Ctr NSIDC, Cooperat Inst Res Environm Sci CIRES, Boulder, CO 80309 USA.;Stroeve, J (corresponding author), UCL, Dept Earth Sci, London, England.</t>
  </si>
  <si>
    <t>julienne.stroeve@umanitoba.ca</t>
  </si>
  <si>
    <t>Nandan, Vishnu/IUP-4703-2023; Ricker, Robert/Z-4214-2019; Spreen, Gunnar/A-4533-2010; Schneebeli, Martin/B-1063-2008; Willatt, Rosemary/HTN-4931-2023; Hendricks, Stefan/D-5168-2011; Macfarlane, Amy/JJF-4792-2023</t>
  </si>
  <si>
    <t>Nandan, Vishnu/0000-0001-9643-6658; Ricker, Robert/0000-0001-6928-7757; Spreen, Gunnar/0000-0003-0165-8448; Schneebeli, Martin/0000-0003-2872-4409; Hendricks, Stefan/0000-0002-1412-3146; Macfarlane, Amy/0000-0002-1638-8885; Mallett, Robbie/0000-0002-1069-6529; Newman, Thomas/0009-0005-0440-8366; Tonboe, Rasmus Tage/0000-0003-1463-4832; Willatt, Rosemary/0000-0003-2512-562X; Dadic, Ruzica/0000-0003-1303-1896</t>
  </si>
  <si>
    <t>Canada 150 Chair program [G00321321]; National Science Foundation (NSF) [ICER 1928230]; Natural Environment Research Council (NERC) [NE/S002510/1, NE/L002485/1]; European Space Agency [PO 5001027396]; European Union [101003826, 730965]; Canada's Marine Environmental Observation, Prediction and Response Network (MEOPAR) postdoctoral funds; DOE Atmospheric System Research Program [DE-SC0019251, DE-SC0021341]; German Ministry for Education and Research (BMBF) through the MOSAiC IceSense project [03F0866B]; Deutsche Forschungsgemeinschaft (DFG) through the International Research Training Group IRTG 1904 ArcTrain [221211316]; Swiss Polar Institute grant SnowMOSAiC [EXF-2018-003]; U.S. Department of Energy (DOE) [DE-SC0019251, DE-SC0021341] Funding Source: U.S. Department of Energy (DOE); NERC [NE/S002510/1] Funding Source: UKRI</t>
  </si>
  <si>
    <t>Canada 150 Chair program; National Science Foundation (NSF)(National Science Foundation (NSF)); Natural Environment Research Council (NERC)(UK Research &amp; Innovation (UKRI)Natural Environment Research Council (NERC)); European Space Agency(European Space Agency); European Union(European Union (EU)); Canada's Marine Environmental Observation, Prediction and Response Network (MEOPAR) postdoctoral funds; DOE Atmospheric System Research Program; German Ministry for Education and Research (BMBF) through the MOSAiC IceSense project(Federal Ministry of Education &amp; Research (BMBF)); Deutsche Forschungsgemeinschaft (DFG) through the International Research Training Group IRTG 1904 ArcTrain(German Research Foundation (DFG)); Swiss Polar Institute grant SnowMOSAiC; U.S. Department of Energy (DOE)(United States Department of Energy (DOE)); NERC(UK Research &amp; Innovation (UKRI)Natural Environment Research Council (NERC))</t>
  </si>
  <si>
    <t>This work was carried out as part of the international Multidisciplinary drifting Observatory for the Study of the Arctic Climate (MOSAiC), MOSAiC20192020, and was funded in part by the Canada 150 Chair program (no. G00321321), the National Science Foundation (NSF; grant no. ICER 1928230), and the Natural Environment Research Council (NERC; grant nos. NE/S002510/1 and NE/L002485/1). Funding was also provided by the European Space Agency (grant no. PO 5001027396). Rosemary Willatt was partially funded by the European Union H2020-LC-CLA-2018-2019-202 CRiceS project grant no. 101003826. Vishnu Nandan was additionally supported by Canada's Marine Environmental Observation, Prediction and Response Network (MEOPAR) postdoctoral funds. Michael Gallagher was supported by the DOE Atmospheric System Research Program (nos. DE-SC0019251 and DE-SC0021341). Philip Rostosky, Gunnar Spreen, and Linda Thielke were supported by the German Ministry for Education and Research (BMBF) through the MOSAiC IceSense project (no. 03F0866B) and by the Deutsche Forschungsgemeinschaft (DFG) through the International Research Training Group IRTG 1904 ArcTrain (no. 221211316). Mark Serreze acknowledges Scanco Medical AG for providing their newest microCT90. Mark Serreze, Ruzica Dadic, and Amy Macfarlane were supported by the European Union's Horizon 2020 research and innovation program projects ARICE (no. 730965) for MOSAiC berth fees associated with the participation of the DEARice and by the Swiss Polar Institute grant SnowMOSAiC (no. EXF-2018-003). We thank all persons involved in the expedition of the R/V Polarstern during MOSAiC in 2019-2020 (AWI_PS122_00) as listed in Nixdorf et al. (2021). We further thank Lars Kaleschke for his calibration of the SBR instrument during Leg 3.</t>
  </si>
  <si>
    <t>OCT 11</t>
  </si>
  <si>
    <t>10.5194/tc-16-4223-2022</t>
  </si>
  <si>
    <t>5E7KZ</t>
  </si>
  <si>
    <t>WOS:000865802500001</t>
  </si>
  <si>
    <t>Rey, AR; Balza, U; Domato, I; Zunino, F</t>
  </si>
  <si>
    <t>Rey, Andrea Raya; Balza, Ulises; Domato, Ignacio; Zunino, Francisco</t>
  </si>
  <si>
    <t>New Magellanic penguin Spheniscus magellanicus colony in a subantarctic island</t>
  </si>
  <si>
    <t>Seabird; Dispersal; Colony foundation; Tierra del Fuego; Distribution expansion</t>
  </si>
  <si>
    <t>TIERRA-DEL-FUEGO; POPULATION TRENDS; GENETIC-STRUCTURE; MARTILLO ISLAND; DYNAMICS; SEABIRD; BIOLOGY</t>
  </si>
  <si>
    <t>This paper provides data on a newly discovered colony of Magellanic penguins Spheniscus magellanicus in the southwest Atlantic Ocean. A new settlement was found while conducting southern rockhopper penguin Eudyptes chrysocome studies in the San Juan de Salvamento colony in Staten Island, Argentina. The colony holds 88 breeding pairs. While the origin of the founders was unknown, it is possible that they came from the nearby Observatorio Island colony located similar to 20 km away. New colonies allow populations to expand and establish in new areas, which could allow a species to respond to changes in climate. Nonetheless, this expansion might be a detriment to other penguin species that already occupied the area.</t>
  </si>
  <si>
    <t>[Rey, Andrea Raya; Balza, Ulises] Ctr Austral Invest Cient CADIC CONICET, Lab Ecol &amp; Conservac Vida Silvestre, Bernardo Houssay 200, Ushuaia, Argentina; [Rey, Andrea Raya] Univ Nacl Tierra Fuego UNTdF, Inst Ciencias Polares Ambiente &amp; Recursos Nat ICP, Leandro N Alem 1036, Ushuaia, Argentina; [Rey, Andrea Raya] Wildlife Conservat Soc, Amenabar 1595,Off 19,C1426AKC, Buenos Aires, DF, Argentina; [Domato, Ignacio; Zunino, Francisco] Logist Expedit, Marcos Zar 148, Ushuaia, Tierra Del Fueg, Argentina; [Zunino, Francisco] Adm Parques Nacl, Direcc Reg Patagonia Austral, RA-1395 San Martin, Ushuaia, Argentina</t>
  </si>
  <si>
    <t>Rey, AR (corresponding author), Ctr Austral Invest Cient CADIC CONICET, Lab Ecol &amp; Conservac Vida Silvestre, Bernardo Houssay 200, Ushuaia, Argentina.;Rey, AR (corresponding author), Univ Nacl Tierra Fuego UNTdF, Inst Ciencias Polares Ambiente &amp; Recursos Nat ICP, Leandro N Alem 1036, Ushuaia, Argentina.;Rey, AR (corresponding author), Wildlife Conservat Soc, Amenabar 1595,Off 19,C1426AKC, Buenos Aires, DF, Argentina.</t>
  </si>
  <si>
    <t>arayarey@wcs.org</t>
  </si>
  <si>
    <t>Balza, Ulises/AAO-6580-2020</t>
  </si>
  <si>
    <t>Balza, Ulises/0000-0003-1538-2438</t>
  </si>
  <si>
    <t>Wildlife Conservation Society; Antarctic Research Trust</t>
  </si>
  <si>
    <t>We thank Henk Boersma for our safe trips to the island onboard the Sarah Vorwerk. We also acknowledge Maria Eugenia Lopez who provided the digital elevation model used to depict the colony area in Fig. 2, and Fernando Encinas and Juan Manuel Raya Rey for helping with the survey during the second expedition. Sabrina Harris helped with language edits. The seabird conservation program and associated expeditions have been supported by the Wildlife Conservation Society and the Antarctic Research Trust over the last decade.</t>
  </si>
  <si>
    <t>10.1007/s00300-022-03093-6</t>
  </si>
  <si>
    <t>WOS:000865892800001</t>
  </si>
  <si>
    <t>Dunmire, D; Lenaerts, JTM; Datta, RT; Gorte, T</t>
  </si>
  <si>
    <t>Dunmire, Devon; Lenaerts, Jan T. M.; Datta, Rajashree Tri; Gorte, Tessa</t>
  </si>
  <si>
    <t>Antarctic surface climate and surface mass balance in the Community Earth System Model version 2 during the satellite era and into the future (1979-2100)</t>
  </si>
  <si>
    <t>PENINSULA</t>
  </si>
  <si>
    <t>Earth system models (ESMs) allow us to explore minimally observed components of the Antarctic Ice Sheet (AIS) climate system, both historically and under future climate change scenarios. Here, we present and analyze surface climate output from the most recent version of the National Center for Atmospheric Research's ESM: the Community Earth System Model version 2 (CESM2). We compare AIS surface climate and surface mass balance (SMB) trends as simulated by CESM2 with reanalysis and regional climate models and observations. We find that CESM2 substantially better represents the mean-state AIS near-surface temperature, wind speed, and surface melt compared with its predecessor, CESM1. This improvement likely results from the inclusion of new cloud microphysical parameterizations and changes made to the snow model component. However, we also find that grounded CESM2 SMB (2269 +/- 100 Gt yr(-1)) is significantly higher than all other products used in this study and that both temperature and precipitation are increasing across the AIS during the historical period, a trend that cannot be reconciled with observations. This study provides a comprehensive analysis of the strengths and weaknesses of the representation of AIS surface climate in CESM2, work that will be especially useful in preparation for CESM3 which plans to incorporate a coupled ice sheet model that interacts with the ocean and atmosphere.</t>
  </si>
  <si>
    <t>[Dunmire, Devon; Lenaerts, Jan T. M.; Datta, Rajashree Tri; Gorte, Tessa] Univ Colorado, Dept Atmospher &amp; Ocean Sci, Boulder, CO 80309 USA</t>
  </si>
  <si>
    <t>Dunmire, D (corresponding author), Univ Colorado, Dept Atmospher &amp; Ocean Sci, Boulder, CO 80309 USA.</t>
  </si>
  <si>
    <t>devon.dunmire@colorado.edu</t>
  </si>
  <si>
    <t>Datta, Rajashree Tri/0000-0003-2241-0687; Dunmire, Devon/0000-0001-6299-9137; Lenaerts, Jan/0000-0003-4309-4011</t>
  </si>
  <si>
    <t>National Aeronautics and Space Administration [80NSSC19K1329]; National Science Foundation [1952199]</t>
  </si>
  <si>
    <t>National Aeronautics and Space Administration(National Aeronautics &amp; Space Administration (NASA)); National Science Foundation(National Science Foundation (NSF))</t>
  </si>
  <si>
    <t>Devon Dunmire received support from National Aeronautics and Space Administration (grant no. 80NSSC19K1329; FINESST, Future Investigators in NASA Earth and Space Science and Technology). Devon Dunmire, Jan T. M. Lenaerts, and Rajashree Tri Datta were supported by the National Science Foundation (grant no. 1952199).</t>
  </si>
  <si>
    <t>10.5194/tc-16-4163-2022</t>
  </si>
  <si>
    <t>5E6WY</t>
  </si>
  <si>
    <t>WOS:000865764700001</t>
  </si>
  <si>
    <t>Stuart-Smith, RD; Edgar, GJ; Clausius, E; Oh, ES; Barrett, NS; Emslie, MJ; Bates, AE; Bax, N; Brock, D; Cooper, A; Davis, TR; Day, PB; Dunic, JC; Green, A; Hasweera, N; Hicks, J; Holmes, TH; Jones, B; Jordan, A; Knott, N; Larkin, MF; Ling, SD; Mooney, P; Pocklington, JB; Seroussi, Y; Shaw, I; Shields, D; Smith, M; Soler, GA; Stuart-Smith, J; Turak, E; Turnbull, JW; Mellin, C</t>
  </si>
  <si>
    <t>Stuart-Smith, Rick D.; Edgar, Graham J.; Clausius, Ella; Oh, Elizabeth S.; Barrett, Neville S.; Emslie, Michael J.; Bates, Amanda E.; Bax, Nic; Brock, Daniel; Cooper, Antonia; Davis, Tom R.; Day, Paul B.; Dunic, Jillian C.; Green, Andrew; Hasweera, Norfaizny; Hicks, Jamie; Holmes, Thomas H.; Jones, Ben; Jordan, Alan; Knott, Nathan; Larkin, Meryl F.; Ling, Scott D.; Mooney, Peter; Pocklington, Jacqueline B.; Seroussi, Yanir; Shaw, Ian; Shields, Derek; Smith, Margo; Soler, German A.; Stuart-Smith, Jemina; Turak, Emre; Turnbull, John W.; Mellin, Camille</t>
  </si>
  <si>
    <t>Tracking widespread climate-driven change on temperate and tropical reefs</t>
  </si>
  <si>
    <t>CORAL-REEFS; FISH; FISHERIES</t>
  </si>
  <si>
    <t>Warming seas, marine heatwaves, and habitat degradation are increasingly widespread phenomena affecting marine biodiversity, yet our understanding of their broader impacts is largely derived from collective insights from independent localized studies. Insufficient systematic broadscale monitoring limits our understanding of the true extent of these impacts and our capacity to track these at scales relevant to national policies and international agreements. Using an extensive time series of co-located reef fish community structure and habitat data spanning 12 years and the entire Australian continent, we found that reef fish community responses to changing temperatures and habitats are dynamic and widespread but regionally patchy. Shifts in composition and abundance of the fish community often occurred within 2 years of environmental or habitat change, although the relative importance of these two mechanisms of climate impact tended to differ between tropical and temperate zones. The clearest of these changes on temperate and subtropical reefs were temperature related, with responses measured by the reef fish thermal index indicating reshuffling according to the thermal affinities of species present. On low latitude coral reefs, the community generalization index indicated shifting dominance of habitat generalist fishes through time, concurrent with changing coral cover. Our results emphasize the importance of maintaining local ecological detail when scaling up datasets to inform national policies and global biodiversity targets. Scaled-up ecological monitoring is needed to discriminate among increasingly diverse drivers of large-scale biodiversity change and better connect presently disjointed systems of biodiversity observation, indicator research, and governance.</t>
  </si>
  <si>
    <t>[Stuart-Smith, Rick D.; Edgar, Graham J.; Clausius, Ella; Oh, Elizabeth S.; Barrett, Neville S.; Cooper, Antonia; Day, Paul B.; Hasweera, Norfaizny; Jordan, Alan; Ling, Scott D.; Soler, German A.; Stuart-Smith, Jemina; Turak, Emre] Univ Tasmania, Inst Marine &amp; Antarctic Studies, Hobart, Tas 7001, Australia; [Stuart-Smith, Rick D.; Edgar, Graham J.; Clausius, Ella; Cooper, Antonia; Day, Paul B.; Green, Andrew; Jones, Ben; Larkin, Meryl F.; Mooney, Peter; Shaw, Ian; Shields, Derek; Smith, Margo] Reef Life Survey Fdn, 60 Napoleon St, Battery Point, Tas 7000, Australia; [Emslie, Michael J.] Australian Inst Marine Sci, Townsville, Qld 4810, Australia; [Bates, Amanda E.] Univ Victoria, Dept Biol, Victoria, BC, Canada; [Bax, Nic] CSIRO, Oceans &amp; Atmosphere, Hobart, Tas 7000, Australia; [Brock, Daniel; Hicks, Jamie] Dept Environm &amp; Water, Marine Sci Program, 81-95 Waymouth St, Adelaide, SA 5000, Australia; [Davis, Tom R.] NSW Dept Primary Ind, Fisheries Res, Coffs Harbour 2450, Australia; [Dunic, Jillian C.] Simon Fraser Univ, Dept Biol Sci, 8888 Univ Dr, Burnaby, BC V5A 1S6, Canada; [Holmes, Thomas H.] Dept Biodivers Conservat &amp; Attract, Biodivers &amp; Conservat Sci, Kensington, WA, Australia; [Holmes, Thomas H.] Univ Western Australia, UWA Oceans Inst, Crawley, WA, Australia; [Knott, Nathan] NSW Dept Primary Ind, Marine Ecosyst Res, POB 89, Huskisson, NSW 2540, Australia; [Larkin, Meryl F.] Southern Cross Univ, Natl Marine Sci Ctr, 2 Bay Dr, Coffs Harbour, Australia; [Pocklington, Jacqueline B.] Deakin Univ, Sch Life &amp; Environm Sci, Geelong, Vic, Australia; [Pocklington, Jacqueline B.] Pk Victoria, Environm &amp; Sci Div, Melbourne, Vic 3000, Australia; [Seroussi, Yanir] Underwater Res Grp Queensland, 24 Pulle St, Perennially, Qld 4105, Australia; [Turnbull, John W.] Univ New South Wales, Sch Biol Earth &amp; Environm Sci, Kensington Campus, Sydney, NSW 2052, Australia; [Mellin, Camille] Univ Adelaide, Environm Inst, Adelaide, SA 5005, Australia; [Mellin, Camille] Univ Adelaide, Sch Biol Sci, Adelaide, SA 5005, Australia</t>
  </si>
  <si>
    <t>University of Tasmania; Australian Institute of Marine Science; University of Victoria; Commonwealth Scientific &amp; Industrial Research Organisation (CSIRO); NSW Department of Primary Industries; Simon Fraser University; University of Western Australia; NSW Department of Primary Industries; Southern Cross University; Deakin University; Melbourne Genomics Health Alliance; University of New South Wales Sydney; University of Adelaide; University of Adelaide</t>
  </si>
  <si>
    <t>Stuart-Smith, RD (corresponding author), Univ Tasmania, Inst Marine &amp; Antarctic Studies, Hobart, Tas 7001, Australia.;Stuart-Smith, RD (corresponding author), Reef Life Survey Fdn, 60 Napoleon St, Battery Point, Tas 7000, Australia.</t>
  </si>
  <si>
    <t>rstuarts@utas.edu.au</t>
  </si>
  <si>
    <t>Stuart-Smith, Rick/I-5214-2019; Edgar, Graham/AAY-3797-2020; Knott, Nathan/AAA-8888-2019; Barrett, Neville/J-7593-2014; Davis, Thomas/T-5803-2017</t>
  </si>
  <si>
    <t>Stuart-Smith, Rick/0000-0002-8874-0083; Edgar, Graham/0000-0003-0833-9001; Knott, Nathan/0000-0002-7873-0412; Oh, Elizabeth/0000-0001-7061-5068; Barrett, Neville/0000-0002-6167-1356; Davis, Thomas/0000-0003-0199-2024; Larkin, Meryl/0000-0003-3478-4723; Mellin, Camille/0000-0002-7369-2349</t>
  </si>
  <si>
    <t>OCT 10</t>
  </si>
  <si>
    <t>10.1016/j.cub.2022.07.067</t>
  </si>
  <si>
    <t>7A4JK</t>
  </si>
  <si>
    <t>WOS:000898424400017</t>
  </si>
  <si>
    <t>Ganly, KH; Bowyer, JC; Bird, PW; Willford, NJ; Shaw, J; Odedra, M; Osborn, G; Everett, T; Warner, M; Horne, S; Dinn, M; McMurray, CL; Holmes, CW; Koo, SSF; Tang, JWT</t>
  </si>
  <si>
    <t>Ganly, Katharine H.; Bowyer, James C.; Bird, Paul W.; Willford, Nicholas J.; Shaw, Jessica; Odedra, Mina; Osborn, Georgia; Everett, Tom; Warner, Matthew; Horne, Simon; Dinn, Michael; McMurray, Claire L.; Holmes, Christopher W.; Koo, Sharon S. F.; Tang, Julian Wei Tze</t>
  </si>
  <si>
    <t>Prospective Surveillance of Respiratory Infections in British Antarctic Survey Bases During the COVID-19 Pandemic</t>
  </si>
  <si>
    <t>JOURNAL OF INFECTIOUS DISEASES</t>
  </si>
  <si>
    <t>Antarctic; SARS-CoV-2; imported; infection; personnel; respiratory virus; surveillance; symptomatic; transmission</t>
  </si>
  <si>
    <t>TRANSMISSION; SUSCEPTIBILITY; VIRUSES; STATION</t>
  </si>
  <si>
    <t>Weekly surveillance for respiratory viruses during the early COVID-19 pandemic in the 2020 Antarctic winter, in 2 British Antarctic Survey bases (Rothera and King Edward Point), revealed several different viruses, but no SARS-CoV-2, and no evidence of sustained onward transmission. Background The British Antarctic bases offer a semiclosed environment for assessing the transmission and persistence of seasonal respiratory viruses. Methods Weekly swabbing was performed for respiratory pathogen surveillance (including SARS-CoV-2), at 2 British Antarctic Survey bases, during 2020: King Edward Point (KEP, 30 June to 29 September, 9 participants, 124 swabs) and Rothera (9 May to 6 June, 27 participants, 127 swabs). Symptom questionnaires were collected for any newly symptomatic cases that presented during this weekly swabbing period. Results At KEP, swabs tested positive for non-SARS-CoV-2 seasonal coronavirus (2), adenovirus (1), parainfluenza 3 (1), and respiratory syncytial virus B (1). At Rothera, swabs tested positive for non-SARS-CoV-2 seasonal coronavirus (3), adenovirus (2), parainfluenza 4 (1), and human metapneumovirus (1). All bacterial agents identified were considered to be colonizers and not pathogenic. Conclusions At KEP, the timeline indicated that the parainfluenza 3 and adenovirus infections could have been linked to some of the symptomatic cases that presented. For the other viruses, the only other possible sources were the visiting ship crew members. At Rothera, the single symptomatic case presented too early for this to be linked to the subsequent viral detections, and the only other possible source could have been a single nonparticipating staff member.</t>
  </si>
  <si>
    <t>[Ganly, Katharine H.; Bowyer, James C.; Everett, Tom; Warner, Matthew; Horne, Simon; Dinn, Michael] Univ Hosp Plymouth NHS Trust, Emergency Dept, British Antarctic Survey Med Unit, Plymouth, Devon, England; [Bird, Paul W.; Willford, Nicholas J.; Shaw, Jessica; Odedra, Mina; Osborn, Georgia; McMurray, Claire L.; Holmes, Christopher W.; Koo, Sharon S. F.; Tang, Julian Wei Tze] Univ Hosp Leicester NHS Trust, Clin Microbiol, Leicester, Leics, England; [Tang, Julian Wei Tze] Univ Leicester, Resp Sci, Leicester, Leics, England</t>
  </si>
  <si>
    <t>University of Leicester; University Hospitals of Leicester NHS Trust; University of Leicester</t>
  </si>
  <si>
    <t>Tang, JWT (corresponding author), Leicester Royal Infirm, Clin Microbiol, 5-F Sandringham Bldg, Leicester LE1 5WW, Leics, England.</t>
  </si>
  <si>
    <t>julian.tang@uhl-tr.nhs.uk</t>
  </si>
  <si>
    <t>Ganly, Katharine/JRW-7401-2023</t>
  </si>
  <si>
    <t>Holmes, Christopher/0000-0002-4765-9107; Warner, Matthew/0009-0003-7184-3099</t>
  </si>
  <si>
    <t>0022-1899</t>
  </si>
  <si>
    <t>1537-6613</t>
  </si>
  <si>
    <t>J INFECT DIS</t>
  </si>
  <si>
    <t>J. Infect. Dis.</t>
  </si>
  <si>
    <t>10.1093/infdis/jiac412</t>
  </si>
  <si>
    <t>Immunology; Infectious Diseases; Microbiology</t>
  </si>
  <si>
    <t>7K1XY</t>
  </si>
  <si>
    <t>Bronze, Green Published</t>
  </si>
  <si>
    <t>WOS:000874786900001</t>
  </si>
  <si>
    <t>Coleine, C; Delgado-Baquerizo, M</t>
  </si>
  <si>
    <t>Coleine, Claudia; Delgado-Baquerizo, Manuel</t>
  </si>
  <si>
    <t>Unearthing terrestrial extreme microbiomes for searching terrestrial-like life in the Solar System</t>
  </si>
  <si>
    <t>TRENDS IN MICROBIOLOGY</t>
  </si>
  <si>
    <t>LOW-EARTH-ORBIT; MARS; SPACE; HABITABILITY; DESERT; VIABILITY; SURVIVAL; VIRUSES</t>
  </si>
  <si>
    <t>The possibility of life elsewhere in the universe has fascinated humankind for ages. To the best of our knowledge, life, as we know it, is limited to planet Earth; yet current investigation suggests that life might be more common than previously thought. In this review, we explore extreme terrestrial analogue envi-ronments in the search for some notable examples of extreme organisms, includ-ing overlooked microbial groups such as viruses, fungi, and protists, associated with limits of life on Earth. This knowledge is integral to provide the foundational principles needed to predict what sort of Earth-like organisms we might find in the Solar System and beyond, and to understand the future and origins of life on Earth.</t>
  </si>
  <si>
    <t>[Coleine, Claudia] Univ Tuscia, Dept Ecol &amp; Biol Sci, I-01100 Viterbo, Italy; [Coleine, Claudia] CSIC, Inst Recursos Nat &amp; Agrobiol Sevilla IRNAS, Lab Biodivers &amp; Funcionamiento Ecosistem, Av Reina Mercedes 10, E-41012 Seville, Spain; [Delgado-Baquerizo, Manuel] Univ Pablo Olavide, Un Asociada CSIC UPO BioFun, Seville 41013, Spain</t>
  </si>
  <si>
    <t>Tuscia University; Consejo Superior de Investigaciones Cientificas (CSIC); CSIC - Instituto de Recursos Naturales y Agrobiologia de Sevilla (IRNAS); Universidad Pablo de Olavide</t>
  </si>
  <si>
    <t>Coleine, C (corresponding author), Univ Tuscia, Dept Ecol &amp; Biol Sci, I-01100 Viterbo, Italy.;Coleine, C (corresponding author), CSIC, Inst Recursos Nat &amp; Agrobiol Sevilla IRNAS, Lab Biodivers &amp; Funcionamiento Ecosistem, Av Reina Mercedes 10, E-41012 Seville, Spain.;Delgado-Baquerizo, M (corresponding author), Univ Pablo Olavide, Un Asociada CSIC UPO BioFun, Seville 41013, Spain.</t>
  </si>
  <si>
    <t>coleine@unitus.it; m.delgado.baquerizo@csic.eu</t>
  </si>
  <si>
    <t>Delgado-Baquerizo, Manuel/L-3653-2017; Coleine, Claudia/AAE-1889-2020</t>
  </si>
  <si>
    <t>Delgado-Baquerizo, Manuel/0000-0002-6499-576X; Coleine, Claudia/0000-0002-9289-6179</t>
  </si>
  <si>
    <t>Italian National Program for Antarctic Research (PNRA); Spanish Ministry of Science and Innovation [P20_00879]; Fondo Europeo de Desarrollo Regional (FEDER); Conocimiento y Universidades of the Junta de Andalucia (FEDER Andalucia); [PID2020-115813RA-I00]</t>
  </si>
  <si>
    <t>Italian National Program for Antarctic Research (PNRA); Spanish Ministry of Science and Innovation(Spanish Government); Fondo Europeo de Desarrollo Regional (FEDER)(European Union (EU)Spanish Government); Conocimiento y Universidades of the Junta de Andalucia (FEDER Andalucia);</t>
  </si>
  <si>
    <t>The authors apologize to all their colleagues working on extremophiles whose work could not be cited due to space restraints and due to the requirement of citing recent articles primarily. C.C. wishes to thank the Italian National Program for Antarctic Research (PNRA) for supporting her research. M.D-B. is supported by a project from the Spanish Ministry of Science and Innovation (PID2020-115813RA-I00), and a project of the Fondo Europeo de Desarrollo Regional (FEDER) and the Consejena de Transformacion Economica, Industria, Conocimiento y Universidades of the Junta de Andalucia (FEDER Andalucia 2014-2020 Objetivo tematico '01 - Refuerzo de la investigacion, el desarrollo tecnologico y la innovacion') asso-ciated with the research project P20_00879 (ANDABIOMA).</t>
  </si>
  <si>
    <t>0966-842X</t>
  </si>
  <si>
    <t>1878-4380</t>
  </si>
  <si>
    <t>TRENDS MICROBIOL</t>
  </si>
  <si>
    <t>Trends Microbiol.</t>
  </si>
  <si>
    <t>10.1016/j.tim.2022.04.002</t>
  </si>
  <si>
    <t>Biochemistry &amp; Molecular Biology; Microbiology</t>
  </si>
  <si>
    <t>5K5AI</t>
  </si>
  <si>
    <t>WOS:000869738200010</t>
  </si>
  <si>
    <t>Vichi, M</t>
  </si>
  <si>
    <t>Vichi, Marcello</t>
  </si>
  <si>
    <t>An indicator of sea ice variability for the Antarctic marginal ice zone</t>
  </si>
  <si>
    <t>PASSIVE MICROWAVE; MOMENTUM EXCHANGE; FLOE SIZE; EXTENT; WINTER; CIRCULATION; THICKNESS; CLIMATE; RETREAT; COVER</t>
  </si>
  <si>
    <t>Remote-sensing records over the last 40 years have revealed large year-to-year global and regional variability in Antarctic sea ice extent. Sea ice area and extent are useful climatic indicators of large-scale variability, but they do not allow the quantification of regions of distinct variability in sea ice concentration (SIC). This is particularly relevant in the marginal ice zone (MIZ), which is a transitional region between the open ocean and pack ice, where the exchanges between ocean, sea ice and atmosphere are more intense. The MIZ is circumpolar and broader in the Antarctic than in the Arctic. Its extent is inferred from satellite-derived SIC using the 15 %-80 % range, assumed to be indicative of open drift or partly closed sea ice conditions typical of the ice edge. This proxy has been proven effective in the Arctic, but it is deemed less reliable in the Southern Ocean, where sea ice type is unrelated to the concentration value, since wave penetration and free-drift conditions have been reported with 100 % cover. The aim of this paper is to propose an alternative indicator for detecting MIZ conditions in Antarctic sea ice, which can be used to quantify variability at the climatological scale on the ice-covered Southern Ocean over the seasons, as well as to derive maps of probability of encountering a certain degree of variability in the expected monthly SIC value. The proposed indicator is based on statistical properties of the SIC; it has been tested on the available climate data records to derive maps of the MIZ distribution over the year and compared with the threshold-based MIZ definition. The results present a revised view of the circumpolar MIZ variability and seasonal cycle, with a rapid increase in the extent and saturation in winter, as opposed to the steady increase from summer to spring reported in the literature. It also reconciles the discordant MIZ extent estimates using the SIC threshold from different algorithms. This indicator complements the use of the MIZ extent and fraction, allowing the derivation of the climatological probability of exceeding a certain threshold of SIC variability, which can be used for planning observational networks and navigation routes, as well as for detecting changes in the variability when using climatological baselines for different periods.</t>
  </si>
  <si>
    <t>[Vichi, Marcello] Univ Cape Town, Dept Oceanog, ZA-7701 Rondebosch, South Africa; [Vichi, Marcello] Univ Cape Town, Marine &amp; Antarctic Res Ctr Innovat &amp; Sustainabil, ZA-7701 Rondebosch, South Africa</t>
  </si>
  <si>
    <t>University of Cape Town; University of Cape Town</t>
  </si>
  <si>
    <t>Vichi, M (corresponding author), Univ Cape Town, Dept Oceanog, ZA-7701 Rondebosch, South Africa.;Vichi, M (corresponding author), Univ Cape Town, Marine &amp; Antarctic Res Ctr Innovat &amp; Sustainabil, ZA-7701 Rondebosch, South Africa.</t>
  </si>
  <si>
    <t>marcello.vichi@uct.ac.za</t>
  </si>
  <si>
    <t>Vichi, Marcello/GLR-9823-2022</t>
  </si>
  <si>
    <t>National Research Foundation of South Africa [118745, 118598]; European Union [101003826]</t>
  </si>
  <si>
    <t>National Research Foundation of South Africa(National Research Foundation - South Africa); European Union(European Union (EU))</t>
  </si>
  <si>
    <t>This research has been supported by the National Research Foundation of South Africa (grant nos. 118745 and 118598). This work has received funding from the European Union's Horizon 2020 research and innovation programme under grant agreement no. 101003826 via project CRiceS (Climate Relevant interactions and feedbacks: the key role of sea ice and Snow in the polar and global climate system).</t>
  </si>
  <si>
    <t>10.5194/tc-16-4087-2022</t>
  </si>
  <si>
    <t>5E2XK</t>
  </si>
  <si>
    <t>WOS:000865490900001</t>
  </si>
  <si>
    <t>Humbert, A; Christmann, J; Corr, HFJ; Helm, V; Höyns, LS; Hofstede, C; Müller, R; Neckel, N; Nicholls, KW; Schultz, T; Steinhage, D; Wolovick, M; Zeising, O</t>
  </si>
  <si>
    <t>Humbert, Angelika; Christmann, Julia; Corr, Hugh F. J.; Helm, Veit; Hoeyns, Lea-Sophie; Hofstede, Coen; Mueller, Ralf; Neckel, Niklas; Nicholls, Keith W.; Schultz, Timm; Steinhage, Daniel; Wolovick, Michael; Zeising, Ole</t>
  </si>
  <si>
    <t>On the evolution of an ice shelf melt channel at the base of Filchner Ice Shelf, from observations and viscoelastic modeling</t>
  </si>
  <si>
    <t>NORTHEAST GREENLAND; ANTARCTICA; STRAIN; PHASE; ELEVATION; GLACIER; BENEATH; RADAR; CIRCULATION; SURFACE</t>
  </si>
  <si>
    <t>Ice shelves play a key role in the stability of the Antarctic Ice Sheet due to their buttressing effect. A loss of buttressing as a result of increased basal melting or ice shelf disintegration will lead to increased ice discharge. Some ice shelves exhibit channels at the base that are not yet fully understood. In this study, we present in situ melt rates of a channel which is up to 330 m high and located in the southern Filchner Ice Shelf. Maximum observed melt rates are 2 m yr(-1). Melt rates inside the channel decrease in the direction of ice flow and turn to freezing similar to 55 km downstream of the grounding line. While closer to the grounding line melt rates are higher within the channel than outside, this relationship reverses further downstream. Comparing the modeled evolution of this channel under present-day climate conditions over 250 years with its present geometry reveals a mismatch. Melt rates twice as large as the present-day values are required to fit the observed geometry. In contrast, forcing the model with present-day melt rates results in a closure of the channel, which contradicts observations. The ice shelf experiences strong tidal variability in vertical strain rates at the measured site, and discrete pulses of increased melting occurred throughout the measurement period. The type of melt channel in this study diminishes in height with distance from the grounding line and is hence not a destabilizing factor for ice shelves.</t>
  </si>
  <si>
    <t>[Humbert, Angelika; Christmann, Julia; Helm, Veit; Hoeyns, Lea-Sophie; Hofstede, Coen; Neckel, Niklas; Steinhage, Daniel; Wolovick, Michael; Zeising, Ole] Helmholtz Zentrum Polar &amp; Meeresforsch, Alfred Wegener Inst, Bremerhaven, Germany; [Humbert, Angelika; Zeising, Ole] Univ Bremen, Dept Geosci, Bremen, Germany; [Corr, Hugh F. J.; Nicholls, Keith W.] NERC, British Antarctic Survey, Cambridge, England; [Hoeyns, Lea-Sophie] Univ Bremen, Dept Math &amp; Comp Sci, Bremen, Germany; [Mueller, Ralf; Schultz, Timm] Univ Kaiserslautern, Inst Appl Mech, Kaiserslautern, Germany; [Mueller, Ralf; Schultz, Timm] Tech Univ Darmstadt, Div Continuum Mech, Darmstadt, Germany</t>
  </si>
  <si>
    <t>Helmholtz Association; Alfred Wegener Institute, Helmholtz Centre for Polar &amp; Marine Research; University of Bremen; UK Research &amp; Innovation (UKRI); Natural Environment Research Council (NERC); NERC British Antarctic Survey; University of Bremen; University of Kaiserslautern; Technical University of Darmstadt</t>
  </si>
  <si>
    <t>Humbert, A (corresponding author), Helmholtz Zentrum Polar &amp; Meeresforsch, Alfred Wegener Inst, Bremerhaven, Germany.;Humbert, A (corresponding author), Univ Bremen, Dept Geosci, Bremen, Germany.</t>
  </si>
  <si>
    <t>angelika.humbert@awi.de</t>
  </si>
  <si>
    <t>Hofstede, Coen/JXM-4966-2024; Wolovick, Michael/JZE-0247-2024; Corr, Hugh/C-5398-2011</t>
  </si>
  <si>
    <t>Wolovick, Michael/0000-0002-9345-7039; Humbert, Angelika/0000-0002-0244-8760; Helm, Veit/0000-0001-7788-9328; Christmann, Julia/0000-0002-5044-1192; Neckel, Niklas/0000-0003-4300-5488</t>
  </si>
  <si>
    <t>AWI strategy fund project FISP; Helmholtz School for Marine Data Science (MarDATA) [HIDSS-0005]; UK Natural Environment Research Council [NE/L013770/1]; BAS; NERC [NE/L013770/1] Funding Source: UKRI</t>
  </si>
  <si>
    <t>AWI strategy fund project FISP; Helmholtz School for Marine Data Science (MarDATA); UK Natural Environment Research Council(UK Research &amp; Innovation (UKRI)Natural Environment Research Council (NERC)); BAS; NERC(UK Research &amp; Innovation (UKRI)Natural Environment Research Council (NERC))</t>
  </si>
  <si>
    <t>This work was funded by the AWI strategy fund project FISP. We acknowledge the support of BAS for the field campaign, in particular the support of the Graham Niven and Bradley Morell, who have been field assistants in the two expeditions. Lea-Sophie Hoyns is funded through the Helmholtz School for Marine Data Science (MarDATA) (grant no. HIDSS-0005). Support for this work came from the UK Natural Environment Research Council large grant Ice shelves in a warming world: Filchner Ice Shelf system (NE/L013770/1).</t>
  </si>
  <si>
    <t>10.5194/tc-16-4107-2022</t>
  </si>
  <si>
    <t>5E2XM</t>
  </si>
  <si>
    <t>WOS:000865491400001</t>
  </si>
  <si>
    <t>Campbell, MA; Bauersachs, T; Schwark, L; Proemse, BC; Eberhard, RS; Coolen, MJL; Grice, K</t>
  </si>
  <si>
    <t>Campbell, Matthew A.; Bauersachs, Thorsten; Schwark, Lorenz; Proemse, Bernadette C.; Eberhard, Rolan S.; Coolen, Marco J. L.; Grice, Kliti</t>
  </si>
  <si>
    <t>Salinity-driven ecology and diversity changes of heterocytous cyanobacteria in Australian freshwater and coastal-marine microbial mats</t>
  </si>
  <si>
    <t>SHARK BAY; NITROGEN-FIXATION; GUERRERO NEGRO; HAMELIN POOL; HETEROCYSTOUS CYANOBACTERIA; LIPID BIOMARKERS; GLYCOLIPIDS; STROMATOLITES; BACTERIAL; BEACH</t>
  </si>
  <si>
    <t>N-2-fixing heterocytous cyanobacteria are considered to play a minor role in sustaining coastal microbial mat communities developing under normal marine to hypersaline conditions. Here, we investigated microbial mats growing under different salinities from freshwater mats of Giblin River (Tasmania) to metahaline and hypersaline mats of Shark Bay (Western Australia). Analyses of genetic (rRNA and mRNA) and biological markers (heterocyte glycolipids) revealed an unexpectedly large diversity of heterocytous cyanobacteria in all the studied microbial mat communities. It was observed that the taxonomic distribution as well as abundance of cyanobacteria is strongly affected by salinity. Low salinity favoured the presence of heterocytous cyanobacteria in freshwater mats, while mats thriving in higher salinities mainly supported the growth unicellular and filamentous non-heterocytous genera. However, even though mRNA transcripts derived from heterocytous cyanobacteria were lower in Shark Bay (&lt;6%) microbial mats, functional analyses revealed that these diazotrophs were transcribing a substantial proportion of the genes involved in biofilm formation and nitrogen fixation. Overall, our data reveal an unexpectedly high diversity of heterocytous cyanobacteria (e.g. Calothrix, Scytonema, Nodularia, Gloeotrichia, Stigonema, Fischerella and Chlorogloeopsis) that had yet to be described in metahaline and hypersaline microbial mats from Shark Bay and that they play a vital role in sustaining the ecosystem functioning of coastal-marine microbial mat systems.</t>
  </si>
  <si>
    <t>[Campbell, Matthew A.; Schwark, Lorenz; Coolen, Marco J. L.; Grice, Kliti] Curtin Univ, Western Australian Organ &amp; Isotope Geochem Ctr, Sch Earth &amp; Planetary Sci, Perth, WA, Australia; [Bauersachs, Thorsten; Schwark, Lorenz] Univ Kiel, Organ Geochem Grp, Inst Geosci, Kiel, Germany; [Proemse, Bernadette C.] Univ Tasmania, Inst Marine &amp; Antarctic Studies, Battery Point, Tas, Australia; [Eberhard, Rolan S.] Dept Primary Ind Pk Water &amp; Environm, Nat &amp; Cultural Heritage Div, Hobart, Tas, Australia</t>
  </si>
  <si>
    <t>Curtin University; University of Kiel; University of Tasmania</t>
  </si>
  <si>
    <t>Campbell, MA (corresponding author), Curtin Univ, Western Australian Organ &amp; Isotope Geochem Ctr, Sch Earth &amp; Planetary Sci, Perth, WA, Australia.</t>
  </si>
  <si>
    <t>matthew.campbell@curtin.edu.au</t>
  </si>
  <si>
    <t>Coolen, Marco/B-8263-2015</t>
  </si>
  <si>
    <t>Coolen, Marco/0000-0002-0417-920X; Grice, Kliti/0000-0003-2136-3508; Bauersachs, Thorsten/0000-0003-4858-9443</t>
  </si>
  <si>
    <t>Centre of Excellence for Environmental Decisions, Australian Research Council [DP15010223]; Institute for Geoscience Research (TIGeR)</t>
  </si>
  <si>
    <t>Centre of Excellence for Environmental Decisions, Australian Research Council(Australian Research Council); Institute for Geoscience Research (TIGeR)</t>
  </si>
  <si>
    <t>Centre of Excellence for Environmental Decisions, Australian Research Council, Grant/Award Number: DP15010223; Institute for Geoscience Research (TIGeR)</t>
  </si>
  <si>
    <t>10.1111/1462-2920.16225</t>
  </si>
  <si>
    <t>7W7NS</t>
  </si>
  <si>
    <t>WOS:000865546700001</t>
  </si>
  <si>
    <t>Emmerson, L; Southwell, C</t>
  </si>
  <si>
    <t>Emmerson, Louise; Southwell, Colin</t>
  </si>
  <si>
    <t>Environment-triggered demographic changes cascade and compound to propel a dramatic decline of an Antarctic seabird metapopulation</t>
  </si>
  <si>
    <t>Antarctica; climate change; density dependence; feedback loop; intrinsic and extrinsic drivers; population change</t>
  </si>
  <si>
    <t>SOUTHERN-OCEAN; DENSITY-DEPENDENCE; PYGOSCELIS-ADELIAE; CLIMATE-CHANGE; POPULATION-DENSITY; PENGUIN RESPONSE; LIFE-HISTORY; SURVIVAL; TRENDS; CONSEQUENCES</t>
  </si>
  <si>
    <t>While seabirds are well-known for making a living under some of the harshest conditions on the planet, their capacity to buffer against unfavourable conditions can be stretched in response to ecosystem change. During population increases, overlap between conspecifics can limit population growth through competition for breeding or feeding resources. What is less well understood is the role that intrinsic processes play during periods of population decline or under a changing environment. We interrogate key demographic parameters and their biophysical drivers to understand the role of intrinsic and extrinsic drivers during a recent near halving of a large Adelie penguin (Pygoscelis adeliae) metapopulation. The loss of 154,000 breeding birds along the 100-km East Antarctic coastline centred around 63 degrees E over the last decade diverges from a sustained increase over preceding decades and is contrary to recent models that predict a continued increase. The decline was initially triggered by changed environmental conditions: more extensive near-shore sea ice caused a reduction in breeding success. The evidence suggests this decline was exacerbated by feedback processes driving an inverse density-dependent decrease in fledgling survival in response to smaller cohort size. It appears that the old adage of safety in numbers may shape the fledgling penguins' chances of survival and, if compromised over multiple years, could exacerbate difficulties during population decline or if feedback processes arise. The likely interplay between demographic parameters meant that conditions were more unfavourable and negative effects more rapid than would be expected if demographic processes acted in isolation or independently. Failure to capture both intrinsic and extrinsic drivers in predictive population models may mean that the real impacts of climate change on species' populations are more severe than projections would lead us to believe. These results improve our understanding of population regulation during periods of rapid decline for long-lived marine species.</t>
  </si>
  <si>
    <t>[Emmerson, Louise; Southwell, Colin] Australian Antarctic Div, Dept Climate Change Energy Environm &amp; Water, Kingston, Tas 7050, Australia</t>
  </si>
  <si>
    <t>Emmerson, L (corresponding author), Australian Antarctic Div, Dept Climate Change Energy Environm &amp; Water, Kingston, Tas 7050, Australia.</t>
  </si>
  <si>
    <t>louise.emmerson@aad.gov.au</t>
  </si>
  <si>
    <t>Australian Antarctic Division through AAS [2722, 2205, 4086, 4087, 4088, 4518]</t>
  </si>
  <si>
    <t>Australian Antarctic Division through AAS</t>
  </si>
  <si>
    <t>We celebrate the success of those who fought so hard to keep this and similar long-term monitoring programs afloat in a challenging era for monitoring, and acknowledge the enormous effort it takes to deliver the precious data gained from such programs. Our thanks to our field teams, Knowles Kerry and Judy Clarke for establishing the penguin monitoring program, Mawson Station expeditioners, and AAD engineers for infrastructure support. Simon Wotherspoon and Jeff Laake offered sage statistical advice, Javed Riaz and reviewers provided valuable feedback, and Rob Massom for discussions on sea-ice over the years. We are grateful for logistics, financial and other support from the Australian Antarctic Division through AAS projects #2722, 2205, 4086, 4087, 4088 and 4518. All procedures were approved by the AAD's Animal Ethics Committee.</t>
  </si>
  <si>
    <t>10.1111/gcb.16437</t>
  </si>
  <si>
    <t>6D9BJ</t>
  </si>
  <si>
    <t>WOS:000865422500001</t>
  </si>
  <si>
    <t>Zhu, JP; Xie, AH; Qin, X; Xu, B; Wang, YC</t>
  </si>
  <si>
    <t>Zhu, Jiangping; Xie, Aihong; Qin, Xiang; Xu, Bing; Wang, Yicheng</t>
  </si>
  <si>
    <t>Projected changes in Antarctic daily temperature in CMIP6 under different warming scenarios during two future periods</t>
  </si>
  <si>
    <t>JOURNAL OF SOUTHERN HEMISPHERE EARTH SYSTEMS SCIENCE</t>
  </si>
  <si>
    <t>Antarctica; climate; CMIP6; ETCCDI; extreme indices; extreme temperature; model evaluation; scenarios</t>
  </si>
  <si>
    <t>CLIMATE-CHANGE; PENINSULA; MODELS; TRENDS; IMPACT; ERA5</t>
  </si>
  <si>
    <t>Global warming increases the frequency and intensity of climate extremes, but the changes in climate extremes over the Antarctic Ice Sheet (AIS) during different periods are unknown. Changes in surface temperature extreme indices (TN10p, TX10p, TN90p, TX90p, CSDI, WSDI, TNn, TNx, TXn, TXx and DTR) are assessed during 2021-2050 and 2071-2100 under SSP1-2.6, SSP2-4.5, SSP3-7.0 and SSP5-8.5, based on the multi-model ensemble mean (MMEM) from the Coupled Model Intercomparison Project Phase 6 (CMIP6). The extreme indices, excluding TXn and DTR, illustrate the opposite trend in the two periods in SSP1-2.6 over the AIS. Generally, the changes in extreme indices reflect the continued warming over AIS in the future, and the warming is projected to intensify in SSP3-7.0 and SSP5-8.5. The variations in the extreme indices exhibit regional differences. The Antarctic Peninsula displays rapid changes in TNn, TXn and DTR. In SSP5-8.5, the magnitudes of all climate index tendencies are greater during 2071-2100 than 2021-2050. The variations in TX10p, TX90p, TN10p, TN90p, WSDI and CSDI are faster in the Antarctic inland than in the other regions over the AIS. However, the decrease in the DTR is concentrated along the AIS coast and extends to the interior region, whereas the increasing trend occurs in the Antarctic inland. In West AIS, TX90p and TN90p rapidly increase during 2021-2050, whereas the rapid changing signals disappear in this region in 2071-2100. The dramatic changes in TNn, TXn and DTR occur at the Ross Ice Shelf during 2071-2100, indicating an increased risk of collapse. For TNx and TXx, the degree of warming in the later part of the 21st century is divided by the transantarctic mountains, and greater changes appear on the eastern side. Generally, Antarctic amplification of TNn, TXn and DTR is observed except under SSP1-2.6. In addition, TNx and TXx amplifications occur in SSP3-7.0 and SSP5-8.5.</t>
  </si>
  <si>
    <t>[Zhu, Jiangping; Xie, Aihong; Qin, Xiang; Xu, Bing] Chinese Acad Sci, Northwest Inst Ecoenvironm &amp; Resources, State Key Lab Cryospher Sci, Lanzhou 730000, Gansu, Peoples R China; [Zhu, Jiangping; Xu, Bing] Univ Chinese Acad Sci, Beijing 100049, Peoples R China; [Wang, Yicheng] Lanzhou Cent Meteorol Observ, Lanzhou 730000, Gansu, Peoples R China</t>
  </si>
  <si>
    <t>Chinese Academy of Sciences; Chinese Academy of Sciences; University of Chinese Academy of Sciences, CAS</t>
  </si>
  <si>
    <t>Xie, AH; Qin, X (corresponding author), Chinese Acad Sci, Northwest Inst Ecoenvironm &amp; Resources, State Key Lab Cryospher Sci, Lanzhou 730000, Gansu, Peoples R China.</t>
  </si>
  <si>
    <t>xieaihong@nieer.ac.cn; qinxiang@lzb.ac.cn</t>
  </si>
  <si>
    <t>Xu, Bing/C-7732-2015</t>
  </si>
  <si>
    <t>zhu, jiangping/0000-0003-0660-2443; XIE, Aihong/0000-0002-2875-5339</t>
  </si>
  <si>
    <t>National Natural Science Foundation of China [41671073, 41476164]</t>
  </si>
  <si>
    <t>This work was supported by the National Natural Science Foundation of China (41671073; 41476164).</t>
  </si>
  <si>
    <t>2206-5865</t>
  </si>
  <si>
    <t>J SO HEMISPH EARTH</t>
  </si>
  <si>
    <t>J. South Hemisph. Earth Syst. Sci.</t>
  </si>
  <si>
    <t>10.1071/ES22008</t>
  </si>
  <si>
    <t>7G1WZ</t>
  </si>
  <si>
    <t>WOS:000865415400001</t>
  </si>
  <si>
    <t>Sprogis, KR; Sutton, AL; Jenner, MN; McCauley, RD; Jenner, KCS</t>
  </si>
  <si>
    <t>Sprogis, Kate R.; Sutton, Alicia L.; Jenner, Micheline-N; McCauley, Robert D.; Jenner, K. Curt S.</t>
  </si>
  <si>
    <t>Occurrence of cetaceans and seabirds along the Indian Ocean 110°E meridian from temperate to tropical waters</t>
  </si>
  <si>
    <t>Acoustics; Baleen whales; Migration; Oceanography; Pelagic; Toothed whales; Passive acoustic monitoring</t>
  </si>
  <si>
    <t>PYGMY BLUE WHALES; SOUTHERN RIGHT WHALE; SEASONAL-VARIATIONS; LEEUWIN CURRENT; LONG-TERM; ACOUSTIC PRESENCE; CHRISTMAS ISLAND; MINKE WHALES; SPERM-WHALES; FIN WHALES</t>
  </si>
  <si>
    <t>The first extensive physical and biological observations of the Indian Ocean were made from 1959 to 1965, during a ship-based International Indian Ocean Expedition (IIOE-1). Decades later in 2019, the 110 degrees E meridian was revisited during the second International Indian Ocean Expedition (IIOE-2). The aim of this study, as part of a large number of related studies, was to examine the occurrence of cetaceans and seabirds along the 110 degrees E meridian from temperate to tropical waters (39.5-11.5 degrees S). Cetaceans and seabirds were actively scanned for across a four-week period spanning austral autumn to winter. Acoustic recordings of vocalising cetaceans were made using directional and omnidirectional sonobuoys (n = 87 deployments). In total, seven cetacean sightings (six baleen whale, one toothed whale), 186 seabird sightings and 225 cetacean acoustic detections were recorded. The baleen whale species detected acoustically were assigned to Antarctic blue whales (Balaenoptera musculus intermedia; Z-calls), pygmy blue whales (B. m. brevicauda; south east Indian Ocean 3-component calls, D -calls), fin whales (B. physalus; 20 Hz-pulses), southern right whales (Eubalaena australis; upcalls), Antarctic minke whales (B. bonaerensis; bio-duck calls) and an unknown signal; a spot call. The toothed whale species detected acoustically were Kogia sperm whales (Kogia sp.) and delphinids (from whistles).. Pygmy blue whales were detected across Subantarctic to Tropical Surface Waters, and were the most commonly detected cetacean. There was some delineation in other cetaceans: the spot call was detected in Subantarctic and Subtropical Surface Water (south of 23 degrees S); fin whales in Subtropical Surface Water (between 23 degrees and 30.5 degrees S); and Antarctic minke whales in Tropical Surface Water (between 14 degrees and 23 degrees S). Data were not collected on cetaceans during IIOE-1, so data here represent baseline occurrence along 110 degrees E for future studies. A total of 22 seabird species were sighted, including, petrels, albatrosses, tropicbirds, terns, shearwaters, boobies, frigatebirds, gannets, gulls, skuas and prions. Soft-plumaged petrels (Pterodroma mollis) were observed across all water masses and were the most commonly sighted seabird. There was some delineation of seabird species; albatrosses were sighted south of the Subtropical Front (south of 32 degrees S); flesh-footed shearwaters (Ardenna carneipes) in Subantarctic and Subtropical Surface Waters (south of 27 degrees S); and tropicbirds in Tropical Surface Water (north of 20 degrees S). The occurrence of highly mobile species is particularly important to investigate as the waters in the eastern Indian Ocean have been warming faster than in the Pacific and Atlantic Oceans.</t>
  </si>
  <si>
    <t>[Sprogis, Kate R.] Univ Western Australia, UWA Oceans Inst, Great Southern Marine Res Facil, Albany, WA, Australia; [Sprogis, Kate R.] Univ Western Australia, Sch Agr &amp; Environm, Great Southern Marine Res Facil, Albany, WA, Australia; [Sutton, Alicia L.] Carijoa, Rivervale, WA, Australia; [Jenner, Micheline-N; Jenner, K. Curt S.] Ctr Whale Res WA Inc, POB 1622, Fremantle, WA, Australia; [McCauley, Robert D.] Curtin Univ, Ctr Marine Sci &amp; Technol, Perth, WA, Australia</t>
  </si>
  <si>
    <t>University of Western Australia; University of Western Australia; Curtin University</t>
  </si>
  <si>
    <t>Jenner, KCS (corresponding author), Ctr Whale Res WA Inc, POB 1622, Fremantle, WA, Australia.</t>
  </si>
  <si>
    <t>curt@cwr.org.au</t>
  </si>
  <si>
    <t>Sprogis, Kate/N-1212-2017</t>
  </si>
  <si>
    <t>Australian Marine National Facility of the Commonwealth Scientific and Industrial Research Organisation (CSIRO); Australian Department of Defence; Australian Government; [110E-2]; [PA 2018-00065]</t>
  </si>
  <si>
    <t>Australian Marine National Facility of the Commonwealth Scientific and Industrial Research Organisation (CSIRO)(Commonwealth Scientific &amp; Industrial Research Organisation (CSIRO)); Australian Department of Defence(Australian Government); Australian Government(Australian Government); ;</t>
  </si>
  <si>
    <t>Thank you to the 40 team members onboard on the RV Investigator for the 110?E research voyage (110E-2), including Captain Koolhof, scientists and support staff. Thank you to the 11 Principal Investigators of the 110?E research voyage; L. Beckley, D. Antoine, H. Phillips, P. Thompson, J. Semour, S. Ostrowski, A. Waite, M. Landry, P. Olivar, A. Jeffs and R. Hood. This research was funded by a grant from the Australian Marine National Facility of the Commonwealth Scientific and Industrial Research Organisation (CSIRO) for sea time onboard RV Investigator. We would like to thank the Australian Department of Defence, specifically Wayne Bennett, for the opportunity to conduct this voyage. Alessandro Ghiotto, Rodney Thompson, and Gary Ramsay from L3 Harris and Craig Werley from Sonartech Atlas are also thanked for their guidance with acoustics and preparation of the fly-away acoustic kit. Sonobuoys were deployed under Commonwealth of Australia permits PA 2018-00065 and PA 2018-00005. Research undertaken at stations from 29 to 23?S were done so under Australian Government permit AU-COM2019-446, Australian Fisheries Management Authority scientific permit 1004152, and those in the Abrolhos Marine Park under permit PA 2018-00065-1 issued by the Director of National Parks. The views expressed in this publication do not necessarily represent the views of the Director of National Parks or the Australian Government</t>
  </si>
  <si>
    <t>10.1016/j.dsr2.2022.105184</t>
  </si>
  <si>
    <t>5Q6HL</t>
  </si>
  <si>
    <t>WOS:000873930100004</t>
  </si>
  <si>
    <t>Manno, C; Stowasser, G; Fielding, S; Apeland, B; Tarling, GA</t>
  </si>
  <si>
    <t>Manno, C.; Stowasser, G.; Fielding, S.; Apeland, B.; Tarling, G. A.</t>
  </si>
  <si>
    <t>Deep carbon export peaks are driven by different biological pathways during the extended Scotia Sea (Southern Ocean) bloom</t>
  </si>
  <si>
    <t>Scotia sea; POC; CaCO3; Diatoms; Faecal pellets; Sediment traps</t>
  </si>
  <si>
    <t>ZOOPLANKTON FECAL PELLETS; DIATOM RESTING SPORES; IRON-FERTILIZED WATERS; TERRA-NOVA BAY; VERTICAL FLUX; PHYTOPLANKTON BLOOM; SINKING VELOCITY; MARINE SNOW; DYNAMICS; GEORGIA</t>
  </si>
  <si>
    <t>Estimating the amount of organic carbon leaving the upper water column and becoming sequestered in the deep ocean is a major challenge in our understanding the oceanic C cycle. This study investigate deep sediment trap material collected at a 5 day resolution over a 4 month period covering the bloom in the northern Scotia Sea. This region is characterised by extensive and long-lived phytoplankton blooms that collectively take up the greatest amount of atmospheric carbon dioxide yet measured in the Southern Ocean. In particular, the study resolved multiple peaks of POC flux during the northern Scotia Sea bloom resulting from distinctly different export processes. This work also examine the contribution of diatoms and calcifying species to the POC flux as well as determining FP (faecal pellet) characteristics, including biogeochemical composition and sinking velocity. Re-sults showed that POC flux during the bloom was concentrated in three major POC peak events. The first two POC peaks were large, of similar intensity (24.5 mg C m- 2 d-1 in early November and 22.5 mg C m- 2 d-1 in early December), and were dominated by faecal pellets (FPs, 60-66%). FP biogeochemical composition during these two POC peaks was characterised by a dominance of carbonate (&gt;48%), as well as a higher sinking speed (up to 347 m d-1) compared with other FP in the rest of the samples. Results suggest that the large presence of calcium carbonate in these FPs contributed to their relatively high sinking velocity which, in turn, promoted their higher level of POC export to bathypelagic depths. Intact single cell diatoms were relatively important in the first POC peak (mainly characterised by Fragilariopsis kerguelensis and Thalassionema nitzschioides), while detritus including semi-grazed phytodetritus were more abundant during the second POC peak, suggesting a change in the upper ocean C cycle between the two POC peaks. A third, smaller, POC peak (12.7 mg C m- 2 d-1 in January) was dominated by diatom resting spores, mainly Chaetoceros Hyalochaete sp. (&gt;70% of total diatoms contribution), which were, almost exclusively, fully intact cells. Our high resolution sampling allowed insights into short time -scale processes that influence the ultimate magnitude of the substantial annual POC flux in this region. Overall our findings highlights that the temporal sequence of biological events in the surface layers during the bloom has a strong influence on both the magnitude and the composition of the fluxes.</t>
  </si>
  <si>
    <t>[Manno, C.; Stowasser, G.; Fielding, S.; Apeland, B.; Tarling, G. A.] British Antarctic Survey, Cambridge, England</t>
  </si>
  <si>
    <t>Manno, C (corresponding author), British Antarctic Survey, Cambridge, England.</t>
  </si>
  <si>
    <t>clanno@bas.ac.uk</t>
  </si>
  <si>
    <t>Stowasser, Gabriele/0000-0002-0595-0772</t>
  </si>
  <si>
    <t>UKRI FLF project [MR/T020962/1]</t>
  </si>
  <si>
    <t>UKRI FLF project</t>
  </si>
  <si>
    <t>We thank the captain, officers and the crew of the RRS James Clark Ross for their support in all the logistical operations on board, and we also thank the Antarctic Logistics and Infrastructure programme at British Antarctic Survey, and Peter Enderlein for support of the deployment and recovery of the mooring and Paul Geissler for facilitates CHN analyses. We thank Federico Giglio (ISP-CNR) for the help with Biosilica components. Clara Manno time was supported by UKRI FLF project MR/T020962/1. We thanks the anonymous reviewers for their careful reading of our manuscript and their many insightful comments. This work was carried out as part of the Ecosystems programme WCB- POETS surveys and the Scotia Sea Open Ocean Laboratories (SCOO- BIES) sustained observation programme at the British Antarctic Survey.</t>
  </si>
  <si>
    <t>10.1016/j.dsr2.2022.105183</t>
  </si>
  <si>
    <t>5Q6EF</t>
  </si>
  <si>
    <t>WOS:000873921700002</t>
  </si>
  <si>
    <t>Muschick, M; Nikolaeva, E; Rüber, L; Matschiner, M</t>
  </si>
  <si>
    <t>Muschick, Moritz; Nikolaeva, Ekaterina; Rueber, Lukas; Matschiner, Michael</t>
  </si>
  <si>
    <t>The mitochondrial genome of the red icefish (Channichthys rugosus) casts doubt on its species status</t>
  </si>
  <si>
    <t>Icefish; Antarctica; Species richness; Taxonomy; Museomics; Mitochondrial genome</t>
  </si>
  <si>
    <t>ADAPTIVE RADIATION; DNA; ALIGNMENT; DIVERSITY; SEQUENCE</t>
  </si>
  <si>
    <t>Antarctic notothenioid fishes are recognised as one of the rare examples of adaptive radiation in the marine system. Withstanding the freezing temperatures of Antarctic waters, these fishes have diversified into over 100 species within no more than 10-20 million years. However, the exact species richness of the radiation remains contested. In the genus Channichthys, between one and nine species are recognised by different authors. To resolve the number of Channichthys species, genetic information would be highly valuable; however, so far, only sequences of a single species, C. rhinoceratus, are available. Here, we present the nearly complete sequence of the mitochondrial genome of C. rugosus, obtained from a formalin-fixed museum specimen sampled in 1974. This sequence differs from the mitochondrial genome of C. rhinoceratus in no more than 27 positions, suggesting that the two species may be synonymous.</t>
  </si>
  <si>
    <t>[Muschick, Moritz; Rueber, Lukas] Univ Bern, Inst Ecol &amp; Evolut, Aquat Ecol &amp; Evolut, CH-3012 Bern, Switzerland; [Muschick, Moritz] Swiss Fed Inst Aquat Sci &amp; Technol, Dept Fish Ecol Evolut, EAWAG, CH-6047 Kastanienbaum, Switzerland; [Nikolaeva, Ekaterina] Russian Acad Sci, Inst Zool, Ichthyol Lab, St Petersburg 199034, Russia; [Rueber, Lukas] Naturhistor Museum Bern, CH-3005 Bern, Switzerland; [Matschiner, Michael] Univ Oslo, Nat Hist Museum, N-0562 Oslo, Norway</t>
  </si>
  <si>
    <t>University of Bern; Swiss Federal Institutes of Technology Domain; Swiss Federal Institute of Aquatic Science &amp; Technology (EAWAG); Russian Academy of Sciences; Zoological Institute of the Russian Academy of Sciences; University of Oslo</t>
  </si>
  <si>
    <t>Muschick, M (corresponding author), Univ Bern, Inst Ecol &amp; Evolut, Aquat Ecol &amp; Evolut, CH-3012 Bern, Switzerland.;Muschick, M (corresponding author), Swiss Fed Inst Aquat Sci &amp; Technol, Dept Fish Ecol Evolut, EAWAG, CH-6047 Kastanienbaum, Switzerland.;Matschiner, M (corresponding author), Univ Oslo, Nat Hist Museum, N-0562 Oslo, Norway.</t>
  </si>
  <si>
    <t>moritz.muschick@eawag.ch; ekatherina.nikolaeva@zin.ru; lukas.ruber@nmbe.ch; michael.matschiner@nhm.uio.no</t>
  </si>
  <si>
    <t>Muschick, Moritz/B-9843-2012</t>
  </si>
  <si>
    <t>University of Oslo (Oslo University Hospital); SNSF Sinergia grant [CRSII5_183566]; Norwegian Research Council with FRIPRO grant [275869]; Zoological Institute of the Russian Academy of Sciences [122031100285-3]; Swiss National Science Foundation (SNF) [CRSII5_183566] Funding Source: Swiss National Science Foundation (SNF)</t>
  </si>
  <si>
    <t>University of Oslo (Oslo University Hospital); SNSF Sinergia grant(Swiss National Science Foundation (SNSF)); Norwegian Research Council with FRIPRO grant(Research Council of Norway); Zoological Institute of the Russian Academy of Sciences(Russian Academy of Sciences); Swiss National Science Foundation (SNF)(Swiss National Science Foundation (SNSF))</t>
  </si>
  <si>
    <t>Open access funding provided by University of Oslo (incl Oslo University Hospital). M. Muschick was supported by the SNSF Sinergia grant CRSII5_183566. M. Matschiner was supported by the Norwegian Research Council with FRIPRO grant 275869. E. Nikolaeva was supported by a research programme of the Zoological Institute of the Russian Academy of Sciences (Project Number 122031100285-3).</t>
  </si>
  <si>
    <t>10.1007/s00300-022-03083-8</t>
  </si>
  <si>
    <t>Green Submitted, Green Published, hybrid</t>
  </si>
  <si>
    <t>WOS:000865374300001</t>
  </si>
  <si>
    <t>Rivers-Auty, J; Bond, AL; Grant, ML; Lavers, JL</t>
  </si>
  <si>
    <t>Rivers-Auty, Jack; Bond, Alexander L.; Grant, Megan L.; Lavers, Jennifer L.</t>
  </si>
  <si>
    <t>The one-two punch of plastic exposure: Macro- and micro-plastics induce multi-organ damage in seabirds</t>
  </si>
  <si>
    <t>Ardenna carneipes; Fibrosis; Flesh-footed Shearwater; Nanoplastic; Plastic pollution; Tissue pathology</t>
  </si>
  <si>
    <t>INGESTION; IMPACT; CHEMICALS; LITTER; BIRDS</t>
  </si>
  <si>
    <t>Plastic pollution in the world's oceans is ubiquitous and increasing. The environment is inundated with microplastics (&lt; 1 mm), and the health effects of these less conspicuous pollutants is poorly known. In addition, there is now evidence that macroplastics can release microplastics in the form of shedding or digestive fragmentation, meaning there is potential for macroplastic exposure to induce direct and indirect pathology through microplastics. Therefore, there is an urgent need for data from wild populations on the relationship between macro- and microplastic exposure and the potential compounding pathological effects of these forms of plastics. We investigated the presence and impact of microplastics in multiple tissues from Flesh-footed Shearwaters Ardenna carneipes, a species that ingests considerable quantities of plastics, and used histopathological techniques to measure physiological responses and inflammation from the plastics. All organs examined (kidney, spleen, proventriculus) had embedded microplastic particles and this correlated with macroplastic exposure. Considerable tissue damage was recorded, including a significant reduction in tubular glands and rugae in the proventriculus, and evidence of inflammation, fibrosis, and loss of organ structures in the kidney and spleen. This indicates macroplastics can induce damage directly at the site of exposure, while microplastics can be mobilised throughout the body causing widespread pathology. Collectively, these results indicate the scope and severity of the health impacts of plastic pollution may be grossly underestimated.</t>
  </si>
  <si>
    <t>[Rivers-Auty, Jack] Univ Tasmania, Tasmanian Sch Med, Hobart, Tas 7000, Australia; [Bond, Alexander L.; Lavers, Jennifer L.] Nat Hist Museum, Bird Grp, Tring HP23 6AP, Herts, England; [Grant, Megan L.] Univ Tasmania, Inst Marine &amp; Antarctic Studies, Newnham, TAS 7248, Australia; [Lavers, Jennifer L.] Univ Tasmania, Inst Marine &amp; Antarctic Studies, Battery Point, Tas 7004, Australia</t>
  </si>
  <si>
    <t>University of Tasmania; Natural History Museum London; University of Tasmania; University of Tasmania</t>
  </si>
  <si>
    <t>Lavers, JL (corresponding author), Nat Hist Museum, Bird Grp, Tring HP23 6AP, Herts, England.</t>
  </si>
  <si>
    <t>Jennifer.Lavers1@nhm.ac.uk</t>
  </si>
  <si>
    <t>Lavers, Jennifer/O-4831-2017; Bond, Alexander L/A-3786-2010; Lavers, Jennifer/IWM-5417-2023</t>
  </si>
  <si>
    <t>Lavers, Jennifer/0000-0001-7596-6588;</t>
  </si>
  <si>
    <t>Detached Cultural Organization; Lynton Mortensen; Natural History Museum</t>
  </si>
  <si>
    <t>Special thanks to Pure Ocean Fund, Detached Cultural Organization, Lynton Mortensen (Ocean Plastic Relay - Day of 30), and the Natural History Museum for providing funding for this project. Logistical support was provided by the Australian Bird and Bat Banding Service and Lord Howe Island community, especially Justin Gilligan, Caitlin Woods, and Theresa Adams. Assistance in the field was provided by two incredibly generous volunteers, Paul Sharp and Silke Stuckenbrock (Two Hands Project). Samples were collected with the permission of the Lord Howe Island Board (permit no. 07/18) under the approval of the University of Tasmania Animal Ethics Committee (permit no. A18480) and New South Wales Office of Environment &amp; Heritage (licence no. SL100619), a proof of certificate is available upon request. Comments from two anonymous reviewers improved earlier drafts.</t>
  </si>
  <si>
    <t>10.1016/j.jhazmat.2022.130117</t>
  </si>
  <si>
    <t>8I0OW</t>
  </si>
  <si>
    <t>WOS:000921428400003</t>
  </si>
  <si>
    <t>Fan, YJ; Jia, J; Liu, Y; Zhao, L; Liu, X; Gao, FY; Xia, DS</t>
  </si>
  <si>
    <t>Fan, Yijiao; Jia, Jia; Liu, Yan; Zhao, Lai; Liu, Xin; Gao, Fuyuan; Xia, Dunsheng</t>
  </si>
  <si>
    <t>Millennial-scale climate oscillations over the last two climatic cycles revealed by a loess-paleosol sequence from central Asia</t>
  </si>
  <si>
    <t>JOURNAL OF ASIAN EARTH SCIENCES</t>
  </si>
  <si>
    <t>Ensemble empirical mode decomposition; Millennial-scale climate variability; Moisture change; Penultimate glaciation; Central Asia</t>
  </si>
  <si>
    <t>EMPIRICAL MODE DECOMPOSITION; ARID CENTRAL-ASIA; CHINESE LOESS; MAGNETIC-SUSCEPTIBILITY; GRAIN-SIZE; MONSOON; WESTERLIES; RECORDS; VARIABILITY; TAJIKISTAN</t>
  </si>
  <si>
    <t>Characteristics of millennial-scale climate variability over central Asia during the last two climatic cycles remain unclear. Here, multi-time scale climate variability during the previous two climatic cycles over central Asia is demonstrated using a 50-m thick loess-paleosol sequence and the ensemble empirical mode decomposition method. Decomposed orbital-scale components show that climate oscillation across central Asia is particularly influenced by northern high-latitude ice volume and solar insolation, while the millennial-scale moisture vari-ability shows similar periodicities to the rhythms of North Atlantic cooling. Millennial-scale moisture variability exhibits a pattern of long duration/high amplitude during interglacial periods and short duration/low amplitude during glacial periods, a pattern also reflected in loess sections from the Chinese Loess Plateau (CLP) and CH4 records from Antarctic ice-cores. These characteristics differ from the high-latitude temperature variability recorded in NGRIP delta 18O data, which indicates that millennial-scale moisture oscillation in central Asia is possibly regulated by the northern high-latitude temperature, with lower temperatures limiting moisture fluctuations. We also find that only four millennial-scale moisture oscillations can be clearly detected during the MIS6.5 period, during which increased summer insolation provided favorable conditions to trigger abrupt climate events. However, high-resolution climate proxies that are more sensitive to environmental change are required to detect moisture variability during extreme cold and dry periods.</t>
  </si>
  <si>
    <t>[Fan, Yijiao; Liu, Yan; Zhao, Lai; Liu, Xin; Xia, Dunsheng] Lanzhou Univ, Coll Earth &amp; Environm Sci, Key Lab Western Chinas Environm Syst, Minist Educ, Lanzhou 730000, Peoples R China; [Fan, Yijiao; Jia, Jia] Zhejiang Normal Univ, Coll Geog &amp; Environm Sci, Jinhua 321004, Peoples R China; [Gao, Fuyuan] Lanzhou City Univ, Coll Urban Environm, Lanzhou 730070, Peoples R China</t>
  </si>
  <si>
    <t>Lanzhou University; Zhejiang Normal University; Lanzhou City University</t>
  </si>
  <si>
    <t>Xia, DS (corresponding author), Lanzhou Univ, Coll Earth &amp; Environm Sci, Key Lab Western Chinas Environm Syst, Minist Educ, Lanzhou 730000, Peoples R China.;Jia, J (corresponding author), Zhejiang Normal Univ, Coll Geog &amp; Environm Sci, Jinhua 321004, Peoples R China.</t>
  </si>
  <si>
    <t>jiaj@zjnu.edu.cn; dsxia@lzu.edu.cn</t>
  </si>
  <si>
    <t>li, yurong/JMQ-8540-2023; xu, wei/JZD-2112-2024</t>
  </si>
  <si>
    <t>National Natural Science Foundation of China; [41771213]; [41877444]</t>
  </si>
  <si>
    <t>Acknowledgments This work was supported by the National Natural Science Foundation of China (Grant numbers 41771213 and 41877444) . We are grateful to the two anonymous reviewers for their valuable comments and sug-gestions that have improved the quality of the manuscript.</t>
  </si>
  <si>
    <t>1367-9120</t>
  </si>
  <si>
    <t>1878-5786</t>
  </si>
  <si>
    <t>J ASIAN EARTH SCI</t>
  </si>
  <si>
    <t>J. Asian Earth Sci.</t>
  </si>
  <si>
    <t>10.1016/j.jseaes.2022.105435</t>
  </si>
  <si>
    <t>5H4CZ</t>
  </si>
  <si>
    <t>WOS:000867629400002</t>
  </si>
  <si>
    <t>Buchan, SJ; Gutiérrez, L; Baumgartner, MF; Stafford, KM; Ramirez, N; Pizarro, O; Cifuentes, J</t>
  </si>
  <si>
    <t>Buchan, Susannah J.; Gutierrez, Laura; Baumgartner, Mark F.; Stafford, Kathleen M.; Ramirez, Nadin; Pizarro, Oscar; Cifuentes, Jose</t>
  </si>
  <si>
    <t>Distribution of blue and sei whale vocalizations, and temperature-salinity characteristics from glider surveys in the Northern Chilean Patagonia mega-estuarine system</t>
  </si>
  <si>
    <t>pelagic ecology; biological oceanography; baleen whales; passive acoustic monitoring; Slocum glider</t>
  </si>
  <si>
    <t>LOW-FREQUENCY VOCALIZATIONS; SOUTHERN CHILE; ACOUSTIC LINK; AYSEN FJORD; REAL-TIME; WATER; DETECTIONS; PACIFIC; SLOCUM; CALLS</t>
  </si>
  <si>
    <t>Northern Chilean Patagonia is a mega-estuarine system where oceanic waters mix with freshwater inputs in the coastal fjords, channels and gulfs. The aim of this study was to examine the distribution of blue and sei whales with respect to oceanographic conditions of the study area from the estuarine inner sea to the outer ocean. Ocean gliders were used, mounted with a hydrophone to determine acoustic presence of whales (Southeast Pacific and Antarctic blue whale song calls, and blue whales D-calls; sei whale downsweeps and upsweeps), and a temperature and salinity instrument. Four glider deployments were carried out in April 2018 and April-June 2019 navigating a total of 2817 kilometers during 2110 hours. To examine interannual variation, the average percentage of day with presence of calls was compared between years using the adjusted p-values for one-way ANOVA and descriptive statistics. To examine spatial variation between the hourly acoustic presence of blue whales and sei whales and temperature and salinity conditions, Generalized Linear Models (GLMs) were used. Salinities were higher in 2019 compared to 2018. Southeast Pacific blue whales produced song calls throughout the study area in both years, across estuarine and oceanic areas, but percentage of day with presence was higher in 2019 vs 2018. Percentage of day with presence of D-calls was similar between years, but higher in oceanic areas during both study periods. In contrast, the spatial pattern of sei whale acoustic presence was ambiguous and interannual variability was high, suggesting that sei whales preferred estuarine areas in 2018 and oceanic areas in 2019. We discuss possible explanations for observed acoustic presence in relation to foraging behavior and prey distribution.</t>
  </si>
  <si>
    <t>[Buchan, Susannah J.; Gutierrez, Laura; Cifuentes, Jose] Univ Concepcion, Ctr Oceanog Res COPAS Sur Austral, Concepcion, Chile; [Buchan, Susannah J.; Gutierrez, Laura; Cifuentes, Jose] Univ Concepcion, COPAS COASTAL, Concepcion, Chile; [Buchan, Susannah J.] Univ Concepcion, Dept Oceanog, Fac Ciencias Nat &amp; Oceanog, Concepcion, Chile; [Buchan, Susannah J.] Ctr Estudios Avanzados Zonas Aridas CEAZA, La Serena, Chile; [Buchan, Susannah J.; Baumgartner, Mark F.] Woods Hole Oceanog Inst, Biol Dept, Woods Hole, MA 02543 USA; [Gutierrez, Laura] Univ Concepcion, Grad Program Oceanog, Dept Oceanog, Fac Ciencias Nat &amp; Oceanog, Concepcion, Chile; [Stafford, Kathleen M.] Oregon State Univ, Marine Mammal Inst, Newport, OR USA; [Ramirez, Nadin; Pizarro, Oscar] Univ Concepcion, Inst Milenio Oceanog, Concepcion, Chile; [Pizarro, Oscar] Univ Concepcion, Dept Geofis, Fac Ciencias Fis &amp; Matemat, Concepcion, Chile</t>
  </si>
  <si>
    <t>Universidad de Concepcion; Universidad de Concepcion; Universidad de Concepcion; Woods Hole Oceanographic Institution; Universidad de Concepcion; Oregon State University; Universidad de Concepcion; Universidad de Concepcion</t>
  </si>
  <si>
    <t>Buchan, SJ (corresponding author), Univ Concepcion, Ctr Oceanog Res COPAS Sur Austral, Concepcion, Chile.;Buchan, SJ (corresponding author), Univ Concepcion, COPAS COASTAL, Concepcion, Chile.;Buchan, SJ (corresponding author), Univ Concepcion, Dept Oceanog, Fac Ciencias Nat &amp; Oceanog, Concepcion, Chile.;Buchan, SJ (corresponding author), Ctr Estudios Avanzados Zonas Aridas CEAZA, La Serena, Chile.;Buchan, SJ (corresponding author), Woods Hole Oceanog Inst, Biol Dept, Woods Hole, MA 02543 USA.</t>
  </si>
  <si>
    <t>sbuchan@udec.cl</t>
  </si>
  <si>
    <t>Buchan, Susannah J/E-7368-2015; Gutiérrez, Laura/IYJ-6582-2023</t>
  </si>
  <si>
    <t>Gutierrez Cabello, Laura/0009-0003-1227-6610; Pizarro, Oscar/0000-0001-7987-6555</t>
  </si>
  <si>
    <t>Office of Naval Research [N00014-17-1-2606]; Centro COPAS Sur-Austral [PFB31]; ANID APOYO CCTE [AFB170006]; Centro COPAS Coastal - Chilean Agencia Nacional de Investigacion y Desarrollo (ANID) [210021]</t>
  </si>
  <si>
    <t>Office of Naval Research(Office of Naval Research); Centro COPAS Sur-Austral; ANID APOYO CCTE; Centro COPAS Coastal - Chilean Agencia Nacional de Investigacion y Desarrollo (ANID)</t>
  </si>
  <si>
    <t>Financial support was provided by the Office of Naval Research grant N00014-17-1-2606. Partial funding was provided by Centro COPAS Sur-Austral PFB31 and ANID APOYO CCTE AFB170006, and Centro COPAS Coastal 210021, funded by the Chilean Agencia Nacional de Investigacion y Desarrollo (ANID) (https://www.anid.cl/).All deployments were carried out under SHOA resolutions 13270_24_136 and 13270_24_155. A MATLAB, 2020b Academic License to the University of Concepcion was used in this research. A free student license of Raven Pro 1.6 was kindly provided to LG by the K. Lisa Yang Center for Conservation Bioacoustics.</t>
  </si>
  <si>
    <t>OCT 7</t>
  </si>
  <si>
    <t>10.3389/fmars.2022.903964</t>
  </si>
  <si>
    <t>5R7HY</t>
  </si>
  <si>
    <t>WOS:000874678400001</t>
  </si>
  <si>
    <t>Zhang, HY; Zhang, XJ; Xu, TS; Li, XY; Storey, KB; Chen, Q; Niu, YG</t>
  </si>
  <si>
    <t>Zhang, Haiying; Zhang, Xuejing; Xu, Tisen; Li, Xiangyong; Storey, Kenneth B.; Chen, Qiang; Niu, Yonggang</t>
  </si>
  <si>
    <t>Effects of acute heat exposure on oxidative stress and antioxidant defenses in overwintering frogs, Nanorana parkeri</t>
  </si>
  <si>
    <t>JOURNAL OF THERMAL BIOLOGY</t>
  </si>
  <si>
    <t>Nanorana parkeri; Heat exposure; Oxidative stress; Antioxidant defense</t>
  </si>
  <si>
    <t>CLIMATE-CHANGE; GOLDFISH TISSUES; TEMPERATURE-ACCLIMATION; INCREASING TEMPERATURE; NOTOTHENIA-CORIICEPS; ANTARCTIC FISH; RESPONSES; DAMAGE; BIOMARKERS; SYSTEM</t>
  </si>
  <si>
    <t>Climate warming is intensifying on the Tibetan Plateau and poses a serious threat to amphibians that live there. Although hibernation physiology and ecology of Nanorana parkeri, a frog species native to the Tibetan plateau, has been well studied, little information is available about the physiological and biochemical responses to acute rising temperature. Here, we conducted an acute warming experiment comparing hibernating N. parkeri (acclimated at 4 degrees C) and frogs acutely warmed to 10 degrees C for 12 h, comparing indicators of oxidative stress and antioxidant defense between the two groups. Acute warming led to a significant increase in the content of oxidized glutathione and the ratio of oxidized:reduced glutathione in liver and muscle, indicating that rapid warming causing oxidative stress could be a negative factor for frogs inhabiting the Tibetan plateau. Malon-dialdehyde content increased by 57% only in muscle but decreased significantly in three tissues. Protein carbonyl groups rose by 15% in brain, 28% in liver, and 21% in muscle after heat exposure but vitamin C content in heart decreased by 44%. Acute heat exposure also induced tissue-specific upregulation of antioxidant enzyme activ-ities. Catalase activity increased by 27% in heat-exposed frogs, as compared to controls, and glutathione peroxidase activity rose by 12% in brain, 30% in liver, and 12% in muscle. Glutathione-S-transferase activity was also enhanced in heart and muscle of heat-exposed frogs. Acute warming also resulted in a rise in total anti-oxidant capacity in all tissues examined except kidney, relative to controls. In summary, our findings show that acute heat exposure to hibernating N. parkeri causes a tissue-specific increase in oxidative damage and antiox-idant defenses, with skeletal muscle being the most affected tissue. These results reveal the physiological re-sponses to acute temperature change in overwintering N. parkeri.</t>
  </si>
  <si>
    <t>[Zhang, Haiying; Xu, Tisen; Li, Xiangyong; Niu, Yonggang] Dezhou Univ, Dept Life Sci, Dezhou, Peoples R China; [Zhang, Xuejing; Chen, Qiang] Lanzhou Univ, Sch Life Sci, Lanzhou, Peoples R China; [Storey, Kenneth B.] Carleton Univ, Dept Biol, Ottawa, ON K1S 5B6, Canada; [Niu, Yonggang] Dezhou Univ, Dept Life Sci, Dezhou 253023, Shandong, Peoples R China; [Chen, Qiang] Lanzhou Univ, Sch Life Sci, Lanzhou 730000, Gansu, Peoples R China</t>
  </si>
  <si>
    <t>Dezhou University; Lanzhou University; Carleton University; Dezhou University; Lanzhou University</t>
  </si>
  <si>
    <t>Niu, YG (corresponding author), Dezhou Univ, Dept Life Sci, Dezhou 253023, Shandong, Peoples R China.;Chen, Q (corresponding author), Lanzhou Univ, Sch Life Sci, Lanzhou 730000, Gansu, Peoples R China.</t>
  </si>
  <si>
    <t>chenq@lzu.edu.cn; yonggangniu@126.com</t>
  </si>
  <si>
    <t>Jiang, Yu/JEZ-9814-2023; Wang, Minghao/JMD-0670-2023; chen, qiang/HGU-5418-2022; Yang, Tian/JFB-1008-2023; chen, qiang/JXY-6982-2024; Storey, Kenneth B/G-9883-2011; Niu, Yonggang/HMO-5352-2023; SUN, YANLING/JTT-9082-2023; Liu, Jinyu/JYQ-6274-2024</t>
  </si>
  <si>
    <t>Niu, Yonggang/0000-0002-6674-1798;</t>
  </si>
  <si>
    <t>National Natural Science Foundation of China; Project of Scientific Research Foundation of Dezhou University; [32001110]; [31971416]; [2019xjrc315]</t>
  </si>
  <si>
    <t>National Natural Science Foundation of China(National Natural Science Foundation of China (NSFC)); Project of Scientific Research Foundation of Dezhou University; ; ;</t>
  </si>
  <si>
    <t>This work was supported by the National Natural Science Foundation of China (no. 32001110 and no. 31971416) , and the Project of Scientific Research Foundation of Dezhou University (2019xjrc315) .</t>
  </si>
  <si>
    <t>0306-4565</t>
  </si>
  <si>
    <t>1879-0992</t>
  </si>
  <si>
    <t>J THERM BIOL</t>
  </si>
  <si>
    <t>J. Therm. Biol.</t>
  </si>
  <si>
    <t>10.1016/j.jtherbio.2022.103355</t>
  </si>
  <si>
    <t>5R9FP</t>
  </si>
  <si>
    <t>WOS:000874809600008</t>
  </si>
  <si>
    <t>Yu, XW; Zhang, YL; Jin, RL; Chai, ZY; Hu, QH; Yu, J; Xing, J; Zhang, LL; Kang, H; Zhang, YX; Wang, XM; Xie, ZQ</t>
  </si>
  <si>
    <t>Yu, Xiawei; Zhang, Yanli; Jin, Ruilin; Chai, Zhangyan; Hu, Qihou; Yu, Juan; Xing, Jie; Zhang, Lulu; Kang, Hui; Zhang, Yanxu; Wang, Xinming; Xie, Zhouqing</t>
  </si>
  <si>
    <t>Spatial distribution of marine atmospheric isoprene in the Southern Hemisphere: Role of atmospheric removal capacity</t>
  </si>
  <si>
    <t>Isoprene; Spatial distribution; Influencing factors; Marine emission capacity; Atmospheric removal capacity</t>
  </si>
  <si>
    <t>NONMETHANE HYDROCARBONS; BOUNDARY-LAYER; ARCTIC-OCEAN; DIMETHYL SULFIDE; SURFACE OCEAN; INDIAN-OCEAN; NEW-MODEL; EMISSIONS; OXIDATION; SEA</t>
  </si>
  <si>
    <t>Isoprene is important to the formation of secondary organic aerosols and can change the atmospheric oxidation capacity in the remote marine environment. However, the influencing factors of marine atmospheric isoprene are still unclear. Here, we report observed atmospheric isoprene in ambient air along three cruises path from the Arctic Ocean to the Southern Ocean. The levels of isoprene ranged from not detected (ND) to 452 pptv, with an average value of 48 +/- 81 pptv, with large variability. A negative correlation was found between isoprene and latitude (r =-0.40, p &lt; 0.01). The spatial distributions of isoprene flux from oceanic phytoplankton by the modelled results were different from those of observed atmospheric isoprene. The observed isoprene concen-tration was 2-3 orders of magnitude higher than the model estimation. Environmental variables such as tem-perature, wind speed (WS), sea surface temperature (SST), salinity and atmospheric removal capacity can influence the distribution of isoprene. At latitudes north of 60S, the marine emission capacity was relatively important and contributed 45.06%. Atmospheric removal capacity was the most important factor for atmo-spheric isoprene, contributing 55.05% to the concentration of atmospheric isoprene in latitudes south of 60 degrees S. Low atmospheric oxidation capacity and wind speed cause high atmospheric isoprene in the Southern Ocean in summer and will eventually affect secondary organic aerosol concentrations.</t>
  </si>
  <si>
    <t>[Yu, Xiawei; Jin, Ruilin; Yu, Juan; Xing, Jie; Zhang, Lulu; Kang, Hui; Xie, Zhouqing] Univ Sci &amp; Technol China, Dept Environm Sci &amp; Technol, Anhui Prov Key Lab Polar Environm &amp; Global Change, Hefei 230026, Anhui, Peoples R China; [Yu, Xiawei; Jin, Ruilin; Yu, Juan; Xing, Jie; Zhang, Lulu; Kang, Hui; Xie, Zhouqing] Univ Sci &amp; Technol China, Inst Polar Environm, Hefei 230026, Anhui, Peoples R China; [Zhang, Yanli; Wang, Xinming] Chinese Acad Sci, Guangzhou Inst Geochem, State Key Lab Organ Geochem, Guangzhou 510640, Peoples R China; [Chai, Zhangyan; Xie, Zhouqing] Univ Sci &amp; Technol China, Sch Life Sci, Hefei 230026, Anhui, Peoples R China; [Hu, Qihou] Chinese Acad Sci, Anhui Inst Opt &amp; Fine Mech, Key Lab Environm Opt &amp; Technol, Hefei 230031, Peoples R China; [Zhang, Yanxu] Nanjing Univ, Sch Atmospher Sci, Joint Int Res Lab Atmospher &amp; Earth Syst Sci, Nanjing 210023, Peoples R China</t>
  </si>
  <si>
    <t>Chinese Academy of Sciences; University of Science &amp; Technology of China, CAS; Chinese Academy of Sciences; University of Science &amp; Technology of China, CAS; Chinese Academy of Sciences; Guangzhou Institute of Geochemistry, CAS; Chinese Academy of Sciences; University of Science &amp; Technology of China, CAS; Chinese Academy of Sciences; Hefei Institutes of Physical Science, CAS; Anhui Institute of Optics &amp; Fine Mechanics (AIOFM), CAS; Nanjing University</t>
  </si>
  <si>
    <t>Xie, ZQ (corresponding author), Univ Sci &amp; Technol China, Dept Environm Sci &amp; Technol, Anhui Prov Key Lab Polar Environm &amp; Global Change, Hefei 230026, Anhui, Peoples R China.;Wang, XM (corresponding author), Chinese Acad Sci, Guangzhou Inst Geochem, State Key Lab Organ Geochem, Guangzhou 510640, Peoples R China.;Zhang, YX (corresponding author), Nanjing Univ, Sch Atmospher Sci, Joint Int Res Lab Atmospher &amp; Earth Syst Sci, Nanjing 210023, Peoples R China.</t>
  </si>
  <si>
    <t>zhangyx@nju.edu.cn; wangxm@gig.ac.cn; zqxie@ustc.edu.cn</t>
  </si>
  <si>
    <t>Zhang, Yanxu/H-6165-2016; ZHANG, Yanli/A-3225-2015; Wang, Xinming/A-7388-2014</t>
  </si>
  <si>
    <t>ZHANG, Yanli/0000-0003-0614-2096; Wang, Xinming/0000-0002-1982-0928</t>
  </si>
  <si>
    <t>National Natural Science Foundation of China, China [41676173, 41941014, 42106219]; Fundamental Research Funds for the Central Universities, China [WK2080000121]; open fund of Key Lab of Environmental Optics and Technology of Chinese Academy of Sciences, China [2005DP173065-2018-02]</t>
  </si>
  <si>
    <t>National Natural Science Foundation of China, China(National Natural Science Foundation of China (NSFC)); Fundamental Research Funds for the Central Universities, China(Fundamental Research Funds for the Central Universities); open fund of Key Lab of Environmental Optics and Technology of Chinese Academy of Sciences, China</t>
  </si>
  <si>
    <t>This research was supported by grants from the National Natural Science Foundation of China, China (Project Nos. 41676173, 41941014, 42106219) . The Fundamental Research Funds for the Central Universities, China (Project No. WK2080000121) and open fund of Key Lab of Environmental Optics and Technology of Chinese Academy of Sciences, China (Project No. 2005DP173065-2018-02) . We thank the Chinese Arctic and Antarctic Administration for logistical support with field campaigns. The data for this paper will be freely available from Zhouqing Xie. (zqxie@ustc.edu.cn)</t>
  </si>
  <si>
    <t>10.1016/j.atmosenv.2022.119414</t>
  </si>
  <si>
    <t>5I8UR</t>
  </si>
  <si>
    <t>WOS:000868625500001</t>
  </si>
  <si>
    <t>Pirri, F; Ometto, L; Fuselli, S; Fernandes, FAN; Ancona, L; Perta, N; Di Marino, D; Le Bohec, C; Zane, L; Trucchi, E</t>
  </si>
  <si>
    <t>Pirri, Federica; Ometto, Lino; Fuselli, Silvia; Fernandes, Flavia A. N.; Ancona, Lorena; Perta, Nunzio; Di Marino, Daniele; Le Bohec, Celine; Zane, Lorenzo; Trucchi, Emiliano</t>
  </si>
  <si>
    <t>Selection-driven adaptation to the extreme Antarctic environment in the Emperor penguin</t>
  </si>
  <si>
    <t>HEREDITY</t>
  </si>
  <si>
    <t>ACTIVATED RECEPTOR-ALPHA; RELAXED SELECTION; KING PENGUIN; BROWN FAT; CLIMATE-CHANGE; BODY-WEIGHT; OBESE GENE; WEB SERVER; EVOLUTION; COLD</t>
  </si>
  <si>
    <t>The eco-evolutionary history of penguins is characterised by shifting from temperate to cold environments. Breeding in Antarctica, the Emperor penguin appears as an extreme outcome of this process, with unique features related to insulation, heat production and energy management. However, whether this species actually diverged from a less cold-adapted ancestor, more ecologically similar to its sister species, the King penguin, is still an open question. As the Antarctic colonisation likely resulted in vast changes in selective pressure experienced by the Emperor penguin, the relative quantification of the genomic signatures of selection, unique to each sister species, could answer this question. Applying phylogeny-based selection tests on 7651 orthologous genes, we identified a more pervasive selection shift in the Emperor penguin than in the King penguin, supporting the hypothesis that its extreme cold adaptation is a derived state. Furthermore, among candidate genes under selection, four (TRPM8, LEPR, CRB1, and SFI1) were identified before in other cold-adapted homeotherms, like the woolly Mammoth, while other 161 genes can be assigned to biological functions relevant to cold adaptation identified in previous studies. Location and structural effects of TRPM8 substitutions in Emperor and King penguin lineages support their functional role with putative divergent effects on thermal adaptation. We conclude that extreme cold adaptation in the Emperor penguin largely involved unique genetic options which, however, affect metabolic and physiological traits common to other cold-adapted homeotherms.</t>
  </si>
  <si>
    <t>[Pirri, Federica; Fernandes, Flavia A. N.; Ancona, Lorena; Perta, Nunzio; Di Marino, Daniele; Trucchi, Emiliano] Marche Polytech Univ, Dept Life &amp; Environm Sci, Ancona, Italy; [Pirri, Federica; Zane, Lorenzo] Univ Padua, Dept Biol, Padua, Italy; [Ometto, Lino] Univ Pavia, Dept Biol &amp; Biotechnol, Pavia, Italy; [Fuselli, Silvia] Univ Ferrara, Dept Life Sci &amp; Biotechnol, Ferrara, Italy; [Fernandes, Flavia A. N.; Le Bohec, Celine] Univ Strasbourg, CNRS, IPHC UMR 7178, F-67000 Strasbourg, France; [Le Bohec, Celine] Ctr Sci Monaco, Dept Biol Polaire, Monaco, Monaco</t>
  </si>
  <si>
    <t>Marche Polytechnic University; University of Padua; University of Pavia; University of Ferrara; Universites de Strasbourg Etablissements Associes; Universite de Strasbourg; Centre National de la Recherche Scientifique (CNRS); CNRS - National Institute of Nuclear and Particle Physics (IN2P3)</t>
  </si>
  <si>
    <t>Trucchi, E (corresponding author), Marche Polytech Univ, Dept Life &amp; Environm Sci, Ancona, Italy.</t>
  </si>
  <si>
    <t>e.trucchi@univpm.it</t>
  </si>
  <si>
    <t>LE BOHEC, CELINE/AAD-3589-2022; Perta, Nunzio/HDM-6924-2022; Zane, Lorenzo/G-6249-2010; Ometto, Lino/C-3609-2008</t>
  </si>
  <si>
    <t>Perta, Nunzio/0000-0003-2558-8413; Fuselli, Silvia/0000-0002-1442-6171; Zane, Lorenzo/0000-0002-6963-2132; Ancona, Lorena/0000-0001-7174-3918; LE BOHEC, Celine/0000-0003-0149-6477; Nitta Fernandes, Flavia Akemi/0000-0001-7897-6976; Ometto, Lino/0000-0002-2679-625X</t>
  </si>
  <si>
    <t>[PNRA16_00164]</t>
  </si>
  <si>
    <t>ET was supported by PNRA16_00164 (Programma Nazionale di Ricerca in Antartide. Bando PNRA 5 aprile 2016, n. 651. - Linea B Genomica degli adattamenti estremi alla vita in Antartide).</t>
  </si>
  <si>
    <t>0018-067X</t>
  </si>
  <si>
    <t>1365-2540</t>
  </si>
  <si>
    <t>Heredity</t>
  </si>
  <si>
    <t>10.1038/s41437-022-00564-8</t>
  </si>
  <si>
    <t>6O5MS</t>
  </si>
  <si>
    <t>WOS:000864979200001</t>
  </si>
  <si>
    <t>Siahaan, A; Smith, RS; Holland, PR; Jenkins, A; Gregory, JM; Lee, V; Mathiot, P; Payne, AJ; Ridley, JK; Jones, CG</t>
  </si>
  <si>
    <t>Siahaan, Antony; Smith, Robin S.; Holland, Paul R.; Jenkins, Adrian; Gregory, Jonathan M.; Lee, Victoria; Mathiot, Pierre; Payne, Antony J.; Ridley, Jeff K.; Jones, Colin G.</t>
  </si>
  <si>
    <t>The Antarctic contribution to 21st-century sea-level rise predicted by the UK Earth System Model with an interactive ice sheet</t>
  </si>
  <si>
    <t>SURFACE MASS-BALANCE; PINE ISLAND; SOUTHERN-OCEAN; CLIMATE-CHANGE; CARBON-CYCLE; SHELF CAVITY; DEEP-WATER; PART 1; VULNERABILITY; VARIABILITY</t>
  </si>
  <si>
    <t>The Antarctic Ice Sheet will play a crucial role in the evolution of global mean sea level as the climate warms. An interactively coupled climate and ice sheet model is needed to understand the impacts of ice-climate feed-backs during this evolution. Here we use a two-way coupling between the UK Earth System Model and the BISICLES (Berkeley Ice Sheet Initiative for Climate at Extreme Scales) dynamic ice sheet model to investigate Antarctic ice-climate interactions under two climate change scenarios. We perform ensembles of SSP1-1.9 and SSP5-8.5 (Shared Socioeconomic Pathway) scenario simulations to 2100, which we believe are the first such simulations with a climate model that include two-way coupling of atmosphere and ocean models to dynamic models of the Greenland and Antarctic ice sheets. We focus our analysis on the latter. In SSP1-1.9 simulations, ice shelf basal melting and grounded ice mass loss from the Antarctic Ice Sheet are generally lower than present rates during the entire simulation period. In contrast, the responses to SSP5-8.5 forcing are strong. By the end of the 21st century, these simulations feature order-of-magnitude increases in basal melting of the Ross and Filchner-Ronne ice shelves, caused by intrusions of masses of warm ocean water. Due to the slow response of ice sheet drawdown, this strong melting does not cause a substantial increase in ice discharge during the simulations. The surface mass balance in SSP5-8.5 simulations shows a pattern of strong decrease on ice shelves, caused by increased melting, and strong increase on grounded ice, caused by increased snowfall. Despite strong surface and basal melting of the ice shelves, increased snowfall dominates the mass budget of the grounded ice, leading to an ensemble mean Antarctic contribution to global mean sea level of a fall of 22 mm by 2100 in the SSP5-8.5 scenario. We hypothesise that this signal would revert to sea-level rise on longer timescales, caused by the ice sheet dynamic response to ice shelf thinning These results demonstrate the need for fully coupled ice-climate models in reducing the substantial uncertainty in sea-level rise from the Antarctic Ice Sheet.</t>
  </si>
  <si>
    <t>[Siahaan, Antony; Holland, Paul R.; Jenkins, Adrian] British Antarctic Survey, Cambridge, England; [Smith, Robin S.; Gregory, Jonathan M.] Univ Reading, Dept Meteorol, NCAS, Reading, Berks, England; [Gregory, Jonathan M.; Mathiot, Pierre; Ridley, Jeff K.] Met Off Hadley Ctr, Exeter, Devon, England; [Lee, Victoria; Payne, Antony J.] Univ Bristol, Bristol Glaciol Ctr, CPOM, Bristol, Avon, England; [Jones, Colin G.] Univ Leeds, Sch Earth &amp; Environm, NCAS, Leeds, W Yorkshire, England; [Jenkins, Adrian] Northumbria Univ, Dept Geog &amp; Environm Sci, Newcastle Upon Tyne, Tyne &amp; Wear, England; [Mathiot, Pierre] Univ Grenoble Alpes, Inst Geosci Environm, CNRS, IRD,G INP, Grenoble, France</t>
  </si>
  <si>
    <t>UK Research &amp; Innovation (UKRI); Natural Environment Research Council (NERC); NERC British Antarctic Survey; University of Reading; UK Research &amp; Innovation (UKRI); Natural Environment Research Council (NERC); NERC National Centre for Atmospheric Science; Met Office - UK; Hadley Centre; University of Bristol; UK Research &amp; Innovation (UKRI); Natural Environment Research Council (NERC); NERC National Centre for Atmospheric Science; University of Leeds; Northumbria University; Communaute Universite Grenoble Alpes; Universite Grenoble Alpes (UGA); Centre National de la Recherche Scientifique (CNRS); Institut de Recherche pour le Developpement (IRD)</t>
  </si>
  <si>
    <t>Siahaan, A (corresponding author), British Antarctic Survey, Cambridge, England.</t>
  </si>
  <si>
    <t>antsia@bas.ac.uk</t>
  </si>
  <si>
    <t>Holland, Paul R/G-2796-2012; Jenkins, Adrian/IUN-2406-2023; Gregory, Jonathan/J-2939-2016; payne, antony/A-8916-2008</t>
  </si>
  <si>
    <t>Gregory, Jonathan/0000-0003-1296-8644; payne, antony/0000-0001-8825-8425</t>
  </si>
  <si>
    <t>UK Research and Innovation [NE/N017978/1, NE/N01801X/1]; Met Office via BEIS (Department for Business, Energy and Industrial Strategy); Defra (Department for Environment, Food and Rural Affairs); European Commission H2020 programme [641816]</t>
  </si>
  <si>
    <t>UK Research and Innovation(UK Research &amp; Innovation (UKRI)); Met Office via BEIS (Department for Business, Energy and Industrial Strategy); Defra (Department for Environment, Food and Rural Affairs)(Department for Environment, Food &amp; Rural Affairs (DEFRA)); European Commission H2020 programme(Horizon 2020)</t>
  </si>
  <si>
    <t>This research has been supported by the UK Research and Innovation (grant nos. NE/N017978/1 and NE/N01801X/1), the Met Office via BEIS (Department for Business, Energy and Industrial Strategy) and Defra (Department for Environment, Food and Rural Affairs), and the European Commission H2020 programme (grant no. 641816; CRESCENDO).</t>
  </si>
  <si>
    <t>10.5194/tc-16-4053-2022</t>
  </si>
  <si>
    <t>5D0VN</t>
  </si>
  <si>
    <t>WOS:000864669100001</t>
  </si>
  <si>
    <t>Moore, BR; Parker, SJ; Marriott, PM; Sutton, C; Pinkerton, MH</t>
  </si>
  <si>
    <t>Moore, Bradley R.; Parker, Steven J.; Marriott, Peter M.; Sutton, Colin; Pinkerton, Matthew H.</t>
  </si>
  <si>
    <t>Comparative biology of the grenadiers Macrourus caml and M. whitsoni in the Ross Sea region, Antarctica</t>
  </si>
  <si>
    <t>Macrouridae; age; growth; maturity; deepwater fisheries; Antarctica</t>
  </si>
  <si>
    <t>TOOTHFISH DISSOSTICHUS-MAWSONI; ROUNDNOSE GRENADIER; CORYPHAENOIDES-RUPESTRIS; CONTINENTAL-SLOPE; AGE ESTIMATION; MORTALITY-RATE; DEEP WATERS; GROWTH; VALIDATION; GADIFORMES</t>
  </si>
  <si>
    <t>The grenadiers Macrourus caml and M. whitsoni form a significant bycatch component of longline fisheries for Antarctic toothfish (Dissostichus mawsoni) in the Southern Ocean. A lack of species-level biological and catch data has to date hindered the development of quantitative assessments for these deepwater species. This paper examines species- and sex-specific life histories of M. caml and M. whitsoni in the Ross Sea region, Antarctica, from samples collected from the commercial fishery and research collections. Macrourus caml was found to live longer, grow slower, and attain a larger maximum length than M. whitsoni, reaching at least 65 years of age and 97 cm total length (TL) vs. 43 years and 78 cm TL for M. whitsoni. In addition, M. caml attains a larger length for a given age and a greater weight for a given length. For each species, females of a given age were larger and reached a greater maximum age than males. Assuming that selectivity of the fishing gear is related to fish size, greater fishing pressure on females than males is likely, and was evidenced by female-biased sex ratios of both species. Estimates of natural and fishing mortality rates were low for both species. Despite having a shorter lifespan and attaining a smaller maximum length, M. whitsoni matured later in life and at larger lengths than M. caml. Although sampling opportunities are constrained seasonally due to sea ice cover, gonad staging and interannual patterns in gonadosomatic indices suggest prolonged spawning for both species, with available data indicating peak spawning during austral summer. The differences in life history observed between these two closely related and morphologically similar species illustrates the importance of understanding species-specific life histories to infer responses to exploitation, provide key biological inputs to inform parameters for future risk assessments and ecosystem models as well as baseline information for comparative work over both time and space, contribute to greater clarity in managing fisheries that interact with these two species, and further our understanding of grenadier life history.</t>
  </si>
  <si>
    <t>[Moore, Bradley R.; Parker, Steven J.; Sutton, Colin] Natl Inst Water &amp; Atmospher Res Ltd, Nelson, New Zealand; [Moore, Bradley R.] Univ Tasmania, Inst Marine &amp; Antarctic Studies, Hobart, Tas, Australia; [Marriott, Peter M.; Pinkerton, Matthew H.] Natl Inst Water &amp; Atmospher Res Ltd, Wellington, New Zealand</t>
  </si>
  <si>
    <t>National Institute of Water &amp; Atmospheric Research (NIWA) - New Zealand; University of Tasmania; National Institute of Water &amp; Atmospheric Research (NIWA) - New Zealand</t>
  </si>
  <si>
    <t>Moore, BR (corresponding author), Natl Inst Water &amp; Atmospher Res Ltd, Nelson, New Zealand.;Moore, BR (corresponding author), Univ Tasmania, Inst Marine &amp; Antarctic Studies, Hobart, Tas, Australia.</t>
  </si>
  <si>
    <t>bradley.moore@niwa.co.nz</t>
  </si>
  <si>
    <t>New Zealand Ministry for Primary Industries [ANT2019/01]; New Zealand Ministry of Business, Innovation and Employment [C01X1710]; New Zealand Ministry of Business, Innovation &amp; Employment (MBIE) [C01X1710] Funding Source: New Zealand Ministry of Business, Innovation &amp; Employment (MBIE)</t>
  </si>
  <si>
    <t>New Zealand Ministry for Primary Industries; New Zealand Ministry of Business, Innovation and Employment(New Zealand Ministry of Business, Innovation and Employment (MBIE)); New Zealand Ministry of Business, Innovation &amp; Employment (MBIE)(New Zealand Ministry of Business, Innovation and Employment (MBIE))</t>
  </si>
  <si>
    <t>This project was funded by the New Zealand Ministry for Primary Industries under project ANT2019/01 and the New Zealand Ministry of Business, Innovation and Employment through the Endeavour Fund Ross Sea Research and Monitoring Programme (Ross-RAMP; MBIE contract C01X1710).</t>
  </si>
  <si>
    <t>OCT 6</t>
  </si>
  <si>
    <t>10.3389/fmars.2022.968848</t>
  </si>
  <si>
    <t>5R5QT</t>
  </si>
  <si>
    <t>WOS:000874565700001</t>
  </si>
  <si>
    <t>Pascoal, F; Areosa, I; Torgo, L; Branco, P; Baptista, MS; Lee, CK; Cary, SC; Magalhaes, C</t>
  </si>
  <si>
    <t>Pascoal, Francisco; Areosa, Ines; Torgo, Luis; Branco, Paula; Baptista, Mafalda S.; Lee, Charles K.; Cary, S. Craig; Magalhaes, Catarina</t>
  </si>
  <si>
    <t>The spatial distribution and biogeochemical drivers of nitrogen cycle genes in an Antarctic desert</t>
  </si>
  <si>
    <t>nitrogen cycle; Antarctic desert; Antarctic metagenomics; nitrogen-cycling genes; association rules; McMurdo Dry Valleys</t>
  </si>
  <si>
    <t>DRY VALLEY; COMMUNITY; DIVERSITY; ABUNDANCE; LIMITS; SOILS; LIFE; KEGG</t>
  </si>
  <si>
    <t>Antarctic deserts, such as the McMurdo Dry Valleys (MDV), represent extremely cold and dry environments. Consequently, MDV are suitable for studying the environment limits on the cycling of key elements that are necessary for life, like nitrogen. The spatial distribution and biogeochemical drivers of nitrogen-cycling pathways remain elusive in the Antarctic deserts because most studies focus on specific nitrogen-cycling genes and/or organisms. In this study, we analyzed metagenome and relevant environmental data of 32 MDV soils to generate a complete picture of the nitrogen-cycling potential in MDV microbial communities and advance our knowledge of the complexity and distribution of nitrogen biogeochemistry in these harsh environments. We found evidence of nitrogen-cycling genes potentially capable of fully oxidizing and reducing molecular nitrogen, despite the inhospitable conditions of MDV. Strong positive correlations were identified between genes involved in nitrogen cycling. Clear relationships between nitrogen-cycling pathways and environmental parameters also indicate abiotic and biotic variables, like pH, water availability, and biological complexity that collectively impose limits on the distribution of nitrogen-cycling genes. Accordingly, the spatial distribution of nitrogen-cycling genes was more concentrated near the lakes and glaciers. Association rules revealed non-linear correlations between complex combinations of environmental variables and nitrogen-cycling genes. Association rules for the presence of denitrification genes presented a distinct combination of environmental variables from the remaining nitrogen-cycling genes. This study contributes to an integrative picture of the nitrogen-cycling potential in MDV.</t>
  </si>
  <si>
    <t>[Pascoal, Francisco; Baptista, Mafalda S.; Magalhaes, Catarina] Univ Porto, Interdisciplinary Ctr Marine &amp; Environm Res, Porto, Portugal; [Pascoal, Francisco; Magalhaes, Catarina] Univ Porto, Fac Sci, Porto, Portugal; [Areosa, Ines; Torgo, Luis] Dalhousie Univ, Fac Comp Sci, Halifax, NS, Canada; [Branco, Paula] Univ Ottawa, Sch Elect Engn &amp; Comp Sci, Ottawa, ON, Canada; [Baptista, Mafalda S.; Lee, Charles K.; Cary, S. Craig] Univ Waikato, Int Ctr Terr Antarctic Res, Hamilton, New Zealand; [Lee, Charles K.; Cary, S. Craig] Univ Waikato, Sch Sci, Hamilton, New Zealand</t>
  </si>
  <si>
    <t>Universidade do Porto; Universidade do Porto; Dalhousie University; University of Ottawa; University of Waikato; University of Waikato</t>
  </si>
  <si>
    <t>Magalhaes, C (corresponding author), Univ Porto, Interdisciplinary Ctr Marine &amp; Environm Res, Porto, Portugal.;Magalhaes, C (corresponding author), Univ Porto, Fac Sci, Porto, Portugal.;Cary, SC (corresponding author), Univ Waikato, Int Ctr Terr Antarctic Res, Hamilton, New Zealand.;Cary, SC (corresponding author), Univ Waikato, Sch Sci, Hamilton, New Zealand.</t>
  </si>
  <si>
    <t>caryc@waikato.ac.nz; cmagalhaes@ciimar.up.pt</t>
  </si>
  <si>
    <t>Baptista, Mafalda S./F-8301-2010; Branco, Paula/V-2452-2018</t>
  </si>
  <si>
    <t>Baptista, Mafalda S./0000-0002-2198-0410; Torgo, Luis/0000-0002-6892-8871</t>
  </si>
  <si>
    <t>10.3389/fmicb.2022.927129</t>
  </si>
  <si>
    <t>5Q3OL</t>
  </si>
  <si>
    <t>WOS:000873745000001</t>
  </si>
  <si>
    <t>Vignon, É; Raillard, L; Genthon, C; Del Guasta, M; Heymsfield, AJ; Madeleine, JB; Berne, A</t>
  </si>
  <si>
    <t>Vignon, Etienne; Raillard, Lea; Genthon, Christophe; Del Guasta, Massimo; Heymsfield, Andrew J.; Madeleine, Jean-Baptiste; Berne, Alexis</t>
  </si>
  <si>
    <t>Ice fog observed at cirrus temperatures at Dome C, Antarctic Plateau</t>
  </si>
  <si>
    <t>BOUNDARY-LAYER; WATER ACTIVITY; DIAMOND DUST; NUCLEATION; CLOUDS; VAPOR; PARAMETRIZATION; ATMOSPHERE; TOWER</t>
  </si>
  <si>
    <t>As the near-surface atmosphere over the Antarctic Plateau is cold and pristine, its physico-chemical conditions resemble to a certain extent those of the high troposphere where cirrus clouds form. In this paper, we carry out an observational analysis of two shallow fog clouds forming in situ at cirrus temperatures - that is, temperatures lower than 235 K - at Dome C, inner Antarctic Plateau. The combination of lidar profiles with temperature and humidity measurements from advanced thermo-hygrometers along a 45 m mast makes it possible to characterise the formation and development of the fog. High supersaturations with respect to ice are observed before the initiation of fog, and the values attained suggest that the nucleation process at play is the homogeneous freezing of solution aerosol droplets. This is the first time that in situ observations show that this nucleation pathway can be at the origin of an ice fog. Once nucleation occurs, the relative humidity gradually decreases down to subsaturated values with respect to ice in a few hours, owing to vapour deposition onto ice crystals and turbulent mixing. The development of fog is tightly coupled with the dynamics of the boundary layer which, in the first study case, experiences a weak diurnal cycle, while in the second case, it transits from a very stable to a weakly stable dynamical regime. Overall, this paper highlights the potential of the site of Dome C for carrying out observational studies of very cold cloud microphysical processes in natural conditions and using in situ ground-based instruments.</t>
  </si>
  <si>
    <t>[Vignon, Etienne; Raillard, Lea; Genthon, Christophe; Madeleine, Jean-Baptiste] Sorbonne Univ, CNRS, UMR 8539, Lab Meteorol Dynam,IPSL, Paris, France; [Del Guasta, Massimo] Inst Nazl Ott CNR, I-50019 Florence, Italy; [Heymsfield, Andrew J.] Natl Ctr Atmospher Res, POB 3000, Boulder, CO 80307 USA; [Berne, Alexis] Ecole Polytech Fed Lausanne, Environm Remote Sensing Lab LTE, Lausanne, Switzerland</t>
  </si>
  <si>
    <t>Universite Paris Cite; Centre National de la Recherche Scientifique (CNRS); CNRS - National Institute for Earth Sciences &amp; Astronomy (INSU); Sorbonne Universite; National Center Atmospheric Research (NCAR) - USA; Swiss Federal Institutes of Technology Domain; Ecole Polytechnique Federale de Lausanne</t>
  </si>
  <si>
    <t>Vignon, É (corresponding author), Sorbonne Univ, CNRS, UMR 8539, Lab Meteorol Dynam,IPSL, Paris, France.</t>
  </si>
  <si>
    <t>etienne.vignon@lmd.ipsl.fr</t>
  </si>
  <si>
    <t>Heymsfield, Andrew J/E-7340-2011</t>
  </si>
  <si>
    <t>Heymsfield, Andrew J/0000-0003-4107-7533; del guasta, massimo/0000-0002-1042-0370; Genthon, Christophe/0000-0002-3678-4447; VIGNON, Etienne/0000-0003-3801-9367</t>
  </si>
  <si>
    <t>European Research Council (ERC) under the European Union [951596]; European Research Council (ERC) [951596] Funding Source: European Research Council (ERC)</t>
  </si>
  <si>
    <t>This project has received funding from the European Research Council (ERC) under the European Union's Horizon 2020 research and innovation programme (grant no. 951596).</t>
  </si>
  <si>
    <t>10.5194/acp-22-12857-2022</t>
  </si>
  <si>
    <t>5C3ZB</t>
  </si>
  <si>
    <t>WOS:000864201300001</t>
  </si>
  <si>
    <t>Boxall, K; Christie, FDW; Willis, IC; Wuite, J; Nagler, T</t>
  </si>
  <si>
    <t>Boxall, Karla; Christie, Frazer D. W.; Willis, Ian C.; Wuite, Jan; Nagler, Thomas</t>
  </si>
  <si>
    <t>Seasonal land-ice-flow variability in the Antarctic Peninsula</t>
  </si>
  <si>
    <t>GROUNDING LINE RETREAT; PINE ISLAND; SURFACE VELOCITIES; WEST ANTARCTICA; MELTWATER STORAGE; PALMER LAND; SEA-ICE; SHELF; SHEET; GREENLAND</t>
  </si>
  <si>
    <t>Recent satellite-remote sensing studies have documented the multi-decadal acceleration of the Antarctic Ice Sheet in response to rapid rates of ice-sheet retreat and thinning Unlike the Greenland Ice Sheet, where historical, high-temporal-resolution satellite and in situ observations have revealed distinct changes in land-ice flow within intra-annual timescales, observations of similar seasonal signals are limited in Antarctica. Here, we use high-spatial- and high-temporal-resolution Copernicus SentineL-1A/B synthetic aperture radar observations acquired between 2014 and 2020 to provide the first evidence for seasonal flow variability of the land ice feeding George VI Ice Shelf (GVIIS), Antarctic Peninsula. Our observations reveal a distinct austral summertime (December-February) speed-up of similar to 0.06 +/- 0.005 m d(-1) (similar to 22 +/- 1.8 m yr(-1)) at, and immediately inland of, the grounding line of the glaciers nourishing the ice shelf, which constitutes a mean acceleration of similar to 15 % relative to baseline (time-series-averaged) rates of flow. These findings are corroborated by independent, optically derived velocity observations obtained from Landsat 8 imagery. Both surface and oceanic forcing mechanisms are outlined as potential controls on this seasonality. Ultimately, our findings imply that similar surface and/or ocean forcing mechanisms may be driving seasonal accelerations at the grounding lines of other vulnerable outlet glaciers around Antarctica. Assessing the degree of seasonal ice-flow variability at such locations is important for quantifying accurately Antarctica's future contribution to global sea-level rise.</t>
  </si>
  <si>
    <t>[Boxall, Karla; Christie, Frazer D. W.; Willis, Ian C.] Univ Cambridge, Scott Polar Res Inst, Cambridge, England; [Wuite, Jan; Nagler, Thomas] ENVEO IT GmbH, Innsbruck, Austria</t>
  </si>
  <si>
    <t>Boxall, K (corresponding author), Univ Cambridge, Scott Polar Res Inst, Cambridge, England.</t>
  </si>
  <si>
    <t>kb621@cam.ac.uk</t>
  </si>
  <si>
    <t>Wuite, Jan/0000-0001-9333-1586; Boxall, Karla/0000-0002-6574-7717; Willis, Ian/0000-0002-0750-7088</t>
  </si>
  <si>
    <t>Natural Environment Research Council [NE/S007164/1, NE/T006234/1]; Prince Albert II of Monaco Foundation [3095]; NERC [NE/T006234/1, 2429794] Funding Source: UKRI</t>
  </si>
  <si>
    <t>Natural Environment Research Council(UK Research &amp; Innovation (UKRI)Natural Environment Research Council (NERC)); Prince Albert II of Monaco Foundation; NERC(UK Research &amp; Innovation (UKRI)Natural Environment Research Council (NERC))</t>
  </si>
  <si>
    <t>This research has been supported by the Natural Environment Research Council (to Karla Boxall, grant no. NE/S007164/1, and to Ian C. Willis, grant no. NE/T006234/1) and the Prince Albert II of Monaco Foundation (to Frazer D. W. Christie, grant no. 3095).</t>
  </si>
  <si>
    <t>10.5194/tc-16-3907-2022</t>
  </si>
  <si>
    <t>5C3ZJ</t>
  </si>
  <si>
    <t>WOS:000864202100001</t>
  </si>
  <si>
    <t>Medley, B; Neumann, TA; Zwally, HJ; Smith, BE; Stevens, CM</t>
  </si>
  <si>
    <t>Medley, Brooke; Neumann, Thomas A.; Zwally, H. Jay; Smith, Benjamin E.; Stevens, C. Max</t>
  </si>
  <si>
    <t>Simulations of firn processes over the Greenland and Antarctic ice sheets: 1980-2021</t>
  </si>
  <si>
    <t>SURFACE MASS-BALANCE; MELTWATER STORAGE; SNOW ACCUMULATION; ELEVATION CHANGE; WEST ANTARCTICA; DENSIFICATION; CLIMATE; MODEL; VARIABILITY; LAND</t>
  </si>
  <si>
    <t>Conversion of altimetry-derived ice-sheet volume change to mass requires an understanding of the evolution of the combined ice and air content within the firn column. In the absence of suitable techniques to observe the changes to the firn column across the entirety of an ice sheet, the firn column processes are typically modeled. Here, we present new simulations of firn processes over the Greenland and Antarctic ice sheets (GrIS and AIS) using the Community Firn Model and atmospheric reanalysis variables for more than four decades. A data set of more than 250 measured depth-density profiles from both ice sheets provides the basis of the calibration of the dry-snow densification scheme. The resulting scheme results in a reduction in the rate of densification, relative to a commonly used semi-empirical model, through a decreased dependence on the accumulation rate, a proxy for overburden stress. The 1980-2020 modeled firn column runoff, when combined with atmospheric variables from MERRA-2, generates realistic mean integrated surface mass balance values for the Greenland (+390 Gt yr(-1)) and Antarctic (+2612 Gt yr(-1)) ice sheets when compared to published model-ensemble means. We find that seasonal volume changes associated with firn air content are on average approximately 2.5 times larger than those associated with mass fluxes from surface processes for the AIS and 1.5 times larger for the GrIS; however, when averaged over multiple years, ice and air-volume fluctuations within the firn column are of comparable magnitudes. Between 1996 and 2019, the Greenland Ice Sheet lost nearly 5 % of its firn air content, indicating a reduction in the total meltwater retention capability. Nearly all (94 %) of the meltwater produced over the Antarctic Ice Sheet is retained within the firn column through infiltration and refreezing.</t>
  </si>
  <si>
    <t>[Medley, Brooke; Neumann, Thomas A.; Zwally, H. Jay; Stevens, C. Max] NASA, Cryospher Sci Lab, Goddard Space Flight Ctr, Greenbelt, MD 20771 USA; [Smith, Benjamin E.] Univ Washington, Appl Phys Lab, Seattle, WA 98105 USA; [Stevens, C. Max] Univ Maryland, Earth Syst Sci Interdisciplinary Ctr, College Pk, MD 20740 USA</t>
  </si>
  <si>
    <t>National Aeronautics &amp; Space Administration (NASA); NASA Goddard Space Flight Center; University of Washington; University of Washington Seattle; University System of Maryland; University of Maryland College Park</t>
  </si>
  <si>
    <t>Medley, B (corresponding author), NASA, Cryospher Sci Lab, Goddard Space Flight Ctr, Greenbelt, MD 20771 USA.</t>
  </si>
  <si>
    <t>Neumann, Thomas/JLL-4672-2023</t>
  </si>
  <si>
    <t>Neumann, Thomas/0000-0002-6926-937X; Stevens, Christopher Max/0000-0003-2005-0876</t>
  </si>
  <si>
    <t>ICESat-2 Project Science Office at the NASA Goddard Space Flight Center</t>
  </si>
  <si>
    <t>This research was supported by the ICESat-2 Project Science Office at the NASA Goddard Space Flight Center.</t>
  </si>
  <si>
    <t>10.5194/tc-16-3971-2022</t>
  </si>
  <si>
    <t>5C3KC</t>
  </si>
  <si>
    <t>WOS:000864161400001</t>
  </si>
  <si>
    <t>Johnston, S; Brandon, A; McLeod, C; Rankenburg, K; Becker, H; Copeland, P</t>
  </si>
  <si>
    <t>Johnston, Shelby; Brandon, Alan; McLeod, Claire; Rankenburg, Kai; Becker, Harry; Copeland, Peter</t>
  </si>
  <si>
    <t>Nd isotope variation between the Earth-Moon system and enstatite chondrites</t>
  </si>
  <si>
    <t>SOLAR NEBULA; HETEROGENEITY; CONSTRAINTS; ND-142; NEODYMIUM; ORIGIN; DIFFERENTIATION; PRECISION; SAMARIUM; MANTLE</t>
  </si>
  <si>
    <t>Reconstructing the building blocks that made Earth and the Moon is critical to constrain their formation and compositional evolution to the present. Neodymium (Nd) isotopes identify these building blocks by fingerprinting nucleosynthetic components. In addition, the Sm-146-Nd-142 and Sm-147-Nd-143 decay systems, with half-lives of 103 million years and 108 billion years, respectively, track potential differences in their samarium (Sm)/Nd ratios. The difference in Earth's present-day Nd-142/Nd-144 ratio compared with chondrites(1,2), and in particular enstatite chondrites, is interpreted as nucleosynthetic isotope variation in the protoplanetary disk. This necessitates that chondrite parent bodies have the same Sm/Nd ratio as Earth's precursor materials(2). Here we show that Earth and the Moon instead had a Sm/Nd ratio approximately 2.4 +/- 0.5 per cent higher than the average for chondrites and that the initial Nd-142/Nd-144 ratio of Earth's precursor materials is more similar to that of enstatite chondrites than previously proposed(1,2). The difference in the Sm/Nd ratio between Earth and chondrites probably reflects the mineralogical distribution owing to mixing processes within the inner protoplanetary disk. This observation simplifies lunar differentiation to a single stage from formation to solidification of a lunar magma ocean(3). This also indicates that no Sm/Nd fractionation occurred between the materials that made Earth and the Moon in the Moon-forming giant impact.</t>
  </si>
  <si>
    <t>[Johnston, Shelby; Brandon, Alan; Copeland, Peter] Univ Houston, Dept Earth &amp; Atmospher Sci, Houston, TX 77004 USA; [McLeod, Claire] Miami Univ, Dept Geol &amp; Environm Earth Sci, Oxford, OH 45056 USA; [Rankenburg, Kai] Curtin Univ, John De Laeter Ctr, Bentley, WA, Australia; [Becker, Harry] Freie Univ, Berlin, Germany</t>
  </si>
  <si>
    <t>University of Houston System; University of Houston; University System of Ohio; Miami University; Curtin University; Free University of Berlin</t>
  </si>
  <si>
    <t>Brandon, A (corresponding author), Univ Houston, Dept Earth &amp; Atmospher Sci, Houston, TX 77004 USA.</t>
  </si>
  <si>
    <t>abrandon@uh.edu</t>
  </si>
  <si>
    <t>Rankenburg, Kai/ISU-5913-2023</t>
  </si>
  <si>
    <t>Rankenburg, Kai/0000-0003-3708-9304; McLeod, Claire/0000-0001-8212-2287; Brandon, Alan/0000-0003-2549-7730; Copeland, Peter/0000-0001-6869-5142</t>
  </si>
  <si>
    <t>NASA Emerging Worlds Program [NNX16AI28G, 80NSSC21K0275]; DFG [RA1797-1]; DFG CRC-TRR 170 [263649064]</t>
  </si>
  <si>
    <t>NASA Emerging Worlds Program; DFG(German Research Foundation (DFG)); DFG CRC-TRR 170(German Research Foundation (DFG))</t>
  </si>
  <si>
    <t>We thank the NASA Emerging Worlds Program for funding via award #NNX16AI28G and #80NSSC21K0275, and DFG for funding via award RA1797-1. A visit of A.B. at Freie Universitat Berlin was funded by DFG CRC-TRR 170 (Project-ID 263649064). We thank M. Feth and K. Hammerschmidt for assistance and discussions. We thank the Smithsonian Institution in Washington, DC, USA, and the Antarctic Meteorite Collection at the NASA Johnson Space Center in Houston, TX, USA, for samples. This is TRR 170 publication no. 168.</t>
  </si>
  <si>
    <t>10.1038/s41586-022-05265-0</t>
  </si>
  <si>
    <t>6G6CX</t>
  </si>
  <si>
    <t>WOS:000864574900001</t>
  </si>
  <si>
    <t>Yuan, M; Li, FR; Ma, XH; Yang, PR</t>
  </si>
  <si>
    <t>Yuan, Man; Li, Furong; Ma, Xiaohui; Yang, Peiran</t>
  </si>
  <si>
    <t>Spatio-temporal variability of surface turbulent heat flux feedback for mesoscale sea surface temperature anomaly in the global ocean</t>
  </si>
  <si>
    <t>surface turbulent heat flux feedback; mesoscale; spatio-temporal variability; geographically and temporally weighted regression; marine atmospheric boundary layer adjustment</t>
  </si>
  <si>
    <t>WEIGHTED REGRESSION; CLIMATE MODELS; EDDIES; DEPENDENCE; ATLANTIC; PACIFIC; WINDS</t>
  </si>
  <si>
    <t>The surface turbulent heat flux feedback alpha(T) plays an important role in the atmosphere-ocean coupling. However, spatio-temporal variability of alpha(T) for sea surface temperature anomaly (SSTA) at oceanic mesoscales in the global ocean remains poorly assessed. In this study, we tackle this issue using an advanced statistical model, i.e., the geographically and temporally weighted regression model. The estimated time-mean alpha(T) for mesoscale SSTA generally ranges from 10 to 50 W/(m(2) K) within 70 degrees S-70 degrees N, except in the Antarctic coastal region where its value drops to zero. The alpha(T) is larger in the tropics than in off-tropical regions and locally enhanced in the equatorial cold tongues, western boundary currents, and their extensions. The spatial structure alpha(T) is primarily attributed to the non-linearity in the Clausius-Clapeyron relation and inhomogeneity in the background wind speed, whereas adjustment of surface wind speed, air temperature, or moisture to mesoscale SSTA plays an important role in the regional variability. There is an evident seasonal cycle of alpha(T) in the tropics and under the northern hemisphere's storm tracks. The former is due to the seasonally varying response of surface wind speed to mesoscale SSTA, and the latter results from the seasonality of atmospheric and oceanic background states. Our analysis reveals prominent spatio-temporal variability of alpha(T) for mesoscale SSTA governed by complicated dynamics.</t>
  </si>
  <si>
    <t>[Yuan, Man] Ocean Univ China, Coll Ocean &amp; Atmospher Sci, Qingdao, Peoples R China; [Li, Furong] Ocean Univ China, Sch Math Sci, Qingdao, Peoples R China; [Ma, Xiaohui] Ocean Univ China, Frontiers Sci Ctr Deep Ocean Multispheres &amp; Earth, Qingdao, Peoples R China; [Ma, Xiaohui] Ocean Univ China, Key Lab Phys Oceanog, Qingdao, Peoples R China; [Ma, Xiaohui; Yang, Peiran] Pilot Natl Lab Marine Sci &amp; Technol, Qingdao, Peoples R China</t>
  </si>
  <si>
    <t>Ocean University of China; Ocean University of China; Ocean University of China; Ocean University of China; Laoshan Laboratory</t>
  </si>
  <si>
    <t>Li, FR (corresponding author), Ocean Univ China, Sch Math Sci, Qingdao, Peoples R China.</t>
  </si>
  <si>
    <t>lifurong@ouc.edu.cn</t>
  </si>
  <si>
    <t>Ma, Xiaodong/JAN-7473-2023; MA, XIAO/HHN-5611-2022; yuan, man/KBC-5902-2024</t>
  </si>
  <si>
    <t>National Science Foundation of China; [41906011]</t>
  </si>
  <si>
    <t>National Science Foundation of China(National Natural Science Foundation of China (NSFC));</t>
  </si>
  <si>
    <t>Funding This research is supported by the National Science Foundation of China (41906011).</t>
  </si>
  <si>
    <t>OCT 5</t>
  </si>
  <si>
    <t>10.3389/fmars.2022.957796</t>
  </si>
  <si>
    <t>5M8BN</t>
  </si>
  <si>
    <t>WOS:000871320900001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</si>
</sst>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45</v>
      </c>
      <c r="AH2">
        <v>1</v>
      </c>
      <c r="AI2">
        <v>1</v>
      </c>
      <c r="AJ2">
        <v>0</v>
      </c>
      <c r="AK2">
        <v>4</v>
      </c>
      <c r="AL2" t="s">
        <v>92</v>
      </c>
      <c r="AM2" t="s">
        <v>93</v>
      </c>
      <c r="AN2" t="s">
        <v>94</v>
      </c>
      <c r="AO2" t="s">
        <v>95</v>
      </c>
      <c r="AP2" t="s">
        <v>96</v>
      </c>
      <c r="AQ2" t="s">
        <v>74</v>
      </c>
      <c r="AR2" t="s">
        <v>97</v>
      </c>
      <c r="AS2" t="s">
        <v>98</v>
      </c>
      <c r="AT2" t="s">
        <v>99</v>
      </c>
      <c r="AU2">
        <v>2023</v>
      </c>
      <c r="AV2">
        <v>35</v>
      </c>
      <c r="AW2">
        <v>1</v>
      </c>
      <c r="AX2" t="s">
        <v>74</v>
      </c>
      <c r="AY2" t="s">
        <v>74</v>
      </c>
      <c r="AZ2" t="s">
        <v>74</v>
      </c>
      <c r="BA2" t="s">
        <v>74</v>
      </c>
      <c r="BB2">
        <v>31</v>
      </c>
      <c r="BC2">
        <v>42</v>
      </c>
      <c r="BD2" t="s">
        <v>100</v>
      </c>
      <c r="BE2" t="s">
        <v>101</v>
      </c>
      <c r="BF2" t="str">
        <f>HYPERLINK("http://dx.doi.org/10.1017/S0954102022000438","http://dx.doi.org/10.1017/S0954102022000438")</f>
        <v>http://dx.doi.org/10.1017/S0954102022000438</v>
      </c>
      <c r="BG2" t="s">
        <v>74</v>
      </c>
      <c r="BH2" t="s">
        <v>102</v>
      </c>
      <c r="BI2">
        <v>12</v>
      </c>
      <c r="BJ2" t="s">
        <v>103</v>
      </c>
      <c r="BK2" t="s">
        <v>104</v>
      </c>
      <c r="BL2" t="s">
        <v>105</v>
      </c>
      <c r="BM2" t="s">
        <v>106</v>
      </c>
      <c r="BN2" t="s">
        <v>74</v>
      </c>
      <c r="BO2" t="s">
        <v>107</v>
      </c>
      <c r="BP2" t="s">
        <v>74</v>
      </c>
      <c r="BQ2" t="s">
        <v>74</v>
      </c>
      <c r="BR2" t="s">
        <v>108</v>
      </c>
      <c r="BS2" t="s">
        <v>109</v>
      </c>
      <c r="BT2" t="str">
        <f>HYPERLINK("https%3A%2F%2Fwww.webofscience.com%2Fwos%2Fwoscc%2Ffull-record%2FWOS:000908324800001","View Full Record in Web of Science")</f>
        <v>View Full Record in Web of Science</v>
      </c>
    </row>
    <row r="3" spans="1:72" x14ac:dyDescent="0.15">
      <c r="A3" t="s">
        <v>72</v>
      </c>
      <c r="B3" t="s">
        <v>110</v>
      </c>
      <c r="C3" t="s">
        <v>74</v>
      </c>
      <c r="D3" t="s">
        <v>74</v>
      </c>
      <c r="E3" t="s">
        <v>74</v>
      </c>
      <c r="F3" t="s">
        <v>111</v>
      </c>
      <c r="G3" t="s">
        <v>74</v>
      </c>
      <c r="H3" t="s">
        <v>112</v>
      </c>
      <c r="I3" t="s">
        <v>113</v>
      </c>
      <c r="J3" t="s">
        <v>114</v>
      </c>
      <c r="K3" t="s">
        <v>74</v>
      </c>
      <c r="L3" t="s">
        <v>74</v>
      </c>
      <c r="M3" t="s">
        <v>78</v>
      </c>
      <c r="N3" t="s">
        <v>79</v>
      </c>
      <c r="O3" t="s">
        <v>74</v>
      </c>
      <c r="P3" t="s">
        <v>74</v>
      </c>
      <c r="Q3" t="s">
        <v>74</v>
      </c>
      <c r="R3" t="s">
        <v>74</v>
      </c>
      <c r="S3" t="s">
        <v>74</v>
      </c>
      <c r="T3" t="s">
        <v>74</v>
      </c>
      <c r="U3" t="s">
        <v>115</v>
      </c>
      <c r="V3" t="s">
        <v>116</v>
      </c>
      <c r="W3" t="s">
        <v>117</v>
      </c>
      <c r="X3" t="s">
        <v>118</v>
      </c>
      <c r="Y3" t="s">
        <v>119</v>
      </c>
      <c r="Z3" t="s">
        <v>120</v>
      </c>
      <c r="AA3" t="s">
        <v>121</v>
      </c>
      <c r="AB3" t="s">
        <v>122</v>
      </c>
      <c r="AC3" t="s">
        <v>123</v>
      </c>
      <c r="AD3" t="s">
        <v>124</v>
      </c>
      <c r="AE3" t="s">
        <v>125</v>
      </c>
      <c r="AF3" t="s">
        <v>74</v>
      </c>
      <c r="AG3">
        <v>98</v>
      </c>
      <c r="AH3">
        <v>0</v>
      </c>
      <c r="AI3">
        <v>1</v>
      </c>
      <c r="AJ3">
        <v>2</v>
      </c>
      <c r="AK3">
        <v>6</v>
      </c>
      <c r="AL3" t="s">
        <v>126</v>
      </c>
      <c r="AM3" t="s">
        <v>127</v>
      </c>
      <c r="AN3" t="s">
        <v>128</v>
      </c>
      <c r="AO3" t="s">
        <v>129</v>
      </c>
      <c r="AP3" t="s">
        <v>130</v>
      </c>
      <c r="AQ3" t="s">
        <v>74</v>
      </c>
      <c r="AR3" t="s">
        <v>131</v>
      </c>
      <c r="AS3" t="s">
        <v>132</v>
      </c>
      <c r="AT3" t="s">
        <v>133</v>
      </c>
      <c r="AU3">
        <v>2023</v>
      </c>
      <c r="AV3">
        <v>19</v>
      </c>
      <c r="AW3">
        <v>1</v>
      </c>
      <c r="AX3" t="s">
        <v>74</v>
      </c>
      <c r="AY3" t="s">
        <v>74</v>
      </c>
      <c r="AZ3" t="s">
        <v>74</v>
      </c>
      <c r="BA3" t="s">
        <v>74</v>
      </c>
      <c r="BB3">
        <v>35</v>
      </c>
      <c r="BC3">
        <v>59</v>
      </c>
      <c r="BD3" t="s">
        <v>74</v>
      </c>
      <c r="BE3" t="s">
        <v>134</v>
      </c>
      <c r="BF3" t="str">
        <f>HYPERLINK("http://dx.doi.org/10.5194/cp-19-35-2023","http://dx.doi.org/10.5194/cp-19-35-2023")</f>
        <v>http://dx.doi.org/10.5194/cp-19-35-2023</v>
      </c>
      <c r="BG3" t="s">
        <v>74</v>
      </c>
      <c r="BH3" t="s">
        <v>74</v>
      </c>
      <c r="BI3">
        <v>25</v>
      </c>
      <c r="BJ3" t="s">
        <v>135</v>
      </c>
      <c r="BK3" t="s">
        <v>104</v>
      </c>
      <c r="BL3" t="s">
        <v>136</v>
      </c>
      <c r="BM3" t="s">
        <v>137</v>
      </c>
      <c r="BN3" t="s">
        <v>74</v>
      </c>
      <c r="BO3" t="s">
        <v>138</v>
      </c>
      <c r="BP3" t="s">
        <v>74</v>
      </c>
      <c r="BQ3" t="s">
        <v>74</v>
      </c>
      <c r="BR3" t="s">
        <v>108</v>
      </c>
      <c r="BS3" t="s">
        <v>139</v>
      </c>
      <c r="BT3" t="str">
        <f>HYPERLINK("https%3A%2F%2Fwww.webofscience.com%2Fwos%2Fwoscc%2Ffull-record%2FWOS:000909503000001","View Full Record in Web of Science")</f>
        <v>View Full Record in Web of Science</v>
      </c>
    </row>
    <row r="4" spans="1:72" x14ac:dyDescent="0.15">
      <c r="A4" t="s">
        <v>72</v>
      </c>
      <c r="B4" t="s">
        <v>140</v>
      </c>
      <c r="C4" t="s">
        <v>74</v>
      </c>
      <c r="D4" t="s">
        <v>74</v>
      </c>
      <c r="E4" t="s">
        <v>74</v>
      </c>
      <c r="F4" t="s">
        <v>141</v>
      </c>
      <c r="G4" t="s">
        <v>74</v>
      </c>
      <c r="H4" t="s">
        <v>74</v>
      </c>
      <c r="I4" t="s">
        <v>142</v>
      </c>
      <c r="J4" t="s">
        <v>143</v>
      </c>
      <c r="K4" t="s">
        <v>74</v>
      </c>
      <c r="L4" t="s">
        <v>74</v>
      </c>
      <c r="M4" t="s">
        <v>78</v>
      </c>
      <c r="N4" t="s">
        <v>79</v>
      </c>
      <c r="O4" t="s">
        <v>74</v>
      </c>
      <c r="P4" t="s">
        <v>74</v>
      </c>
      <c r="Q4" t="s">
        <v>74</v>
      </c>
      <c r="R4" t="s">
        <v>74</v>
      </c>
      <c r="S4" t="s">
        <v>74</v>
      </c>
      <c r="T4" t="s">
        <v>144</v>
      </c>
      <c r="U4" t="s">
        <v>145</v>
      </c>
      <c r="V4" t="s">
        <v>146</v>
      </c>
      <c r="W4" t="s">
        <v>147</v>
      </c>
      <c r="X4" t="s">
        <v>148</v>
      </c>
      <c r="Y4" t="s">
        <v>149</v>
      </c>
      <c r="Z4" t="s">
        <v>150</v>
      </c>
      <c r="AA4" t="s">
        <v>74</v>
      </c>
      <c r="AB4" t="s">
        <v>74</v>
      </c>
      <c r="AC4" t="s">
        <v>151</v>
      </c>
      <c r="AD4" t="s">
        <v>152</v>
      </c>
      <c r="AE4" t="s">
        <v>153</v>
      </c>
      <c r="AF4" t="s">
        <v>74</v>
      </c>
      <c r="AG4">
        <v>34</v>
      </c>
      <c r="AH4">
        <v>0</v>
      </c>
      <c r="AI4">
        <v>0</v>
      </c>
      <c r="AJ4">
        <v>1</v>
      </c>
      <c r="AK4">
        <v>1</v>
      </c>
      <c r="AL4" t="s">
        <v>154</v>
      </c>
      <c r="AM4" t="s">
        <v>155</v>
      </c>
      <c r="AN4" t="s">
        <v>156</v>
      </c>
      <c r="AO4" t="s">
        <v>157</v>
      </c>
      <c r="AP4" t="s">
        <v>74</v>
      </c>
      <c r="AQ4" t="s">
        <v>74</v>
      </c>
      <c r="AR4" t="s">
        <v>158</v>
      </c>
      <c r="AS4" t="s">
        <v>159</v>
      </c>
      <c r="AT4" t="s">
        <v>160</v>
      </c>
      <c r="AU4">
        <v>2023</v>
      </c>
      <c r="AV4">
        <v>72</v>
      </c>
      <c r="AW4">
        <v>1</v>
      </c>
      <c r="AX4" t="s">
        <v>74</v>
      </c>
      <c r="AY4" t="s">
        <v>74</v>
      </c>
      <c r="AZ4" t="s">
        <v>74</v>
      </c>
      <c r="BA4" t="s">
        <v>74</v>
      </c>
      <c r="BB4" t="s">
        <v>74</v>
      </c>
      <c r="BC4" t="s">
        <v>74</v>
      </c>
      <c r="BD4">
        <v>14209</v>
      </c>
      <c r="BE4" t="s">
        <v>161</v>
      </c>
      <c r="BF4" t="str">
        <f>HYPERLINK("http://dx.doi.org/10.7498/aps.72.20221290","http://dx.doi.org/10.7498/aps.72.20221290")</f>
        <v>http://dx.doi.org/10.7498/aps.72.20221290</v>
      </c>
      <c r="BG4" t="s">
        <v>74</v>
      </c>
      <c r="BH4" t="s">
        <v>74</v>
      </c>
      <c r="BI4">
        <v>13</v>
      </c>
      <c r="BJ4" t="s">
        <v>162</v>
      </c>
      <c r="BK4" t="s">
        <v>104</v>
      </c>
      <c r="BL4" t="s">
        <v>163</v>
      </c>
      <c r="BM4" t="s">
        <v>164</v>
      </c>
      <c r="BN4" t="s">
        <v>74</v>
      </c>
      <c r="BO4" t="s">
        <v>165</v>
      </c>
      <c r="BP4" t="s">
        <v>74</v>
      </c>
      <c r="BQ4" t="s">
        <v>74</v>
      </c>
      <c r="BR4" t="s">
        <v>108</v>
      </c>
      <c r="BS4" t="s">
        <v>166</v>
      </c>
      <c r="BT4" t="str">
        <f>HYPERLINK("https%3A%2F%2Fwww.webofscience.com%2Fwos%2Fwoscc%2Ffull-record%2FWOS:001002363600005","View Full Record in Web of Science")</f>
        <v>View Full Record in Web of Science</v>
      </c>
    </row>
    <row r="5" spans="1:72" x14ac:dyDescent="0.15">
      <c r="A5" t="s">
        <v>72</v>
      </c>
      <c r="B5" t="s">
        <v>167</v>
      </c>
      <c r="C5" t="s">
        <v>74</v>
      </c>
      <c r="D5" t="s">
        <v>74</v>
      </c>
      <c r="E5" t="s">
        <v>74</v>
      </c>
      <c r="F5" t="s">
        <v>168</v>
      </c>
      <c r="G5" t="s">
        <v>74</v>
      </c>
      <c r="H5" t="s">
        <v>74</v>
      </c>
      <c r="I5" t="s">
        <v>169</v>
      </c>
      <c r="J5" t="s">
        <v>170</v>
      </c>
      <c r="K5" t="s">
        <v>74</v>
      </c>
      <c r="L5" t="s">
        <v>74</v>
      </c>
      <c r="M5" t="s">
        <v>78</v>
      </c>
      <c r="N5" t="s">
        <v>79</v>
      </c>
      <c r="O5" t="s">
        <v>74</v>
      </c>
      <c r="P5" t="s">
        <v>74</v>
      </c>
      <c r="Q5" t="s">
        <v>74</v>
      </c>
      <c r="R5" t="s">
        <v>74</v>
      </c>
      <c r="S5" t="s">
        <v>74</v>
      </c>
      <c r="T5" t="s">
        <v>74</v>
      </c>
      <c r="U5" t="s">
        <v>171</v>
      </c>
      <c r="V5" t="s">
        <v>172</v>
      </c>
      <c r="W5" t="s">
        <v>173</v>
      </c>
      <c r="X5" t="s">
        <v>174</v>
      </c>
      <c r="Y5" t="s">
        <v>175</v>
      </c>
      <c r="Z5" t="s">
        <v>176</v>
      </c>
      <c r="AA5" t="s">
        <v>177</v>
      </c>
      <c r="AB5" t="s">
        <v>178</v>
      </c>
      <c r="AC5" t="s">
        <v>179</v>
      </c>
      <c r="AD5" t="s">
        <v>180</v>
      </c>
      <c r="AE5" t="s">
        <v>181</v>
      </c>
      <c r="AF5" t="s">
        <v>74</v>
      </c>
      <c r="AG5">
        <v>71</v>
      </c>
      <c r="AH5">
        <v>3</v>
      </c>
      <c r="AI5">
        <v>3</v>
      </c>
      <c r="AJ5">
        <v>5</v>
      </c>
      <c r="AK5">
        <v>7</v>
      </c>
      <c r="AL5" t="s">
        <v>182</v>
      </c>
      <c r="AM5" t="s">
        <v>183</v>
      </c>
      <c r="AN5" t="s">
        <v>184</v>
      </c>
      <c r="AO5" t="s">
        <v>185</v>
      </c>
      <c r="AP5" t="s">
        <v>74</v>
      </c>
      <c r="AQ5" t="s">
        <v>74</v>
      </c>
      <c r="AR5" t="s">
        <v>186</v>
      </c>
      <c r="AS5" t="s">
        <v>187</v>
      </c>
      <c r="AT5" t="s">
        <v>160</v>
      </c>
      <c r="AU5">
        <v>2023</v>
      </c>
      <c r="AV5">
        <v>13</v>
      </c>
      <c r="AW5">
        <v>1</v>
      </c>
      <c r="AX5" t="s">
        <v>74</v>
      </c>
      <c r="AY5" t="s">
        <v>74</v>
      </c>
      <c r="AZ5" t="s">
        <v>74</v>
      </c>
      <c r="BA5" t="s">
        <v>74</v>
      </c>
      <c r="BB5" t="s">
        <v>74</v>
      </c>
      <c r="BC5" t="s">
        <v>74</v>
      </c>
      <c r="BD5">
        <v>177</v>
      </c>
      <c r="BE5" t="s">
        <v>188</v>
      </c>
      <c r="BF5" t="str">
        <f>HYPERLINK("http://dx.doi.org/10.1038/s41598-022-27219-2","http://dx.doi.org/10.1038/s41598-022-27219-2")</f>
        <v>http://dx.doi.org/10.1038/s41598-022-27219-2</v>
      </c>
      <c r="BG5" t="s">
        <v>74</v>
      </c>
      <c r="BH5" t="s">
        <v>74</v>
      </c>
      <c r="BI5">
        <v>9</v>
      </c>
      <c r="BJ5" t="s">
        <v>189</v>
      </c>
      <c r="BK5" t="s">
        <v>104</v>
      </c>
      <c r="BL5" t="s">
        <v>190</v>
      </c>
      <c r="BM5" t="s">
        <v>191</v>
      </c>
      <c r="BN5">
        <v>36604573</v>
      </c>
      <c r="BO5" t="s">
        <v>192</v>
      </c>
      <c r="BP5" t="s">
        <v>74</v>
      </c>
      <c r="BQ5" t="s">
        <v>74</v>
      </c>
      <c r="BR5" t="s">
        <v>108</v>
      </c>
      <c r="BS5" t="s">
        <v>193</v>
      </c>
      <c r="BT5" t="str">
        <f>HYPERLINK("https%3A%2F%2Fwww.webofscience.com%2Fwos%2Fwoscc%2Ffull-record%2FWOS:000932732000045","View Full Record in Web of Science")</f>
        <v>View Full Record in Web of Science</v>
      </c>
    </row>
    <row r="6" spans="1:72" x14ac:dyDescent="0.15">
      <c r="A6" t="s">
        <v>72</v>
      </c>
      <c r="B6" t="s">
        <v>194</v>
      </c>
      <c r="C6" t="s">
        <v>74</v>
      </c>
      <c r="D6" t="s">
        <v>74</v>
      </c>
      <c r="E6" t="s">
        <v>74</v>
      </c>
      <c r="F6" t="s">
        <v>195</v>
      </c>
      <c r="G6" t="s">
        <v>74</v>
      </c>
      <c r="H6" t="s">
        <v>74</v>
      </c>
      <c r="I6" t="s">
        <v>196</v>
      </c>
      <c r="J6" t="s">
        <v>197</v>
      </c>
      <c r="K6" t="s">
        <v>74</v>
      </c>
      <c r="L6" t="s">
        <v>74</v>
      </c>
      <c r="M6" t="s">
        <v>78</v>
      </c>
      <c r="N6" t="s">
        <v>79</v>
      </c>
      <c r="O6" t="s">
        <v>74</v>
      </c>
      <c r="P6" t="s">
        <v>74</v>
      </c>
      <c r="Q6" t="s">
        <v>74</v>
      </c>
      <c r="R6" t="s">
        <v>74</v>
      </c>
      <c r="S6" t="s">
        <v>74</v>
      </c>
      <c r="T6" t="s">
        <v>74</v>
      </c>
      <c r="U6" t="s">
        <v>198</v>
      </c>
      <c r="V6" t="s">
        <v>199</v>
      </c>
      <c r="W6" t="s">
        <v>200</v>
      </c>
      <c r="X6" t="s">
        <v>201</v>
      </c>
      <c r="Y6" t="s">
        <v>202</v>
      </c>
      <c r="Z6" t="s">
        <v>203</v>
      </c>
      <c r="AA6" t="s">
        <v>74</v>
      </c>
      <c r="AB6" t="s">
        <v>74</v>
      </c>
      <c r="AC6" t="s">
        <v>204</v>
      </c>
      <c r="AD6" t="s">
        <v>205</v>
      </c>
      <c r="AE6" t="s">
        <v>206</v>
      </c>
      <c r="AF6" t="s">
        <v>74</v>
      </c>
      <c r="AG6">
        <v>42</v>
      </c>
      <c r="AH6">
        <v>1</v>
      </c>
      <c r="AI6">
        <v>1</v>
      </c>
      <c r="AJ6">
        <v>2</v>
      </c>
      <c r="AK6">
        <v>5</v>
      </c>
      <c r="AL6" t="s">
        <v>207</v>
      </c>
      <c r="AM6" t="s">
        <v>208</v>
      </c>
      <c r="AN6" t="s">
        <v>209</v>
      </c>
      <c r="AO6" t="s">
        <v>210</v>
      </c>
      <c r="AP6" t="s">
        <v>211</v>
      </c>
      <c r="AQ6" t="s">
        <v>74</v>
      </c>
      <c r="AR6" t="s">
        <v>212</v>
      </c>
      <c r="AS6" t="s">
        <v>213</v>
      </c>
      <c r="AT6" t="s">
        <v>214</v>
      </c>
      <c r="AU6">
        <v>2023</v>
      </c>
      <c r="AV6">
        <v>258</v>
      </c>
      <c r="AW6" t="s">
        <v>74</v>
      </c>
      <c r="AX6" t="s">
        <v>74</v>
      </c>
      <c r="AY6" t="s">
        <v>74</v>
      </c>
      <c r="AZ6" t="s">
        <v>74</v>
      </c>
      <c r="BA6" t="s">
        <v>74</v>
      </c>
      <c r="BB6" t="s">
        <v>74</v>
      </c>
      <c r="BC6" t="s">
        <v>74</v>
      </c>
      <c r="BD6">
        <v>107106</v>
      </c>
      <c r="BE6" t="s">
        <v>215</v>
      </c>
      <c r="BF6" t="str">
        <f>HYPERLINK("http://dx.doi.org/10.1016/j.jenvrad.2022.107106","http://dx.doi.org/10.1016/j.jenvrad.2022.107106")</f>
        <v>http://dx.doi.org/10.1016/j.jenvrad.2022.107106</v>
      </c>
      <c r="BG6" t="s">
        <v>74</v>
      </c>
      <c r="BH6" t="s">
        <v>102</v>
      </c>
      <c r="BI6">
        <v>7</v>
      </c>
      <c r="BJ6" t="s">
        <v>216</v>
      </c>
      <c r="BK6" t="s">
        <v>104</v>
      </c>
      <c r="BL6" t="s">
        <v>217</v>
      </c>
      <c r="BM6" t="s">
        <v>218</v>
      </c>
      <c r="BN6">
        <v>36608416</v>
      </c>
      <c r="BO6" t="s">
        <v>219</v>
      </c>
      <c r="BP6" t="s">
        <v>74</v>
      </c>
      <c r="BQ6" t="s">
        <v>74</v>
      </c>
      <c r="BR6" t="s">
        <v>108</v>
      </c>
      <c r="BS6" t="s">
        <v>220</v>
      </c>
      <c r="BT6" t="str">
        <f>HYPERLINK("https%3A%2F%2Fwww.webofscience.com%2Fwos%2Fwoscc%2Ffull-record%2FWOS:000938702200001","View Full Record in Web of Science")</f>
        <v>View Full Record in Web of Science</v>
      </c>
    </row>
    <row r="7" spans="1:72" x14ac:dyDescent="0.15">
      <c r="A7" t="s">
        <v>72</v>
      </c>
      <c r="B7" t="s">
        <v>221</v>
      </c>
      <c r="C7" t="s">
        <v>74</v>
      </c>
      <c r="D7" t="s">
        <v>74</v>
      </c>
      <c r="E7" t="s">
        <v>74</v>
      </c>
      <c r="F7" t="s">
        <v>222</v>
      </c>
      <c r="G7" t="s">
        <v>74</v>
      </c>
      <c r="H7" t="s">
        <v>74</v>
      </c>
      <c r="I7" t="s">
        <v>223</v>
      </c>
      <c r="J7" t="s">
        <v>224</v>
      </c>
      <c r="K7" t="s">
        <v>74</v>
      </c>
      <c r="L7" t="s">
        <v>74</v>
      </c>
      <c r="M7" t="s">
        <v>78</v>
      </c>
      <c r="N7" t="s">
        <v>79</v>
      </c>
      <c r="O7" t="s">
        <v>74</v>
      </c>
      <c r="P7" t="s">
        <v>74</v>
      </c>
      <c r="Q7" t="s">
        <v>74</v>
      </c>
      <c r="R7" t="s">
        <v>74</v>
      </c>
      <c r="S7" t="s">
        <v>74</v>
      </c>
      <c r="T7" t="s">
        <v>225</v>
      </c>
      <c r="U7" t="s">
        <v>226</v>
      </c>
      <c r="V7" t="s">
        <v>227</v>
      </c>
      <c r="W7" t="s">
        <v>228</v>
      </c>
      <c r="X7" t="s">
        <v>229</v>
      </c>
      <c r="Y7" t="s">
        <v>230</v>
      </c>
      <c r="Z7" t="s">
        <v>231</v>
      </c>
      <c r="AA7" t="s">
        <v>232</v>
      </c>
      <c r="AB7" t="s">
        <v>233</v>
      </c>
      <c r="AC7" t="s">
        <v>234</v>
      </c>
      <c r="AD7" t="s">
        <v>235</v>
      </c>
      <c r="AE7" t="s">
        <v>236</v>
      </c>
      <c r="AF7" t="s">
        <v>74</v>
      </c>
      <c r="AG7">
        <v>85</v>
      </c>
      <c r="AH7">
        <v>10</v>
      </c>
      <c r="AI7">
        <v>10</v>
      </c>
      <c r="AJ7">
        <v>3</v>
      </c>
      <c r="AK7">
        <v>19</v>
      </c>
      <c r="AL7" t="s">
        <v>237</v>
      </c>
      <c r="AM7" t="s">
        <v>238</v>
      </c>
      <c r="AN7" t="s">
        <v>239</v>
      </c>
      <c r="AO7" t="s">
        <v>240</v>
      </c>
      <c r="AP7" t="s">
        <v>241</v>
      </c>
      <c r="AQ7" t="s">
        <v>74</v>
      </c>
      <c r="AR7" t="s">
        <v>242</v>
      </c>
      <c r="AS7" t="s">
        <v>243</v>
      </c>
      <c r="AT7" t="s">
        <v>244</v>
      </c>
      <c r="AU7">
        <v>2023</v>
      </c>
      <c r="AV7">
        <v>260</v>
      </c>
      <c r="AW7" t="s">
        <v>74</v>
      </c>
      <c r="AX7" t="s">
        <v>74</v>
      </c>
      <c r="AY7" t="s">
        <v>74</v>
      </c>
      <c r="AZ7" t="s">
        <v>74</v>
      </c>
      <c r="BA7" t="s">
        <v>74</v>
      </c>
      <c r="BB7" t="s">
        <v>74</v>
      </c>
      <c r="BC7" t="s">
        <v>74</v>
      </c>
      <c r="BD7">
        <v>106594</v>
      </c>
      <c r="BE7" t="s">
        <v>245</v>
      </c>
      <c r="BF7" t="str">
        <f>HYPERLINK("http://dx.doi.org/10.1016/j.fishres.2022.106594","http://dx.doi.org/10.1016/j.fishres.2022.106594")</f>
        <v>http://dx.doi.org/10.1016/j.fishres.2022.106594</v>
      </c>
      <c r="BG7" t="s">
        <v>74</v>
      </c>
      <c r="BH7" t="s">
        <v>102</v>
      </c>
      <c r="BI7">
        <v>14</v>
      </c>
      <c r="BJ7" t="s">
        <v>246</v>
      </c>
      <c r="BK7" t="s">
        <v>104</v>
      </c>
      <c r="BL7" t="s">
        <v>246</v>
      </c>
      <c r="BM7" t="s">
        <v>247</v>
      </c>
      <c r="BN7" t="s">
        <v>74</v>
      </c>
      <c r="BO7" t="s">
        <v>248</v>
      </c>
      <c r="BP7" t="s">
        <v>249</v>
      </c>
      <c r="BQ7" t="s">
        <v>250</v>
      </c>
      <c r="BR7" t="s">
        <v>108</v>
      </c>
      <c r="BS7" t="s">
        <v>251</v>
      </c>
      <c r="BT7" t="str">
        <f>HYPERLINK("https%3A%2F%2Fwww.webofscience.com%2Fwos%2Fwoscc%2Ffull-record%2FWOS:000924921300001","View Full Record in Web of Science")</f>
        <v>View Full Record in Web of Science</v>
      </c>
    </row>
    <row r="8" spans="1:72" x14ac:dyDescent="0.15">
      <c r="A8" t="s">
        <v>72</v>
      </c>
      <c r="B8" t="s">
        <v>252</v>
      </c>
      <c r="C8" t="s">
        <v>74</v>
      </c>
      <c r="D8" t="s">
        <v>74</v>
      </c>
      <c r="E8" t="s">
        <v>74</v>
      </c>
      <c r="F8" t="s">
        <v>253</v>
      </c>
      <c r="G8" t="s">
        <v>74</v>
      </c>
      <c r="H8" t="s">
        <v>74</v>
      </c>
      <c r="I8" t="s">
        <v>254</v>
      </c>
      <c r="J8" t="s">
        <v>255</v>
      </c>
      <c r="K8" t="s">
        <v>74</v>
      </c>
      <c r="L8" t="s">
        <v>74</v>
      </c>
      <c r="M8" t="s">
        <v>78</v>
      </c>
      <c r="N8" t="s">
        <v>256</v>
      </c>
      <c r="O8" t="s">
        <v>74</v>
      </c>
      <c r="P8" t="s">
        <v>74</v>
      </c>
      <c r="Q8" t="s">
        <v>74</v>
      </c>
      <c r="R8" t="s">
        <v>74</v>
      </c>
      <c r="S8" t="s">
        <v>74</v>
      </c>
      <c r="T8" t="s">
        <v>257</v>
      </c>
      <c r="U8" t="s">
        <v>258</v>
      </c>
      <c r="V8" t="s">
        <v>259</v>
      </c>
      <c r="W8" t="s">
        <v>260</v>
      </c>
      <c r="X8" t="s">
        <v>261</v>
      </c>
      <c r="Y8" t="s">
        <v>262</v>
      </c>
      <c r="Z8" t="s">
        <v>263</v>
      </c>
      <c r="AA8" t="s">
        <v>264</v>
      </c>
      <c r="AB8" t="s">
        <v>265</v>
      </c>
      <c r="AC8" t="s">
        <v>266</v>
      </c>
      <c r="AD8" t="s">
        <v>267</v>
      </c>
      <c r="AE8" t="s">
        <v>268</v>
      </c>
      <c r="AF8" t="s">
        <v>74</v>
      </c>
      <c r="AG8">
        <v>29</v>
      </c>
      <c r="AH8">
        <v>0</v>
      </c>
      <c r="AI8">
        <v>0</v>
      </c>
      <c r="AJ8">
        <v>0</v>
      </c>
      <c r="AK8">
        <v>0</v>
      </c>
      <c r="AL8" t="s">
        <v>269</v>
      </c>
      <c r="AM8" t="s">
        <v>270</v>
      </c>
      <c r="AN8" t="s">
        <v>271</v>
      </c>
      <c r="AO8" t="s">
        <v>272</v>
      </c>
      <c r="AP8" t="s">
        <v>273</v>
      </c>
      <c r="AQ8" t="s">
        <v>74</v>
      </c>
      <c r="AR8" t="s">
        <v>274</v>
      </c>
      <c r="AS8" t="s">
        <v>275</v>
      </c>
      <c r="AT8" t="s">
        <v>276</v>
      </c>
      <c r="AU8">
        <v>2023</v>
      </c>
      <c r="AV8">
        <v>28</v>
      </c>
      <c r="AW8">
        <v>1</v>
      </c>
      <c r="AX8" t="s">
        <v>74</v>
      </c>
      <c r="AY8" t="s">
        <v>74</v>
      </c>
      <c r="AZ8" t="s">
        <v>74</v>
      </c>
      <c r="BA8" t="s">
        <v>74</v>
      </c>
      <c r="BB8">
        <v>1</v>
      </c>
      <c r="BC8">
        <v>9</v>
      </c>
      <c r="BD8" t="s">
        <v>74</v>
      </c>
      <c r="BE8" t="s">
        <v>277</v>
      </c>
      <c r="BF8" t="str">
        <f>HYPERLINK("http://dx.doi.org/10.1007/s12192-022-01318-5","http://dx.doi.org/10.1007/s12192-022-01318-5")</f>
        <v>http://dx.doi.org/10.1007/s12192-022-01318-5</v>
      </c>
      <c r="BG8" t="s">
        <v>74</v>
      </c>
      <c r="BH8" t="s">
        <v>102</v>
      </c>
      <c r="BI8">
        <v>9</v>
      </c>
      <c r="BJ8" t="s">
        <v>278</v>
      </c>
      <c r="BK8" t="s">
        <v>104</v>
      </c>
      <c r="BL8" t="s">
        <v>278</v>
      </c>
      <c r="BM8" t="s">
        <v>279</v>
      </c>
      <c r="BN8">
        <v>36602710</v>
      </c>
      <c r="BO8" t="s">
        <v>248</v>
      </c>
      <c r="BP8" t="s">
        <v>74</v>
      </c>
      <c r="BQ8" t="s">
        <v>74</v>
      </c>
      <c r="BR8" t="s">
        <v>108</v>
      </c>
      <c r="BS8" t="s">
        <v>280</v>
      </c>
      <c r="BT8" t="str">
        <f>HYPERLINK("https%3A%2F%2Fwww.webofscience.com%2Fwos%2Fwoscc%2Ffull-record%2FWOS:000909525900001","View Full Record in Web of Science")</f>
        <v>View Full Record in Web of Science</v>
      </c>
    </row>
    <row r="9" spans="1:72" x14ac:dyDescent="0.15">
      <c r="A9" t="s">
        <v>72</v>
      </c>
      <c r="B9" t="s">
        <v>281</v>
      </c>
      <c r="C9" t="s">
        <v>74</v>
      </c>
      <c r="D9" t="s">
        <v>74</v>
      </c>
      <c r="E9" t="s">
        <v>74</v>
      </c>
      <c r="F9" t="s">
        <v>282</v>
      </c>
      <c r="G9" t="s">
        <v>74</v>
      </c>
      <c r="H9" t="s">
        <v>74</v>
      </c>
      <c r="I9" t="s">
        <v>283</v>
      </c>
      <c r="J9" t="s">
        <v>284</v>
      </c>
      <c r="K9" t="s">
        <v>74</v>
      </c>
      <c r="L9" t="s">
        <v>74</v>
      </c>
      <c r="M9" t="s">
        <v>78</v>
      </c>
      <c r="N9" t="s">
        <v>79</v>
      </c>
      <c r="O9" t="s">
        <v>74</v>
      </c>
      <c r="P9" t="s">
        <v>74</v>
      </c>
      <c r="Q9" t="s">
        <v>74</v>
      </c>
      <c r="R9" t="s">
        <v>74</v>
      </c>
      <c r="S9" t="s">
        <v>74</v>
      </c>
      <c r="T9" t="s">
        <v>285</v>
      </c>
      <c r="U9" t="s">
        <v>286</v>
      </c>
      <c r="V9" t="s">
        <v>287</v>
      </c>
      <c r="W9" t="s">
        <v>288</v>
      </c>
      <c r="X9" t="s">
        <v>289</v>
      </c>
      <c r="Y9" t="s">
        <v>290</v>
      </c>
      <c r="Z9" t="s">
        <v>291</v>
      </c>
      <c r="AA9" t="s">
        <v>292</v>
      </c>
      <c r="AB9" t="s">
        <v>293</v>
      </c>
      <c r="AC9" t="s">
        <v>294</v>
      </c>
      <c r="AD9" t="s">
        <v>295</v>
      </c>
      <c r="AE9" t="s">
        <v>296</v>
      </c>
      <c r="AF9" t="s">
        <v>74</v>
      </c>
      <c r="AG9">
        <v>79</v>
      </c>
      <c r="AH9">
        <v>3</v>
      </c>
      <c r="AI9">
        <v>3</v>
      </c>
      <c r="AJ9">
        <v>7</v>
      </c>
      <c r="AK9">
        <v>18</v>
      </c>
      <c r="AL9" t="s">
        <v>297</v>
      </c>
      <c r="AM9" t="s">
        <v>298</v>
      </c>
      <c r="AN9" t="s">
        <v>299</v>
      </c>
      <c r="AO9" t="s">
        <v>300</v>
      </c>
      <c r="AP9" t="s">
        <v>301</v>
      </c>
      <c r="AQ9" t="s">
        <v>74</v>
      </c>
      <c r="AR9" t="s">
        <v>302</v>
      </c>
      <c r="AS9" t="s">
        <v>303</v>
      </c>
      <c r="AT9" t="s">
        <v>214</v>
      </c>
      <c r="AU9">
        <v>2023</v>
      </c>
      <c r="AV9">
        <v>60</v>
      </c>
      <c r="AW9">
        <v>3</v>
      </c>
      <c r="AX9" t="s">
        <v>74</v>
      </c>
      <c r="AY9" t="s">
        <v>74</v>
      </c>
      <c r="AZ9" t="s">
        <v>74</v>
      </c>
      <c r="BA9" t="s">
        <v>74</v>
      </c>
      <c r="BB9">
        <v>480</v>
      </c>
      <c r="BC9">
        <v>493</v>
      </c>
      <c r="BD9" t="s">
        <v>74</v>
      </c>
      <c r="BE9" t="s">
        <v>304</v>
      </c>
      <c r="BF9" t="str">
        <f>HYPERLINK("http://dx.doi.org/10.1111/1365-2664.14347","http://dx.doi.org/10.1111/1365-2664.14347")</f>
        <v>http://dx.doi.org/10.1111/1365-2664.14347</v>
      </c>
      <c r="BG9" t="s">
        <v>74</v>
      </c>
      <c r="BH9" t="s">
        <v>102</v>
      </c>
      <c r="BI9">
        <v>14</v>
      </c>
      <c r="BJ9" t="s">
        <v>305</v>
      </c>
      <c r="BK9" t="s">
        <v>104</v>
      </c>
      <c r="BL9" t="s">
        <v>306</v>
      </c>
      <c r="BM9" t="s">
        <v>307</v>
      </c>
      <c r="BN9" t="s">
        <v>74</v>
      </c>
      <c r="BO9" t="s">
        <v>248</v>
      </c>
      <c r="BP9" t="s">
        <v>74</v>
      </c>
      <c r="BQ9" t="s">
        <v>74</v>
      </c>
      <c r="BR9" t="s">
        <v>108</v>
      </c>
      <c r="BS9" t="s">
        <v>308</v>
      </c>
      <c r="BT9" t="str">
        <f>HYPERLINK("https%3A%2F%2Fwww.webofscience.com%2Fwos%2Fwoscc%2Ffull-record%2FWOS:000908040600001","View Full Record in Web of Science")</f>
        <v>View Full Record in Web of Science</v>
      </c>
    </row>
    <row r="10" spans="1:72" x14ac:dyDescent="0.15">
      <c r="A10" t="s">
        <v>72</v>
      </c>
      <c r="B10" t="s">
        <v>309</v>
      </c>
      <c r="C10" t="s">
        <v>74</v>
      </c>
      <c r="D10" t="s">
        <v>74</v>
      </c>
      <c r="E10" t="s">
        <v>74</v>
      </c>
      <c r="F10" t="s">
        <v>310</v>
      </c>
      <c r="G10" t="s">
        <v>74</v>
      </c>
      <c r="H10" t="s">
        <v>74</v>
      </c>
      <c r="I10" t="s">
        <v>311</v>
      </c>
      <c r="J10" t="s">
        <v>312</v>
      </c>
      <c r="K10" t="s">
        <v>74</v>
      </c>
      <c r="L10" t="s">
        <v>74</v>
      </c>
      <c r="M10" t="s">
        <v>78</v>
      </c>
      <c r="N10" t="s">
        <v>79</v>
      </c>
      <c r="O10" t="s">
        <v>74</v>
      </c>
      <c r="P10" t="s">
        <v>74</v>
      </c>
      <c r="Q10" t="s">
        <v>74</v>
      </c>
      <c r="R10" t="s">
        <v>74</v>
      </c>
      <c r="S10" t="s">
        <v>74</v>
      </c>
      <c r="T10" t="s">
        <v>313</v>
      </c>
      <c r="U10" t="s">
        <v>314</v>
      </c>
      <c r="V10" t="s">
        <v>315</v>
      </c>
      <c r="W10" t="s">
        <v>316</v>
      </c>
      <c r="X10" t="s">
        <v>317</v>
      </c>
      <c r="Y10" t="s">
        <v>318</v>
      </c>
      <c r="Z10" t="s">
        <v>319</v>
      </c>
      <c r="AA10" t="s">
        <v>320</v>
      </c>
      <c r="AB10" t="s">
        <v>321</v>
      </c>
      <c r="AC10" t="s">
        <v>322</v>
      </c>
      <c r="AD10" t="s">
        <v>322</v>
      </c>
      <c r="AE10" t="s">
        <v>323</v>
      </c>
      <c r="AF10" t="s">
        <v>74</v>
      </c>
      <c r="AG10">
        <v>62</v>
      </c>
      <c r="AH10">
        <v>6</v>
      </c>
      <c r="AI10">
        <v>6</v>
      </c>
      <c r="AJ10">
        <v>6</v>
      </c>
      <c r="AK10">
        <v>13</v>
      </c>
      <c r="AL10" t="s">
        <v>297</v>
      </c>
      <c r="AM10" t="s">
        <v>298</v>
      </c>
      <c r="AN10" t="s">
        <v>299</v>
      </c>
      <c r="AO10" t="s">
        <v>324</v>
      </c>
      <c r="AP10" t="s">
        <v>325</v>
      </c>
      <c r="AQ10" t="s">
        <v>74</v>
      </c>
      <c r="AR10" t="s">
        <v>326</v>
      </c>
      <c r="AS10" t="s">
        <v>327</v>
      </c>
      <c r="AT10" t="s">
        <v>244</v>
      </c>
      <c r="AU10">
        <v>2023</v>
      </c>
      <c r="AV10">
        <v>46</v>
      </c>
      <c r="AW10">
        <v>4</v>
      </c>
      <c r="AX10" t="s">
        <v>74</v>
      </c>
      <c r="AY10" t="s">
        <v>74</v>
      </c>
      <c r="AZ10" t="s">
        <v>74</v>
      </c>
      <c r="BA10" t="s">
        <v>74</v>
      </c>
      <c r="BB10">
        <v>369</v>
      </c>
      <c r="BC10">
        <v>379</v>
      </c>
      <c r="BD10" t="s">
        <v>74</v>
      </c>
      <c r="BE10" t="s">
        <v>328</v>
      </c>
      <c r="BF10" t="str">
        <f>HYPERLINK("http://dx.doi.org/10.1111/jfd.13750","http://dx.doi.org/10.1111/jfd.13750")</f>
        <v>http://dx.doi.org/10.1111/jfd.13750</v>
      </c>
      <c r="BG10" t="s">
        <v>74</v>
      </c>
      <c r="BH10" t="s">
        <v>102</v>
      </c>
      <c r="BI10">
        <v>11</v>
      </c>
      <c r="BJ10" t="s">
        <v>329</v>
      </c>
      <c r="BK10" t="s">
        <v>104</v>
      </c>
      <c r="BL10" t="s">
        <v>329</v>
      </c>
      <c r="BM10" t="s">
        <v>330</v>
      </c>
      <c r="BN10">
        <v>36601713</v>
      </c>
      <c r="BO10" t="s">
        <v>107</v>
      </c>
      <c r="BP10" t="s">
        <v>74</v>
      </c>
      <c r="BQ10" t="s">
        <v>74</v>
      </c>
      <c r="BR10" t="s">
        <v>108</v>
      </c>
      <c r="BS10" t="s">
        <v>331</v>
      </c>
      <c r="BT10" t="str">
        <f>HYPERLINK("https%3A%2F%2Fwww.webofscience.com%2Fwos%2Fwoscc%2Ffull-record%2FWOS:000907935500001","View Full Record in Web of Science")</f>
        <v>View Full Record in Web of Science</v>
      </c>
    </row>
    <row r="11" spans="1:72" x14ac:dyDescent="0.15">
      <c r="A11" t="s">
        <v>72</v>
      </c>
      <c r="B11" t="s">
        <v>332</v>
      </c>
      <c r="C11" t="s">
        <v>74</v>
      </c>
      <c r="D11" t="s">
        <v>74</v>
      </c>
      <c r="E11" t="s">
        <v>74</v>
      </c>
      <c r="F11" t="s">
        <v>333</v>
      </c>
      <c r="G11" t="s">
        <v>74</v>
      </c>
      <c r="H11" t="s">
        <v>74</v>
      </c>
      <c r="I11" t="s">
        <v>334</v>
      </c>
      <c r="J11" t="s">
        <v>335</v>
      </c>
      <c r="K11" t="s">
        <v>74</v>
      </c>
      <c r="L11" t="s">
        <v>74</v>
      </c>
      <c r="M11" t="s">
        <v>78</v>
      </c>
      <c r="N11" t="s">
        <v>79</v>
      </c>
      <c r="O11" t="s">
        <v>74</v>
      </c>
      <c r="P11" t="s">
        <v>74</v>
      </c>
      <c r="Q11" t="s">
        <v>74</v>
      </c>
      <c r="R11" t="s">
        <v>74</v>
      </c>
      <c r="S11" t="s">
        <v>74</v>
      </c>
      <c r="T11" t="s">
        <v>74</v>
      </c>
      <c r="U11" t="s">
        <v>336</v>
      </c>
      <c r="V11" t="s">
        <v>337</v>
      </c>
      <c r="W11" t="s">
        <v>338</v>
      </c>
      <c r="X11" t="s">
        <v>339</v>
      </c>
      <c r="Y11" t="s">
        <v>340</v>
      </c>
      <c r="Z11" t="s">
        <v>341</v>
      </c>
      <c r="AA11" t="s">
        <v>342</v>
      </c>
      <c r="AB11" t="s">
        <v>343</v>
      </c>
      <c r="AC11" t="s">
        <v>344</v>
      </c>
      <c r="AD11" t="s">
        <v>345</v>
      </c>
      <c r="AE11" t="s">
        <v>346</v>
      </c>
      <c r="AF11" t="s">
        <v>74</v>
      </c>
      <c r="AG11">
        <v>43</v>
      </c>
      <c r="AH11">
        <v>16</v>
      </c>
      <c r="AI11">
        <v>18</v>
      </c>
      <c r="AJ11">
        <v>36</v>
      </c>
      <c r="AK11">
        <v>94</v>
      </c>
      <c r="AL11" t="s">
        <v>182</v>
      </c>
      <c r="AM11" t="s">
        <v>183</v>
      </c>
      <c r="AN11" t="s">
        <v>184</v>
      </c>
      <c r="AO11" t="s">
        <v>347</v>
      </c>
      <c r="AP11" t="s">
        <v>348</v>
      </c>
      <c r="AQ11" t="s">
        <v>74</v>
      </c>
      <c r="AR11" t="s">
        <v>349</v>
      </c>
      <c r="AS11" t="s">
        <v>350</v>
      </c>
      <c r="AT11" t="s">
        <v>276</v>
      </c>
      <c r="AU11">
        <v>2023</v>
      </c>
      <c r="AV11">
        <v>13</v>
      </c>
      <c r="AW11">
        <v>1</v>
      </c>
      <c r="AX11" t="s">
        <v>74</v>
      </c>
      <c r="AY11" t="s">
        <v>74</v>
      </c>
      <c r="AZ11" t="s">
        <v>74</v>
      </c>
      <c r="BA11" t="s">
        <v>74</v>
      </c>
      <c r="BB11">
        <v>67</v>
      </c>
      <c r="BC11" t="s">
        <v>351</v>
      </c>
      <c r="BD11" t="s">
        <v>74</v>
      </c>
      <c r="BE11" t="s">
        <v>352</v>
      </c>
      <c r="BF11" t="str">
        <f>HYPERLINK("http://dx.doi.org/10.1038/s41558-022-01558-4","http://dx.doi.org/10.1038/s41558-022-01558-4")</f>
        <v>http://dx.doi.org/10.1038/s41558-022-01558-4</v>
      </c>
      <c r="BG11" t="s">
        <v>74</v>
      </c>
      <c r="BH11" t="s">
        <v>102</v>
      </c>
      <c r="BI11">
        <v>11</v>
      </c>
      <c r="BJ11" t="s">
        <v>353</v>
      </c>
      <c r="BK11" t="s">
        <v>354</v>
      </c>
      <c r="BL11" t="s">
        <v>355</v>
      </c>
      <c r="BM11" t="s">
        <v>356</v>
      </c>
      <c r="BN11" t="s">
        <v>74</v>
      </c>
      <c r="BO11" t="s">
        <v>357</v>
      </c>
      <c r="BP11" t="s">
        <v>249</v>
      </c>
      <c r="BQ11" t="s">
        <v>250</v>
      </c>
      <c r="BR11" t="s">
        <v>108</v>
      </c>
      <c r="BS11" t="s">
        <v>358</v>
      </c>
      <c r="BT11" t="str">
        <f>HYPERLINK("https%3A%2F%2Fwww.webofscience.com%2Fwos%2Fwoscc%2Ffull-record%2FWOS:000909420200001","View Full Record in Web of Science")</f>
        <v>View Full Record in Web of Science</v>
      </c>
    </row>
    <row r="12" spans="1:72" x14ac:dyDescent="0.15">
      <c r="A12" t="s">
        <v>72</v>
      </c>
      <c r="B12" t="s">
        <v>359</v>
      </c>
      <c r="C12" t="s">
        <v>74</v>
      </c>
      <c r="D12" t="s">
        <v>74</v>
      </c>
      <c r="E12" t="s">
        <v>74</v>
      </c>
      <c r="F12" t="s">
        <v>360</v>
      </c>
      <c r="G12" t="s">
        <v>74</v>
      </c>
      <c r="H12" t="s">
        <v>74</v>
      </c>
      <c r="I12" t="s">
        <v>361</v>
      </c>
      <c r="J12" t="s">
        <v>362</v>
      </c>
      <c r="K12" t="s">
        <v>74</v>
      </c>
      <c r="L12" t="s">
        <v>74</v>
      </c>
      <c r="M12" t="s">
        <v>78</v>
      </c>
      <c r="N12" t="s">
        <v>79</v>
      </c>
      <c r="O12" t="s">
        <v>74</v>
      </c>
      <c r="P12" t="s">
        <v>74</v>
      </c>
      <c r="Q12" t="s">
        <v>74</v>
      </c>
      <c r="R12" t="s">
        <v>74</v>
      </c>
      <c r="S12" t="s">
        <v>74</v>
      </c>
      <c r="T12" t="s">
        <v>74</v>
      </c>
      <c r="U12" t="s">
        <v>363</v>
      </c>
      <c r="V12" t="s">
        <v>364</v>
      </c>
      <c r="W12" t="s">
        <v>365</v>
      </c>
      <c r="X12" t="s">
        <v>366</v>
      </c>
      <c r="Y12" t="s">
        <v>367</v>
      </c>
      <c r="Z12" t="s">
        <v>368</v>
      </c>
      <c r="AA12" t="s">
        <v>369</v>
      </c>
      <c r="AB12" t="s">
        <v>370</v>
      </c>
      <c r="AC12" t="s">
        <v>371</v>
      </c>
      <c r="AD12" t="s">
        <v>372</v>
      </c>
      <c r="AE12" t="s">
        <v>373</v>
      </c>
      <c r="AF12" t="s">
        <v>74</v>
      </c>
      <c r="AG12">
        <v>75</v>
      </c>
      <c r="AH12">
        <v>0</v>
      </c>
      <c r="AI12">
        <v>0</v>
      </c>
      <c r="AJ12">
        <v>0</v>
      </c>
      <c r="AK12">
        <v>1</v>
      </c>
      <c r="AL12" t="s">
        <v>374</v>
      </c>
      <c r="AM12" t="s">
        <v>375</v>
      </c>
      <c r="AN12" t="s">
        <v>376</v>
      </c>
      <c r="AO12" t="s">
        <v>74</v>
      </c>
      <c r="AP12" t="s">
        <v>377</v>
      </c>
      <c r="AQ12" t="s">
        <v>74</v>
      </c>
      <c r="AR12" t="s">
        <v>378</v>
      </c>
      <c r="AS12" t="s">
        <v>379</v>
      </c>
      <c r="AT12" t="s">
        <v>160</v>
      </c>
      <c r="AU12">
        <v>2023</v>
      </c>
      <c r="AV12">
        <v>4</v>
      </c>
      <c r="AW12">
        <v>1</v>
      </c>
      <c r="AX12" t="s">
        <v>74</v>
      </c>
      <c r="AY12" t="s">
        <v>74</v>
      </c>
      <c r="AZ12" t="s">
        <v>74</v>
      </c>
      <c r="BA12" t="s">
        <v>74</v>
      </c>
      <c r="BB12" t="s">
        <v>74</v>
      </c>
      <c r="BC12" t="s">
        <v>74</v>
      </c>
      <c r="BD12">
        <v>9</v>
      </c>
      <c r="BE12" t="s">
        <v>380</v>
      </c>
      <c r="BF12" t="str">
        <f>HYPERLINK("http://dx.doi.org/10.1038/s43247-022-00673-6","http://dx.doi.org/10.1038/s43247-022-00673-6")</f>
        <v>http://dx.doi.org/10.1038/s43247-022-00673-6</v>
      </c>
      <c r="BG12" t="s">
        <v>74</v>
      </c>
      <c r="BH12" t="s">
        <v>74</v>
      </c>
      <c r="BI12">
        <v>12</v>
      </c>
      <c r="BJ12" t="s">
        <v>381</v>
      </c>
      <c r="BK12" t="s">
        <v>104</v>
      </c>
      <c r="BL12" t="s">
        <v>382</v>
      </c>
      <c r="BM12" t="s">
        <v>383</v>
      </c>
      <c r="BN12" t="s">
        <v>74</v>
      </c>
      <c r="BO12" t="s">
        <v>384</v>
      </c>
      <c r="BP12" t="s">
        <v>74</v>
      </c>
      <c r="BQ12" t="s">
        <v>74</v>
      </c>
      <c r="BR12" t="s">
        <v>108</v>
      </c>
      <c r="BS12" t="s">
        <v>385</v>
      </c>
      <c r="BT12" t="str">
        <f>HYPERLINK("https%3A%2F%2Fwww.webofscience.com%2Fwos%2Fwoscc%2Ffull-record%2FWOS:000909510000002","View Full Record in Web of Science")</f>
        <v>View Full Record in Web of Science</v>
      </c>
    </row>
    <row r="13" spans="1:72" x14ac:dyDescent="0.15">
      <c r="A13" t="s">
        <v>72</v>
      </c>
      <c r="B13" t="s">
        <v>386</v>
      </c>
      <c r="C13" t="s">
        <v>74</v>
      </c>
      <c r="D13" t="s">
        <v>74</v>
      </c>
      <c r="E13" t="s">
        <v>74</v>
      </c>
      <c r="F13" t="s">
        <v>387</v>
      </c>
      <c r="G13" t="s">
        <v>74</v>
      </c>
      <c r="H13" t="s">
        <v>74</v>
      </c>
      <c r="I13" t="s">
        <v>388</v>
      </c>
      <c r="J13" t="s">
        <v>389</v>
      </c>
      <c r="K13" t="s">
        <v>74</v>
      </c>
      <c r="L13" t="s">
        <v>74</v>
      </c>
      <c r="M13" t="s">
        <v>78</v>
      </c>
      <c r="N13" t="s">
        <v>79</v>
      </c>
      <c r="O13" t="s">
        <v>74</v>
      </c>
      <c r="P13" t="s">
        <v>74</v>
      </c>
      <c r="Q13" t="s">
        <v>74</v>
      </c>
      <c r="R13" t="s">
        <v>74</v>
      </c>
      <c r="S13" t="s">
        <v>74</v>
      </c>
      <c r="T13" t="s">
        <v>390</v>
      </c>
      <c r="U13" t="s">
        <v>391</v>
      </c>
      <c r="V13" t="s">
        <v>392</v>
      </c>
      <c r="W13" t="s">
        <v>393</v>
      </c>
      <c r="X13" t="s">
        <v>394</v>
      </c>
      <c r="Y13" t="s">
        <v>395</v>
      </c>
      <c r="Z13" t="s">
        <v>396</v>
      </c>
      <c r="AA13" t="s">
        <v>74</v>
      </c>
      <c r="AB13" t="s">
        <v>74</v>
      </c>
      <c r="AC13" t="s">
        <v>74</v>
      </c>
      <c r="AD13" t="s">
        <v>74</v>
      </c>
      <c r="AE13" t="s">
        <v>74</v>
      </c>
      <c r="AF13" t="s">
        <v>74</v>
      </c>
      <c r="AG13">
        <v>39</v>
      </c>
      <c r="AH13">
        <v>1</v>
      </c>
      <c r="AI13">
        <v>1</v>
      </c>
      <c r="AJ13">
        <v>4</v>
      </c>
      <c r="AK13">
        <v>13</v>
      </c>
      <c r="AL13" t="s">
        <v>269</v>
      </c>
      <c r="AM13" t="s">
        <v>93</v>
      </c>
      <c r="AN13" t="s">
        <v>397</v>
      </c>
      <c r="AO13" t="s">
        <v>398</v>
      </c>
      <c r="AP13" t="s">
        <v>399</v>
      </c>
      <c r="AQ13" t="s">
        <v>74</v>
      </c>
      <c r="AR13" t="s">
        <v>400</v>
      </c>
      <c r="AS13" t="s">
        <v>401</v>
      </c>
      <c r="AT13" t="s">
        <v>276</v>
      </c>
      <c r="AU13">
        <v>2023</v>
      </c>
      <c r="AV13">
        <v>42</v>
      </c>
      <c r="AW13">
        <v>1</v>
      </c>
      <c r="AX13" t="s">
        <v>74</v>
      </c>
      <c r="AY13" t="s">
        <v>74</v>
      </c>
      <c r="AZ13" t="s">
        <v>74</v>
      </c>
      <c r="BA13" t="s">
        <v>74</v>
      </c>
      <c r="BB13">
        <v>44</v>
      </c>
      <c r="BC13">
        <v>60</v>
      </c>
      <c r="BD13" t="s">
        <v>74</v>
      </c>
      <c r="BE13" t="s">
        <v>402</v>
      </c>
      <c r="BF13" t="str">
        <f>HYPERLINK("http://dx.doi.org/10.1007/s13131-022-2108-z","http://dx.doi.org/10.1007/s13131-022-2108-z")</f>
        <v>http://dx.doi.org/10.1007/s13131-022-2108-z</v>
      </c>
      <c r="BG13" t="s">
        <v>74</v>
      </c>
      <c r="BH13" t="s">
        <v>102</v>
      </c>
      <c r="BI13">
        <v>17</v>
      </c>
      <c r="BJ13" t="s">
        <v>403</v>
      </c>
      <c r="BK13" t="s">
        <v>104</v>
      </c>
      <c r="BL13" t="s">
        <v>403</v>
      </c>
      <c r="BM13" t="s">
        <v>404</v>
      </c>
      <c r="BN13" t="s">
        <v>74</v>
      </c>
      <c r="BO13" t="s">
        <v>74</v>
      </c>
      <c r="BP13" t="s">
        <v>74</v>
      </c>
      <c r="BQ13" t="s">
        <v>74</v>
      </c>
      <c r="BR13" t="s">
        <v>108</v>
      </c>
      <c r="BS13" t="s">
        <v>405</v>
      </c>
      <c r="BT13" t="str">
        <f>HYPERLINK("https%3A%2F%2Fwww.webofscience.com%2Fwos%2Fwoscc%2Ffull-record%2FWOS:000909518300001","View Full Record in Web of Science")</f>
        <v>View Full Record in Web of Science</v>
      </c>
    </row>
    <row r="14" spans="1:72" x14ac:dyDescent="0.15">
      <c r="A14" t="s">
        <v>72</v>
      </c>
      <c r="B14" t="s">
        <v>406</v>
      </c>
      <c r="C14" t="s">
        <v>74</v>
      </c>
      <c r="D14" t="s">
        <v>74</v>
      </c>
      <c r="E14" t="s">
        <v>74</v>
      </c>
      <c r="F14" t="s">
        <v>407</v>
      </c>
      <c r="G14" t="s">
        <v>74</v>
      </c>
      <c r="H14" t="s">
        <v>74</v>
      </c>
      <c r="I14" t="s">
        <v>408</v>
      </c>
      <c r="J14" t="s">
        <v>409</v>
      </c>
      <c r="K14" t="s">
        <v>74</v>
      </c>
      <c r="L14" t="s">
        <v>74</v>
      </c>
      <c r="M14" t="s">
        <v>78</v>
      </c>
      <c r="N14" t="s">
        <v>79</v>
      </c>
      <c r="O14" t="s">
        <v>74</v>
      </c>
      <c r="P14" t="s">
        <v>74</v>
      </c>
      <c r="Q14" t="s">
        <v>74</v>
      </c>
      <c r="R14" t="s">
        <v>74</v>
      </c>
      <c r="S14" t="s">
        <v>74</v>
      </c>
      <c r="T14" t="s">
        <v>410</v>
      </c>
      <c r="U14" t="s">
        <v>411</v>
      </c>
      <c r="V14" t="s">
        <v>412</v>
      </c>
      <c r="W14" t="s">
        <v>413</v>
      </c>
      <c r="X14" t="s">
        <v>414</v>
      </c>
      <c r="Y14" t="s">
        <v>415</v>
      </c>
      <c r="Z14" t="s">
        <v>416</v>
      </c>
      <c r="AA14" t="s">
        <v>417</v>
      </c>
      <c r="AB14" t="s">
        <v>418</v>
      </c>
      <c r="AC14" t="s">
        <v>419</v>
      </c>
      <c r="AD14" t="s">
        <v>420</v>
      </c>
      <c r="AE14" t="s">
        <v>421</v>
      </c>
      <c r="AF14" t="s">
        <v>74</v>
      </c>
      <c r="AG14">
        <v>53</v>
      </c>
      <c r="AH14">
        <v>4</v>
      </c>
      <c r="AI14">
        <v>4</v>
      </c>
      <c r="AJ14">
        <v>5</v>
      </c>
      <c r="AK14">
        <v>16</v>
      </c>
      <c r="AL14" t="s">
        <v>422</v>
      </c>
      <c r="AM14" t="s">
        <v>208</v>
      </c>
      <c r="AN14" t="s">
        <v>423</v>
      </c>
      <c r="AO14" t="s">
        <v>424</v>
      </c>
      <c r="AP14" t="s">
        <v>425</v>
      </c>
      <c r="AQ14" t="s">
        <v>74</v>
      </c>
      <c r="AR14" t="s">
        <v>426</v>
      </c>
      <c r="AS14" t="s">
        <v>427</v>
      </c>
      <c r="AT14" t="s">
        <v>428</v>
      </c>
      <c r="AU14">
        <v>2023</v>
      </c>
      <c r="AV14">
        <v>233</v>
      </c>
      <c r="AW14">
        <v>2</v>
      </c>
      <c r="AX14" t="s">
        <v>74</v>
      </c>
      <c r="AY14" t="s">
        <v>74</v>
      </c>
      <c r="AZ14" t="s">
        <v>74</v>
      </c>
      <c r="BA14" t="s">
        <v>74</v>
      </c>
      <c r="BB14">
        <v>826</v>
      </c>
      <c r="BC14">
        <v>838</v>
      </c>
      <c r="BD14" t="s">
        <v>74</v>
      </c>
      <c r="BE14" t="s">
        <v>429</v>
      </c>
      <c r="BF14" t="str">
        <f>HYPERLINK("http://dx.doi.org/10.1093/gji/ggac485","http://dx.doi.org/10.1093/gji/ggac485")</f>
        <v>http://dx.doi.org/10.1093/gji/ggac485</v>
      </c>
      <c r="BG14" t="s">
        <v>74</v>
      </c>
      <c r="BH14" t="s">
        <v>74</v>
      </c>
      <c r="BI14">
        <v>13</v>
      </c>
      <c r="BJ14" t="s">
        <v>430</v>
      </c>
      <c r="BK14" t="s">
        <v>104</v>
      </c>
      <c r="BL14" t="s">
        <v>430</v>
      </c>
      <c r="BM14" t="s">
        <v>431</v>
      </c>
      <c r="BN14" t="s">
        <v>74</v>
      </c>
      <c r="BO14" t="s">
        <v>74</v>
      </c>
      <c r="BP14" t="s">
        <v>74</v>
      </c>
      <c r="BQ14" t="s">
        <v>74</v>
      </c>
      <c r="BR14" t="s">
        <v>108</v>
      </c>
      <c r="BS14" t="s">
        <v>432</v>
      </c>
      <c r="BT14" t="str">
        <f>HYPERLINK("https%3A%2F%2Fwww.webofscience.com%2Fwos%2Fwoscc%2Ffull-record%2FWOS:001038389500003","View Full Record in Web of Science")</f>
        <v>View Full Record in Web of Science</v>
      </c>
    </row>
    <row r="15" spans="1:72" x14ac:dyDescent="0.15">
      <c r="A15" t="s">
        <v>72</v>
      </c>
      <c r="B15" t="s">
        <v>433</v>
      </c>
      <c r="C15" t="s">
        <v>74</v>
      </c>
      <c r="D15" t="s">
        <v>74</v>
      </c>
      <c r="E15" t="s">
        <v>74</v>
      </c>
      <c r="F15" t="s">
        <v>434</v>
      </c>
      <c r="G15" t="s">
        <v>74</v>
      </c>
      <c r="H15" t="s">
        <v>74</v>
      </c>
      <c r="I15" t="s">
        <v>435</v>
      </c>
      <c r="J15" t="s">
        <v>436</v>
      </c>
      <c r="K15" t="s">
        <v>74</v>
      </c>
      <c r="L15" t="s">
        <v>74</v>
      </c>
      <c r="M15" t="s">
        <v>78</v>
      </c>
      <c r="N15" t="s">
        <v>79</v>
      </c>
      <c r="O15" t="s">
        <v>74</v>
      </c>
      <c r="P15" t="s">
        <v>74</v>
      </c>
      <c r="Q15" t="s">
        <v>74</v>
      </c>
      <c r="R15" t="s">
        <v>74</v>
      </c>
      <c r="S15" t="s">
        <v>74</v>
      </c>
      <c r="T15" t="s">
        <v>437</v>
      </c>
      <c r="U15" t="s">
        <v>438</v>
      </c>
      <c r="V15" t="s">
        <v>439</v>
      </c>
      <c r="W15" t="s">
        <v>440</v>
      </c>
      <c r="X15" t="s">
        <v>441</v>
      </c>
      <c r="Y15" t="s">
        <v>442</v>
      </c>
      <c r="Z15" t="s">
        <v>443</v>
      </c>
      <c r="AA15" t="s">
        <v>74</v>
      </c>
      <c r="AB15" t="s">
        <v>444</v>
      </c>
      <c r="AC15" t="s">
        <v>445</v>
      </c>
      <c r="AD15" t="s">
        <v>446</v>
      </c>
      <c r="AE15" t="s">
        <v>447</v>
      </c>
      <c r="AF15" t="s">
        <v>74</v>
      </c>
      <c r="AG15">
        <v>190</v>
      </c>
      <c r="AH15">
        <v>1</v>
      </c>
      <c r="AI15">
        <v>1</v>
      </c>
      <c r="AJ15">
        <v>1</v>
      </c>
      <c r="AK15">
        <v>2</v>
      </c>
      <c r="AL15" t="s">
        <v>448</v>
      </c>
      <c r="AM15" t="s">
        <v>449</v>
      </c>
      <c r="AN15" t="s">
        <v>450</v>
      </c>
      <c r="AO15" t="s">
        <v>74</v>
      </c>
      <c r="AP15" t="s">
        <v>451</v>
      </c>
      <c r="AQ15" t="s">
        <v>74</v>
      </c>
      <c r="AR15" t="s">
        <v>452</v>
      </c>
      <c r="AS15" t="s">
        <v>453</v>
      </c>
      <c r="AT15" t="s">
        <v>428</v>
      </c>
      <c r="AU15">
        <v>2023</v>
      </c>
      <c r="AV15">
        <v>10</v>
      </c>
      <c r="AW15" t="s">
        <v>74</v>
      </c>
      <c r="AX15" t="s">
        <v>74</v>
      </c>
      <c r="AY15" t="s">
        <v>74</v>
      </c>
      <c r="AZ15" t="s">
        <v>74</v>
      </c>
      <c r="BA15" t="s">
        <v>74</v>
      </c>
      <c r="BB15" t="s">
        <v>74</v>
      </c>
      <c r="BC15" t="s">
        <v>74</v>
      </c>
      <c r="BD15">
        <v>1073075</v>
      </c>
      <c r="BE15" t="s">
        <v>454</v>
      </c>
      <c r="BF15" t="str">
        <f>HYPERLINK("http://dx.doi.org/10.3389/feart.2022.1073075","http://dx.doi.org/10.3389/feart.2022.1073075")</f>
        <v>http://dx.doi.org/10.3389/feart.2022.1073075</v>
      </c>
      <c r="BG15" t="s">
        <v>74</v>
      </c>
      <c r="BH15" t="s">
        <v>74</v>
      </c>
      <c r="BI15">
        <v>38</v>
      </c>
      <c r="BJ15" t="s">
        <v>455</v>
      </c>
      <c r="BK15" t="s">
        <v>104</v>
      </c>
      <c r="BL15" t="s">
        <v>456</v>
      </c>
      <c r="BM15" t="s">
        <v>457</v>
      </c>
      <c r="BN15" t="s">
        <v>74</v>
      </c>
      <c r="BO15" t="s">
        <v>384</v>
      </c>
      <c r="BP15" t="s">
        <v>74</v>
      </c>
      <c r="BQ15" t="s">
        <v>74</v>
      </c>
      <c r="BR15" t="s">
        <v>108</v>
      </c>
      <c r="BS15" t="s">
        <v>458</v>
      </c>
      <c r="BT15" t="str">
        <f>HYPERLINK("https%3A%2F%2Fwww.webofscience.com%2Fwos%2Fwoscc%2Ffull-record%2FWOS:000917173200001","View Full Record in Web of Science")</f>
        <v>View Full Record in Web of Science</v>
      </c>
    </row>
    <row r="16" spans="1:72" x14ac:dyDescent="0.15">
      <c r="A16" t="s">
        <v>72</v>
      </c>
      <c r="B16" t="s">
        <v>459</v>
      </c>
      <c r="C16" t="s">
        <v>74</v>
      </c>
      <c r="D16" t="s">
        <v>74</v>
      </c>
      <c r="E16" t="s">
        <v>74</v>
      </c>
      <c r="F16" t="s">
        <v>460</v>
      </c>
      <c r="G16" t="s">
        <v>74</v>
      </c>
      <c r="H16" t="s">
        <v>74</v>
      </c>
      <c r="I16" t="s">
        <v>461</v>
      </c>
      <c r="J16" t="s">
        <v>462</v>
      </c>
      <c r="K16" t="s">
        <v>74</v>
      </c>
      <c r="L16" t="s">
        <v>74</v>
      </c>
      <c r="M16" t="s">
        <v>78</v>
      </c>
      <c r="N16" t="s">
        <v>79</v>
      </c>
      <c r="O16" t="s">
        <v>74</v>
      </c>
      <c r="P16" t="s">
        <v>74</v>
      </c>
      <c r="Q16" t="s">
        <v>74</v>
      </c>
      <c r="R16" t="s">
        <v>74</v>
      </c>
      <c r="S16" t="s">
        <v>74</v>
      </c>
      <c r="T16" t="s">
        <v>463</v>
      </c>
      <c r="U16" t="s">
        <v>464</v>
      </c>
      <c r="V16" t="s">
        <v>465</v>
      </c>
      <c r="W16" t="s">
        <v>466</v>
      </c>
      <c r="X16" t="s">
        <v>467</v>
      </c>
      <c r="Y16" t="s">
        <v>468</v>
      </c>
      <c r="Z16" t="s">
        <v>469</v>
      </c>
      <c r="AA16" t="s">
        <v>470</v>
      </c>
      <c r="AB16" t="s">
        <v>471</v>
      </c>
      <c r="AC16" t="s">
        <v>472</v>
      </c>
      <c r="AD16" t="s">
        <v>473</v>
      </c>
      <c r="AE16" t="s">
        <v>474</v>
      </c>
      <c r="AF16" t="s">
        <v>74</v>
      </c>
      <c r="AG16">
        <v>72</v>
      </c>
      <c r="AH16">
        <v>2</v>
      </c>
      <c r="AI16">
        <v>2</v>
      </c>
      <c r="AJ16">
        <v>2</v>
      </c>
      <c r="AK16">
        <v>23</v>
      </c>
      <c r="AL16" t="s">
        <v>237</v>
      </c>
      <c r="AM16" t="s">
        <v>238</v>
      </c>
      <c r="AN16" t="s">
        <v>239</v>
      </c>
      <c r="AO16" t="s">
        <v>475</v>
      </c>
      <c r="AP16" t="s">
        <v>476</v>
      </c>
      <c r="AQ16" t="s">
        <v>74</v>
      </c>
      <c r="AR16" t="s">
        <v>477</v>
      </c>
      <c r="AS16" t="s">
        <v>478</v>
      </c>
      <c r="AT16" t="s">
        <v>479</v>
      </c>
      <c r="AU16">
        <v>2023</v>
      </c>
      <c r="AV16">
        <v>866</v>
      </c>
      <c r="AW16" t="s">
        <v>74</v>
      </c>
      <c r="AX16" t="s">
        <v>74</v>
      </c>
      <c r="AY16" t="s">
        <v>74</v>
      </c>
      <c r="AZ16" t="s">
        <v>74</v>
      </c>
      <c r="BA16" t="s">
        <v>74</v>
      </c>
      <c r="BB16" t="s">
        <v>74</v>
      </c>
      <c r="BC16" t="s">
        <v>74</v>
      </c>
      <c r="BD16">
        <v>161345</v>
      </c>
      <c r="BE16" t="s">
        <v>480</v>
      </c>
      <c r="BF16" t="str">
        <f>HYPERLINK("http://dx.doi.org/10.1016/j.scitotenv.2022.161345","http://dx.doi.org/10.1016/j.scitotenv.2022.161345")</f>
        <v>http://dx.doi.org/10.1016/j.scitotenv.2022.161345</v>
      </c>
      <c r="BG16" t="s">
        <v>74</v>
      </c>
      <c r="BH16" t="s">
        <v>102</v>
      </c>
      <c r="BI16">
        <v>11</v>
      </c>
      <c r="BJ16" t="s">
        <v>216</v>
      </c>
      <c r="BK16" t="s">
        <v>104</v>
      </c>
      <c r="BL16" t="s">
        <v>217</v>
      </c>
      <c r="BM16" t="s">
        <v>481</v>
      </c>
      <c r="BN16">
        <v>36603636</v>
      </c>
      <c r="BO16" t="s">
        <v>74</v>
      </c>
      <c r="BP16" t="s">
        <v>74</v>
      </c>
      <c r="BQ16" t="s">
        <v>74</v>
      </c>
      <c r="BR16" t="s">
        <v>108</v>
      </c>
      <c r="BS16" t="s">
        <v>482</v>
      </c>
      <c r="BT16" t="str">
        <f>HYPERLINK("https%3A%2F%2Fwww.webofscience.com%2Fwos%2Fwoscc%2Ffull-record%2FWOS:000921184700001","View Full Record in Web of Science")</f>
        <v>View Full Record in Web of Science</v>
      </c>
    </row>
    <row r="17" spans="1:72" x14ac:dyDescent="0.15">
      <c r="A17" t="s">
        <v>72</v>
      </c>
      <c r="B17" t="s">
        <v>483</v>
      </c>
      <c r="C17" t="s">
        <v>74</v>
      </c>
      <c r="D17" t="s">
        <v>74</v>
      </c>
      <c r="E17" t="s">
        <v>74</v>
      </c>
      <c r="F17" t="s">
        <v>484</v>
      </c>
      <c r="G17" t="s">
        <v>74</v>
      </c>
      <c r="H17" t="s">
        <v>74</v>
      </c>
      <c r="I17" t="s">
        <v>485</v>
      </c>
      <c r="J17" t="s">
        <v>486</v>
      </c>
      <c r="K17" t="s">
        <v>74</v>
      </c>
      <c r="L17" t="s">
        <v>74</v>
      </c>
      <c r="M17" t="s">
        <v>78</v>
      </c>
      <c r="N17" t="s">
        <v>79</v>
      </c>
      <c r="O17" t="s">
        <v>74</v>
      </c>
      <c r="P17" t="s">
        <v>74</v>
      </c>
      <c r="Q17" t="s">
        <v>74</v>
      </c>
      <c r="R17" t="s">
        <v>74</v>
      </c>
      <c r="S17" t="s">
        <v>74</v>
      </c>
      <c r="T17" t="s">
        <v>487</v>
      </c>
      <c r="U17" t="s">
        <v>488</v>
      </c>
      <c r="V17" t="s">
        <v>74</v>
      </c>
      <c r="W17" t="s">
        <v>489</v>
      </c>
      <c r="X17" t="s">
        <v>490</v>
      </c>
      <c r="Y17" t="s">
        <v>491</v>
      </c>
      <c r="Z17" t="s">
        <v>492</v>
      </c>
      <c r="AA17" t="s">
        <v>493</v>
      </c>
      <c r="AB17" t="s">
        <v>494</v>
      </c>
      <c r="AC17" t="s">
        <v>495</v>
      </c>
      <c r="AD17" t="s">
        <v>496</v>
      </c>
      <c r="AE17" t="s">
        <v>497</v>
      </c>
      <c r="AF17" t="s">
        <v>74</v>
      </c>
      <c r="AG17">
        <v>23</v>
      </c>
      <c r="AH17">
        <v>0</v>
      </c>
      <c r="AI17">
        <v>0</v>
      </c>
      <c r="AJ17">
        <v>2</v>
      </c>
      <c r="AK17">
        <v>8</v>
      </c>
      <c r="AL17" t="s">
        <v>498</v>
      </c>
      <c r="AM17" t="s">
        <v>499</v>
      </c>
      <c r="AN17" t="s">
        <v>500</v>
      </c>
      <c r="AO17" t="s">
        <v>501</v>
      </c>
      <c r="AP17" t="s">
        <v>502</v>
      </c>
      <c r="AQ17" t="s">
        <v>74</v>
      </c>
      <c r="AR17" t="s">
        <v>503</v>
      </c>
      <c r="AS17" t="s">
        <v>504</v>
      </c>
      <c r="AT17" t="s">
        <v>505</v>
      </c>
      <c r="AU17">
        <v>2023</v>
      </c>
      <c r="AV17">
        <v>107</v>
      </c>
      <c r="AW17">
        <v>3</v>
      </c>
      <c r="AX17" t="s">
        <v>74</v>
      </c>
      <c r="AY17" t="s">
        <v>74</v>
      </c>
      <c r="AZ17" t="s">
        <v>74</v>
      </c>
      <c r="BA17" t="s">
        <v>74</v>
      </c>
      <c r="BB17">
        <v>911</v>
      </c>
      <c r="BC17">
        <v>914</v>
      </c>
      <c r="BD17" t="s">
        <v>74</v>
      </c>
      <c r="BE17" t="s">
        <v>506</v>
      </c>
      <c r="BF17" t="str">
        <f>HYPERLINK("http://dx.doi.org/10.1094/PDIS-03-22-0706-A","http://dx.doi.org/10.1094/PDIS-03-22-0706-A")</f>
        <v>http://dx.doi.org/10.1094/PDIS-03-22-0706-A</v>
      </c>
      <c r="BG17" t="s">
        <v>74</v>
      </c>
      <c r="BH17" t="s">
        <v>102</v>
      </c>
      <c r="BI17">
        <v>4</v>
      </c>
      <c r="BJ17" t="s">
        <v>507</v>
      </c>
      <c r="BK17" t="s">
        <v>104</v>
      </c>
      <c r="BL17" t="s">
        <v>507</v>
      </c>
      <c r="BM17" t="s">
        <v>508</v>
      </c>
      <c r="BN17">
        <v>36265155</v>
      </c>
      <c r="BO17" t="s">
        <v>74</v>
      </c>
      <c r="BP17" t="s">
        <v>74</v>
      </c>
      <c r="BQ17" t="s">
        <v>74</v>
      </c>
      <c r="BR17" t="s">
        <v>108</v>
      </c>
      <c r="BS17" t="s">
        <v>509</v>
      </c>
      <c r="BT17" t="str">
        <f>HYPERLINK("https%3A%2F%2Fwww.webofscience.com%2Fwos%2Fwoscc%2Ffull-record%2FWOS:000907805200004","View Full Record in Web of Science")</f>
        <v>View Full Record in Web of Science</v>
      </c>
    </row>
    <row r="18" spans="1:72" x14ac:dyDescent="0.15">
      <c r="A18" t="s">
        <v>72</v>
      </c>
      <c r="B18" t="s">
        <v>510</v>
      </c>
      <c r="C18" t="s">
        <v>74</v>
      </c>
      <c r="D18" t="s">
        <v>74</v>
      </c>
      <c r="E18" t="s">
        <v>74</v>
      </c>
      <c r="F18" t="s">
        <v>511</v>
      </c>
      <c r="G18" t="s">
        <v>74</v>
      </c>
      <c r="H18" t="s">
        <v>74</v>
      </c>
      <c r="I18" t="s">
        <v>512</v>
      </c>
      <c r="J18" t="s">
        <v>513</v>
      </c>
      <c r="K18" t="s">
        <v>74</v>
      </c>
      <c r="L18" t="s">
        <v>74</v>
      </c>
      <c r="M18" t="s">
        <v>78</v>
      </c>
      <c r="N18" t="s">
        <v>79</v>
      </c>
      <c r="O18" t="s">
        <v>74</v>
      </c>
      <c r="P18" t="s">
        <v>74</v>
      </c>
      <c r="Q18" t="s">
        <v>74</v>
      </c>
      <c r="R18" t="s">
        <v>74</v>
      </c>
      <c r="S18" t="s">
        <v>74</v>
      </c>
      <c r="T18" t="s">
        <v>514</v>
      </c>
      <c r="U18" t="s">
        <v>515</v>
      </c>
      <c r="V18" t="s">
        <v>516</v>
      </c>
      <c r="W18" t="s">
        <v>517</v>
      </c>
      <c r="X18" t="s">
        <v>518</v>
      </c>
      <c r="Y18" t="s">
        <v>519</v>
      </c>
      <c r="Z18" t="s">
        <v>520</v>
      </c>
      <c r="AA18" t="s">
        <v>521</v>
      </c>
      <c r="AB18" t="s">
        <v>522</v>
      </c>
      <c r="AC18" t="s">
        <v>523</v>
      </c>
      <c r="AD18" t="s">
        <v>524</v>
      </c>
      <c r="AE18" t="s">
        <v>525</v>
      </c>
      <c r="AF18" t="s">
        <v>74</v>
      </c>
      <c r="AG18">
        <v>99</v>
      </c>
      <c r="AH18">
        <v>3</v>
      </c>
      <c r="AI18">
        <v>3</v>
      </c>
      <c r="AJ18">
        <v>1</v>
      </c>
      <c r="AK18">
        <v>15</v>
      </c>
      <c r="AL18" t="s">
        <v>297</v>
      </c>
      <c r="AM18" t="s">
        <v>298</v>
      </c>
      <c r="AN18" t="s">
        <v>299</v>
      </c>
      <c r="AO18" t="s">
        <v>526</v>
      </c>
      <c r="AP18" t="s">
        <v>527</v>
      </c>
      <c r="AQ18" t="s">
        <v>74</v>
      </c>
      <c r="AR18" t="s">
        <v>528</v>
      </c>
      <c r="AS18" t="s">
        <v>529</v>
      </c>
      <c r="AT18" t="s">
        <v>530</v>
      </c>
      <c r="AU18">
        <v>2023</v>
      </c>
      <c r="AV18">
        <v>43</v>
      </c>
      <c r="AW18">
        <v>3</v>
      </c>
      <c r="AX18" t="s">
        <v>74</v>
      </c>
      <c r="AY18" t="s">
        <v>74</v>
      </c>
      <c r="AZ18" t="s">
        <v>74</v>
      </c>
      <c r="BA18" t="s">
        <v>74</v>
      </c>
      <c r="BB18">
        <v>1314</v>
      </c>
      <c r="BC18">
        <v>1332</v>
      </c>
      <c r="BD18" t="s">
        <v>74</v>
      </c>
      <c r="BE18" t="s">
        <v>531</v>
      </c>
      <c r="BF18" t="str">
        <f>HYPERLINK("http://dx.doi.org/10.1002/joc.7916","http://dx.doi.org/10.1002/joc.7916")</f>
        <v>http://dx.doi.org/10.1002/joc.7916</v>
      </c>
      <c r="BG18" t="s">
        <v>74</v>
      </c>
      <c r="BH18" t="s">
        <v>102</v>
      </c>
      <c r="BI18">
        <v>19</v>
      </c>
      <c r="BJ18" t="s">
        <v>532</v>
      </c>
      <c r="BK18" t="s">
        <v>104</v>
      </c>
      <c r="BL18" t="s">
        <v>532</v>
      </c>
      <c r="BM18" t="s">
        <v>533</v>
      </c>
      <c r="BN18" t="s">
        <v>74</v>
      </c>
      <c r="BO18" t="s">
        <v>74</v>
      </c>
      <c r="BP18" t="s">
        <v>74</v>
      </c>
      <c r="BQ18" t="s">
        <v>74</v>
      </c>
      <c r="BR18" t="s">
        <v>108</v>
      </c>
      <c r="BS18" t="s">
        <v>534</v>
      </c>
      <c r="BT18" t="str">
        <f>HYPERLINK("https%3A%2F%2Fwww.webofscience.com%2Fwos%2Fwoscc%2Ffull-record%2FWOS:000907648300001","View Full Record in Web of Science")</f>
        <v>View Full Record in Web of Science</v>
      </c>
    </row>
    <row r="19" spans="1:72" x14ac:dyDescent="0.15">
      <c r="A19" t="s">
        <v>72</v>
      </c>
      <c r="B19" t="s">
        <v>535</v>
      </c>
      <c r="C19" t="s">
        <v>74</v>
      </c>
      <c r="D19" t="s">
        <v>74</v>
      </c>
      <c r="E19" t="s">
        <v>74</v>
      </c>
      <c r="F19" t="s">
        <v>536</v>
      </c>
      <c r="G19" t="s">
        <v>74</v>
      </c>
      <c r="H19" t="s">
        <v>74</v>
      </c>
      <c r="I19" t="s">
        <v>537</v>
      </c>
      <c r="J19" t="s">
        <v>538</v>
      </c>
      <c r="K19" t="s">
        <v>74</v>
      </c>
      <c r="L19" t="s">
        <v>74</v>
      </c>
      <c r="M19" t="s">
        <v>78</v>
      </c>
      <c r="N19" t="s">
        <v>79</v>
      </c>
      <c r="O19" t="s">
        <v>74</v>
      </c>
      <c r="P19" t="s">
        <v>74</v>
      </c>
      <c r="Q19" t="s">
        <v>74</v>
      </c>
      <c r="R19" t="s">
        <v>74</v>
      </c>
      <c r="S19" t="s">
        <v>74</v>
      </c>
      <c r="T19" t="s">
        <v>74</v>
      </c>
      <c r="U19" t="s">
        <v>539</v>
      </c>
      <c r="V19" t="s">
        <v>540</v>
      </c>
      <c r="W19" t="s">
        <v>541</v>
      </c>
      <c r="X19" t="s">
        <v>542</v>
      </c>
      <c r="Y19" t="s">
        <v>543</v>
      </c>
      <c r="Z19" t="s">
        <v>544</v>
      </c>
      <c r="AA19" t="s">
        <v>545</v>
      </c>
      <c r="AB19" t="s">
        <v>546</v>
      </c>
      <c r="AC19" t="s">
        <v>547</v>
      </c>
      <c r="AD19" t="s">
        <v>548</v>
      </c>
      <c r="AE19" t="s">
        <v>549</v>
      </c>
      <c r="AF19" t="s">
        <v>74</v>
      </c>
      <c r="AG19">
        <v>75</v>
      </c>
      <c r="AH19">
        <v>0</v>
      </c>
      <c r="AI19">
        <v>0</v>
      </c>
      <c r="AJ19">
        <v>2</v>
      </c>
      <c r="AK19">
        <v>7</v>
      </c>
      <c r="AL19" t="s">
        <v>297</v>
      </c>
      <c r="AM19" t="s">
        <v>298</v>
      </c>
      <c r="AN19" t="s">
        <v>299</v>
      </c>
      <c r="AO19" t="s">
        <v>550</v>
      </c>
      <c r="AP19" t="s">
        <v>551</v>
      </c>
      <c r="AQ19" t="s">
        <v>74</v>
      </c>
      <c r="AR19" t="s">
        <v>552</v>
      </c>
      <c r="AS19" t="s">
        <v>553</v>
      </c>
      <c r="AT19" t="s">
        <v>214</v>
      </c>
      <c r="AU19">
        <v>2023</v>
      </c>
      <c r="AV19">
        <v>68</v>
      </c>
      <c r="AW19">
        <v>3</v>
      </c>
      <c r="AX19" t="s">
        <v>74</v>
      </c>
      <c r="AY19" t="s">
        <v>74</v>
      </c>
      <c r="AZ19" t="s">
        <v>74</v>
      </c>
      <c r="BA19" t="s">
        <v>74</v>
      </c>
      <c r="BB19">
        <v>569</v>
      </c>
      <c r="BC19">
        <v>582</v>
      </c>
      <c r="BD19" t="s">
        <v>74</v>
      </c>
      <c r="BE19" t="s">
        <v>554</v>
      </c>
      <c r="BF19" t="str">
        <f>HYPERLINK("http://dx.doi.org/10.1002/lno.12295","http://dx.doi.org/10.1002/lno.12295")</f>
        <v>http://dx.doi.org/10.1002/lno.12295</v>
      </c>
      <c r="BG19" t="s">
        <v>74</v>
      </c>
      <c r="BH19" t="s">
        <v>102</v>
      </c>
      <c r="BI19">
        <v>14</v>
      </c>
      <c r="BJ19" t="s">
        <v>555</v>
      </c>
      <c r="BK19" t="s">
        <v>104</v>
      </c>
      <c r="BL19" t="s">
        <v>556</v>
      </c>
      <c r="BM19" t="s">
        <v>557</v>
      </c>
      <c r="BN19" t="s">
        <v>74</v>
      </c>
      <c r="BO19" t="s">
        <v>219</v>
      </c>
      <c r="BP19" t="s">
        <v>74</v>
      </c>
      <c r="BQ19" t="s">
        <v>74</v>
      </c>
      <c r="BR19" t="s">
        <v>108</v>
      </c>
      <c r="BS19" t="s">
        <v>558</v>
      </c>
      <c r="BT19" t="str">
        <f>HYPERLINK("https%3A%2F%2Fwww.webofscience.com%2Fwos%2Fwoscc%2Ffull-record%2FWOS:000907007000001","View Full Record in Web of Science")</f>
        <v>View Full Record in Web of Science</v>
      </c>
    </row>
    <row r="20" spans="1:72" x14ac:dyDescent="0.15">
      <c r="A20" t="s">
        <v>72</v>
      </c>
      <c r="B20" t="s">
        <v>559</v>
      </c>
      <c r="C20" t="s">
        <v>74</v>
      </c>
      <c r="D20" t="s">
        <v>74</v>
      </c>
      <c r="E20" t="s">
        <v>74</v>
      </c>
      <c r="F20" t="s">
        <v>560</v>
      </c>
      <c r="G20" t="s">
        <v>74</v>
      </c>
      <c r="H20" t="s">
        <v>74</v>
      </c>
      <c r="I20" t="s">
        <v>561</v>
      </c>
      <c r="J20" t="s">
        <v>562</v>
      </c>
      <c r="K20" t="s">
        <v>74</v>
      </c>
      <c r="L20" t="s">
        <v>74</v>
      </c>
      <c r="M20" t="s">
        <v>78</v>
      </c>
      <c r="N20" t="s">
        <v>79</v>
      </c>
      <c r="O20" t="s">
        <v>74</v>
      </c>
      <c r="P20" t="s">
        <v>74</v>
      </c>
      <c r="Q20" t="s">
        <v>74</v>
      </c>
      <c r="R20" t="s">
        <v>74</v>
      </c>
      <c r="S20" t="s">
        <v>74</v>
      </c>
      <c r="T20" t="s">
        <v>563</v>
      </c>
      <c r="U20" t="s">
        <v>564</v>
      </c>
      <c r="V20" t="s">
        <v>565</v>
      </c>
      <c r="W20" t="s">
        <v>566</v>
      </c>
      <c r="X20" t="s">
        <v>567</v>
      </c>
      <c r="Y20" t="s">
        <v>568</v>
      </c>
      <c r="Z20" t="s">
        <v>569</v>
      </c>
      <c r="AA20" t="s">
        <v>570</v>
      </c>
      <c r="AB20" t="s">
        <v>571</v>
      </c>
      <c r="AC20" t="s">
        <v>572</v>
      </c>
      <c r="AD20" t="s">
        <v>573</v>
      </c>
      <c r="AE20" t="s">
        <v>574</v>
      </c>
      <c r="AF20" t="s">
        <v>74</v>
      </c>
      <c r="AG20">
        <v>71</v>
      </c>
      <c r="AH20">
        <v>9</v>
      </c>
      <c r="AI20">
        <v>10</v>
      </c>
      <c r="AJ20">
        <v>8</v>
      </c>
      <c r="AK20">
        <v>16</v>
      </c>
      <c r="AL20" t="s">
        <v>575</v>
      </c>
      <c r="AM20" t="s">
        <v>576</v>
      </c>
      <c r="AN20" t="s">
        <v>577</v>
      </c>
      <c r="AO20" t="s">
        <v>578</v>
      </c>
      <c r="AP20" t="s">
        <v>579</v>
      </c>
      <c r="AQ20" t="s">
        <v>74</v>
      </c>
      <c r="AR20" t="s">
        <v>580</v>
      </c>
      <c r="AS20" t="s">
        <v>581</v>
      </c>
      <c r="AT20" t="s">
        <v>582</v>
      </c>
      <c r="AU20">
        <v>2023</v>
      </c>
      <c r="AV20">
        <v>120</v>
      </c>
      <c r="AW20">
        <v>1</v>
      </c>
      <c r="AX20" t="s">
        <v>74</v>
      </c>
      <c r="AY20" t="s">
        <v>74</v>
      </c>
      <c r="AZ20" t="s">
        <v>74</v>
      </c>
      <c r="BA20" t="s">
        <v>74</v>
      </c>
      <c r="BB20" t="s">
        <v>74</v>
      </c>
      <c r="BC20" t="s">
        <v>74</v>
      </c>
      <c r="BD20" t="s">
        <v>583</v>
      </c>
      <c r="BE20" t="s">
        <v>584</v>
      </c>
      <c r="BF20" t="str">
        <f>HYPERLINK("http://dx.doi.org/10.1073/pnas.2206742119","http://dx.doi.org/10.1073/pnas.2206742119")</f>
        <v>http://dx.doi.org/10.1073/pnas.2206742119</v>
      </c>
      <c r="BG20" t="s">
        <v>74</v>
      </c>
      <c r="BH20" t="s">
        <v>74</v>
      </c>
      <c r="BI20">
        <v>7</v>
      </c>
      <c r="BJ20" t="s">
        <v>189</v>
      </c>
      <c r="BK20" t="s">
        <v>104</v>
      </c>
      <c r="BL20" t="s">
        <v>190</v>
      </c>
      <c r="BM20" t="s">
        <v>585</v>
      </c>
      <c r="BN20">
        <v>36574665</v>
      </c>
      <c r="BO20" t="s">
        <v>248</v>
      </c>
      <c r="BP20" t="s">
        <v>74</v>
      </c>
      <c r="BQ20" t="s">
        <v>74</v>
      </c>
      <c r="BR20" t="s">
        <v>108</v>
      </c>
      <c r="BS20" t="s">
        <v>586</v>
      </c>
      <c r="BT20" t="str">
        <f>HYPERLINK("https%3A%2F%2Fwww.webofscience.com%2Fwos%2Fwoscc%2Ffull-record%2FWOS:001023658500005","View Full Record in Web of Science")</f>
        <v>View Full Record in Web of Science</v>
      </c>
    </row>
    <row r="21" spans="1:72" x14ac:dyDescent="0.15">
      <c r="A21" t="s">
        <v>72</v>
      </c>
      <c r="B21" t="s">
        <v>587</v>
      </c>
      <c r="C21" t="s">
        <v>74</v>
      </c>
      <c r="D21" t="s">
        <v>74</v>
      </c>
      <c r="E21" t="s">
        <v>74</v>
      </c>
      <c r="F21" t="s">
        <v>588</v>
      </c>
      <c r="G21" t="s">
        <v>74</v>
      </c>
      <c r="H21" t="s">
        <v>74</v>
      </c>
      <c r="I21" t="s">
        <v>589</v>
      </c>
      <c r="J21" t="s">
        <v>590</v>
      </c>
      <c r="K21" t="s">
        <v>74</v>
      </c>
      <c r="L21" t="s">
        <v>74</v>
      </c>
      <c r="M21" t="s">
        <v>78</v>
      </c>
      <c r="N21" t="s">
        <v>79</v>
      </c>
      <c r="O21" t="s">
        <v>74</v>
      </c>
      <c r="P21" t="s">
        <v>74</v>
      </c>
      <c r="Q21" t="s">
        <v>74</v>
      </c>
      <c r="R21" t="s">
        <v>74</v>
      </c>
      <c r="S21" t="s">
        <v>74</v>
      </c>
      <c r="T21" t="s">
        <v>591</v>
      </c>
      <c r="U21" t="s">
        <v>592</v>
      </c>
      <c r="V21" t="s">
        <v>593</v>
      </c>
      <c r="W21" t="s">
        <v>594</v>
      </c>
      <c r="X21" t="s">
        <v>595</v>
      </c>
      <c r="Y21" t="s">
        <v>596</v>
      </c>
      <c r="Z21" t="s">
        <v>597</v>
      </c>
      <c r="AA21" t="s">
        <v>598</v>
      </c>
      <c r="AB21" t="s">
        <v>599</v>
      </c>
      <c r="AC21" t="s">
        <v>600</v>
      </c>
      <c r="AD21" t="s">
        <v>601</v>
      </c>
      <c r="AE21" t="s">
        <v>602</v>
      </c>
      <c r="AF21" t="s">
        <v>74</v>
      </c>
      <c r="AG21">
        <v>143</v>
      </c>
      <c r="AH21">
        <v>5</v>
      </c>
      <c r="AI21">
        <v>5</v>
      </c>
      <c r="AJ21">
        <v>4</v>
      </c>
      <c r="AK21">
        <v>12</v>
      </c>
      <c r="AL21" t="s">
        <v>603</v>
      </c>
      <c r="AM21" t="s">
        <v>208</v>
      </c>
      <c r="AN21" t="s">
        <v>604</v>
      </c>
      <c r="AO21" t="s">
        <v>605</v>
      </c>
      <c r="AP21" t="s">
        <v>606</v>
      </c>
      <c r="AQ21" t="s">
        <v>74</v>
      </c>
      <c r="AR21" t="s">
        <v>607</v>
      </c>
      <c r="AS21" t="s">
        <v>608</v>
      </c>
      <c r="AT21" t="s">
        <v>609</v>
      </c>
      <c r="AU21">
        <v>2023</v>
      </c>
      <c r="AV21">
        <v>301</v>
      </c>
      <c r="AW21" t="s">
        <v>74</v>
      </c>
      <c r="AX21" t="s">
        <v>74</v>
      </c>
      <c r="AY21" t="s">
        <v>74</v>
      </c>
      <c r="AZ21" t="s">
        <v>74</v>
      </c>
      <c r="BA21" t="s">
        <v>74</v>
      </c>
      <c r="BB21" t="s">
        <v>74</v>
      </c>
      <c r="BC21" t="s">
        <v>74</v>
      </c>
      <c r="BD21">
        <v>107929</v>
      </c>
      <c r="BE21" t="s">
        <v>610</v>
      </c>
      <c r="BF21" t="str">
        <f>HYPERLINK("http://dx.doi.org/10.1016/j.quascirev.2022.107929","http://dx.doi.org/10.1016/j.quascirev.2022.107929")</f>
        <v>http://dx.doi.org/10.1016/j.quascirev.2022.107929</v>
      </c>
      <c r="BG21" t="s">
        <v>74</v>
      </c>
      <c r="BH21" t="s">
        <v>102</v>
      </c>
      <c r="BI21">
        <v>19</v>
      </c>
      <c r="BJ21" t="s">
        <v>611</v>
      </c>
      <c r="BK21" t="s">
        <v>104</v>
      </c>
      <c r="BL21" t="s">
        <v>612</v>
      </c>
      <c r="BM21" t="s">
        <v>613</v>
      </c>
      <c r="BN21" t="s">
        <v>74</v>
      </c>
      <c r="BO21" t="s">
        <v>74</v>
      </c>
      <c r="BP21" t="s">
        <v>74</v>
      </c>
      <c r="BQ21" t="s">
        <v>74</v>
      </c>
      <c r="BR21" t="s">
        <v>108</v>
      </c>
      <c r="BS21" t="s">
        <v>614</v>
      </c>
      <c r="BT21" t="str">
        <f>HYPERLINK("https%3A%2F%2Fwww.webofscience.com%2Fwos%2Fwoscc%2Ffull-record%2FWOS:000920327500001","View Full Record in Web of Science")</f>
        <v>View Full Record in Web of Science</v>
      </c>
    </row>
    <row r="22" spans="1:72" x14ac:dyDescent="0.15">
      <c r="A22" t="s">
        <v>72</v>
      </c>
      <c r="B22" t="s">
        <v>615</v>
      </c>
      <c r="C22" t="s">
        <v>74</v>
      </c>
      <c r="D22" t="s">
        <v>74</v>
      </c>
      <c r="E22" t="s">
        <v>74</v>
      </c>
      <c r="F22" t="s">
        <v>616</v>
      </c>
      <c r="G22" t="s">
        <v>74</v>
      </c>
      <c r="H22" t="s">
        <v>74</v>
      </c>
      <c r="I22" t="s">
        <v>617</v>
      </c>
      <c r="J22" t="s">
        <v>618</v>
      </c>
      <c r="K22" t="s">
        <v>74</v>
      </c>
      <c r="L22" t="s">
        <v>74</v>
      </c>
      <c r="M22" t="s">
        <v>78</v>
      </c>
      <c r="N22" t="s">
        <v>79</v>
      </c>
      <c r="O22" t="s">
        <v>74</v>
      </c>
      <c r="P22" t="s">
        <v>74</v>
      </c>
      <c r="Q22" t="s">
        <v>74</v>
      </c>
      <c r="R22" t="s">
        <v>74</v>
      </c>
      <c r="S22" t="s">
        <v>74</v>
      </c>
      <c r="T22" t="s">
        <v>619</v>
      </c>
      <c r="U22" t="s">
        <v>620</v>
      </c>
      <c r="V22" t="s">
        <v>621</v>
      </c>
      <c r="W22" t="s">
        <v>622</v>
      </c>
      <c r="X22" t="s">
        <v>623</v>
      </c>
      <c r="Y22" t="s">
        <v>624</v>
      </c>
      <c r="Z22" t="s">
        <v>625</v>
      </c>
      <c r="AA22" t="s">
        <v>74</v>
      </c>
      <c r="AB22" t="s">
        <v>626</v>
      </c>
      <c r="AC22" t="s">
        <v>627</v>
      </c>
      <c r="AD22" t="s">
        <v>628</v>
      </c>
      <c r="AE22" t="s">
        <v>629</v>
      </c>
      <c r="AF22" t="s">
        <v>74</v>
      </c>
      <c r="AG22">
        <v>60</v>
      </c>
      <c r="AH22">
        <v>0</v>
      </c>
      <c r="AI22">
        <v>0</v>
      </c>
      <c r="AJ22">
        <v>1</v>
      </c>
      <c r="AK22">
        <v>7</v>
      </c>
      <c r="AL22" t="s">
        <v>269</v>
      </c>
      <c r="AM22" t="s">
        <v>93</v>
      </c>
      <c r="AN22" t="s">
        <v>397</v>
      </c>
      <c r="AO22" t="s">
        <v>630</v>
      </c>
      <c r="AP22" t="s">
        <v>631</v>
      </c>
      <c r="AQ22" t="s">
        <v>74</v>
      </c>
      <c r="AR22" t="s">
        <v>632</v>
      </c>
      <c r="AS22" t="s">
        <v>633</v>
      </c>
      <c r="AT22" t="s">
        <v>99</v>
      </c>
      <c r="AU22">
        <v>2023</v>
      </c>
      <c r="AV22">
        <v>46</v>
      </c>
      <c r="AW22">
        <v>2</v>
      </c>
      <c r="AX22" t="s">
        <v>74</v>
      </c>
      <c r="AY22" t="s">
        <v>74</v>
      </c>
      <c r="AZ22" t="s">
        <v>74</v>
      </c>
      <c r="BA22" t="s">
        <v>74</v>
      </c>
      <c r="BB22">
        <v>111</v>
      </c>
      <c r="BC22">
        <v>121</v>
      </c>
      <c r="BD22" t="s">
        <v>74</v>
      </c>
      <c r="BE22" t="s">
        <v>634</v>
      </c>
      <c r="BF22" t="str">
        <f>HYPERLINK("http://dx.doi.org/10.1007/s00300-022-03104-6","http://dx.doi.org/10.1007/s00300-022-03104-6")</f>
        <v>http://dx.doi.org/10.1007/s00300-022-03104-6</v>
      </c>
      <c r="BG22" t="s">
        <v>74</v>
      </c>
      <c r="BH22" t="s">
        <v>102</v>
      </c>
      <c r="BI22">
        <v>11</v>
      </c>
      <c r="BJ22" t="s">
        <v>305</v>
      </c>
      <c r="BK22" t="s">
        <v>104</v>
      </c>
      <c r="BL22" t="s">
        <v>306</v>
      </c>
      <c r="BM22" t="s">
        <v>635</v>
      </c>
      <c r="BN22" t="s">
        <v>74</v>
      </c>
      <c r="BO22" t="s">
        <v>74</v>
      </c>
      <c r="BP22" t="s">
        <v>74</v>
      </c>
      <c r="BQ22" t="s">
        <v>74</v>
      </c>
      <c r="BR22" t="s">
        <v>108</v>
      </c>
      <c r="BS22" t="s">
        <v>636</v>
      </c>
      <c r="BT22" t="str">
        <f>HYPERLINK("https%3A%2F%2Fwww.webofscience.com%2Fwos%2Fwoscc%2Ffull-record%2FWOS:000907054800001","View Full Record in Web of Science")</f>
        <v>View Full Record in Web of Science</v>
      </c>
    </row>
    <row r="23" spans="1:72" x14ac:dyDescent="0.15">
      <c r="A23" t="s">
        <v>72</v>
      </c>
      <c r="B23" t="s">
        <v>637</v>
      </c>
      <c r="C23" t="s">
        <v>74</v>
      </c>
      <c r="D23" t="s">
        <v>74</v>
      </c>
      <c r="E23" t="s">
        <v>74</v>
      </c>
      <c r="F23" t="s">
        <v>638</v>
      </c>
      <c r="G23" t="s">
        <v>74</v>
      </c>
      <c r="H23" t="s">
        <v>74</v>
      </c>
      <c r="I23" t="s">
        <v>639</v>
      </c>
      <c r="J23" t="s">
        <v>640</v>
      </c>
      <c r="K23" t="s">
        <v>74</v>
      </c>
      <c r="L23" t="s">
        <v>74</v>
      </c>
      <c r="M23" t="s">
        <v>78</v>
      </c>
      <c r="N23" t="s">
        <v>79</v>
      </c>
      <c r="O23" t="s">
        <v>74</v>
      </c>
      <c r="P23" t="s">
        <v>74</v>
      </c>
      <c r="Q23" t="s">
        <v>74</v>
      </c>
      <c r="R23" t="s">
        <v>74</v>
      </c>
      <c r="S23" t="s">
        <v>74</v>
      </c>
      <c r="T23" t="s">
        <v>641</v>
      </c>
      <c r="U23" t="s">
        <v>642</v>
      </c>
      <c r="V23" t="s">
        <v>643</v>
      </c>
      <c r="W23" t="s">
        <v>644</v>
      </c>
      <c r="X23" t="s">
        <v>645</v>
      </c>
      <c r="Y23" t="s">
        <v>646</v>
      </c>
      <c r="Z23" t="s">
        <v>647</v>
      </c>
      <c r="AA23" t="s">
        <v>648</v>
      </c>
      <c r="AB23" t="s">
        <v>649</v>
      </c>
      <c r="AC23" t="s">
        <v>650</v>
      </c>
      <c r="AD23" t="s">
        <v>651</v>
      </c>
      <c r="AE23" t="s">
        <v>652</v>
      </c>
      <c r="AF23" t="s">
        <v>74</v>
      </c>
      <c r="AG23">
        <v>58</v>
      </c>
      <c r="AH23">
        <v>2</v>
      </c>
      <c r="AI23">
        <v>2</v>
      </c>
      <c r="AJ23">
        <v>2</v>
      </c>
      <c r="AK23">
        <v>10</v>
      </c>
      <c r="AL23" t="s">
        <v>297</v>
      </c>
      <c r="AM23" t="s">
        <v>298</v>
      </c>
      <c r="AN23" t="s">
        <v>299</v>
      </c>
      <c r="AO23" t="s">
        <v>653</v>
      </c>
      <c r="AP23" t="s">
        <v>654</v>
      </c>
      <c r="AQ23" t="s">
        <v>74</v>
      </c>
      <c r="AR23" t="s">
        <v>655</v>
      </c>
      <c r="AS23" t="s">
        <v>656</v>
      </c>
      <c r="AT23" t="s">
        <v>99</v>
      </c>
      <c r="AU23">
        <v>2023</v>
      </c>
      <c r="AV23">
        <v>59</v>
      </c>
      <c r="AW23">
        <v>1</v>
      </c>
      <c r="AX23" t="s">
        <v>74</v>
      </c>
      <c r="AY23" t="s">
        <v>74</v>
      </c>
      <c r="AZ23" t="s">
        <v>74</v>
      </c>
      <c r="BA23" t="s">
        <v>74</v>
      </c>
      <c r="BB23">
        <v>70</v>
      </c>
      <c r="BC23">
        <v>86</v>
      </c>
      <c r="BD23" t="s">
        <v>74</v>
      </c>
      <c r="BE23" t="s">
        <v>657</v>
      </c>
      <c r="BF23" t="str">
        <f>HYPERLINK("http://dx.doi.org/10.1111/jpy.13298","http://dx.doi.org/10.1111/jpy.13298")</f>
        <v>http://dx.doi.org/10.1111/jpy.13298</v>
      </c>
      <c r="BG23" t="s">
        <v>74</v>
      </c>
      <c r="BH23" t="s">
        <v>102</v>
      </c>
      <c r="BI23">
        <v>17</v>
      </c>
      <c r="BJ23" t="s">
        <v>658</v>
      </c>
      <c r="BK23" t="s">
        <v>104</v>
      </c>
      <c r="BL23" t="s">
        <v>658</v>
      </c>
      <c r="BM23" t="s">
        <v>659</v>
      </c>
      <c r="BN23">
        <v>36333277</v>
      </c>
      <c r="BO23" t="s">
        <v>660</v>
      </c>
      <c r="BP23" t="s">
        <v>74</v>
      </c>
      <c r="BQ23" t="s">
        <v>74</v>
      </c>
      <c r="BR23" t="s">
        <v>108</v>
      </c>
      <c r="BS23" t="s">
        <v>661</v>
      </c>
      <c r="BT23" t="str">
        <f>HYPERLINK("https%3A%2F%2Fwww.webofscience.com%2Fwos%2Fwoscc%2Ffull-record%2FWOS:000906417800001","View Full Record in Web of Science")</f>
        <v>View Full Record in Web of Science</v>
      </c>
    </row>
    <row r="24" spans="1:72" x14ac:dyDescent="0.15">
      <c r="A24" t="s">
        <v>72</v>
      </c>
      <c r="B24" t="s">
        <v>662</v>
      </c>
      <c r="C24" t="s">
        <v>74</v>
      </c>
      <c r="D24" t="s">
        <v>74</v>
      </c>
      <c r="E24" t="s">
        <v>74</v>
      </c>
      <c r="F24" t="s">
        <v>663</v>
      </c>
      <c r="G24" t="s">
        <v>74</v>
      </c>
      <c r="H24" t="s">
        <v>74</v>
      </c>
      <c r="I24" t="s">
        <v>664</v>
      </c>
      <c r="J24" t="s">
        <v>665</v>
      </c>
      <c r="K24" t="s">
        <v>74</v>
      </c>
      <c r="L24" t="s">
        <v>74</v>
      </c>
      <c r="M24" t="s">
        <v>78</v>
      </c>
      <c r="N24" t="s">
        <v>79</v>
      </c>
      <c r="O24" t="s">
        <v>74</v>
      </c>
      <c r="P24" t="s">
        <v>74</v>
      </c>
      <c r="Q24" t="s">
        <v>74</v>
      </c>
      <c r="R24" t="s">
        <v>74</v>
      </c>
      <c r="S24" t="s">
        <v>74</v>
      </c>
      <c r="T24" t="s">
        <v>666</v>
      </c>
      <c r="U24" t="s">
        <v>667</v>
      </c>
      <c r="V24" t="s">
        <v>668</v>
      </c>
      <c r="W24" t="s">
        <v>669</v>
      </c>
      <c r="X24" t="s">
        <v>670</v>
      </c>
      <c r="Y24" t="s">
        <v>671</v>
      </c>
      <c r="Z24" t="s">
        <v>672</v>
      </c>
      <c r="AA24" t="s">
        <v>74</v>
      </c>
      <c r="AB24" t="s">
        <v>74</v>
      </c>
      <c r="AC24" t="s">
        <v>673</v>
      </c>
      <c r="AD24" t="s">
        <v>674</v>
      </c>
      <c r="AE24" t="s">
        <v>675</v>
      </c>
      <c r="AF24" t="s">
        <v>74</v>
      </c>
      <c r="AG24">
        <v>122</v>
      </c>
      <c r="AH24">
        <v>3</v>
      </c>
      <c r="AI24">
        <v>3</v>
      </c>
      <c r="AJ24">
        <v>1</v>
      </c>
      <c r="AK24">
        <v>7</v>
      </c>
      <c r="AL24" t="s">
        <v>676</v>
      </c>
      <c r="AM24" t="s">
        <v>375</v>
      </c>
      <c r="AN24" t="s">
        <v>677</v>
      </c>
      <c r="AO24" t="s">
        <v>678</v>
      </c>
      <c r="AP24" t="s">
        <v>679</v>
      </c>
      <c r="AQ24" t="s">
        <v>74</v>
      </c>
      <c r="AR24" t="s">
        <v>680</v>
      </c>
      <c r="AS24" t="s">
        <v>681</v>
      </c>
      <c r="AT24" t="s">
        <v>682</v>
      </c>
      <c r="AU24">
        <v>2023</v>
      </c>
      <c r="AV24">
        <v>560</v>
      </c>
      <c r="AW24" t="s">
        <v>74</v>
      </c>
      <c r="AX24" t="s">
        <v>74</v>
      </c>
      <c r="AY24" t="s">
        <v>74</v>
      </c>
      <c r="AZ24" t="s">
        <v>74</v>
      </c>
      <c r="BA24" t="s">
        <v>74</v>
      </c>
      <c r="BB24" t="s">
        <v>74</v>
      </c>
      <c r="BC24" t="s">
        <v>74</v>
      </c>
      <c r="BD24">
        <v>111392</v>
      </c>
      <c r="BE24" t="s">
        <v>683</v>
      </c>
      <c r="BF24" t="str">
        <f>HYPERLINK("http://dx.doi.org/10.1016/j.jtbi.2022.111392","http://dx.doi.org/10.1016/j.jtbi.2022.111392")</f>
        <v>http://dx.doi.org/10.1016/j.jtbi.2022.111392</v>
      </c>
      <c r="BG24" t="s">
        <v>74</v>
      </c>
      <c r="BH24" t="s">
        <v>102</v>
      </c>
      <c r="BI24">
        <v>15</v>
      </c>
      <c r="BJ24" t="s">
        <v>684</v>
      </c>
      <c r="BK24" t="s">
        <v>104</v>
      </c>
      <c r="BL24" t="s">
        <v>685</v>
      </c>
      <c r="BM24" t="s">
        <v>686</v>
      </c>
      <c r="BN24">
        <v>36572092</v>
      </c>
      <c r="BO24" t="s">
        <v>219</v>
      </c>
      <c r="BP24" t="s">
        <v>74</v>
      </c>
      <c r="BQ24" t="s">
        <v>74</v>
      </c>
      <c r="BR24" t="s">
        <v>108</v>
      </c>
      <c r="BS24" t="s">
        <v>687</v>
      </c>
      <c r="BT24" t="str">
        <f>HYPERLINK("https%3A%2F%2Fwww.webofscience.com%2Fwos%2Fwoscc%2Ffull-record%2FWOS:000917780600001","View Full Record in Web of Science")</f>
        <v>View Full Record in Web of Science</v>
      </c>
    </row>
    <row r="25" spans="1:72" x14ac:dyDescent="0.15">
      <c r="A25" t="s">
        <v>72</v>
      </c>
      <c r="B25" t="s">
        <v>688</v>
      </c>
      <c r="C25" t="s">
        <v>74</v>
      </c>
      <c r="D25" t="s">
        <v>74</v>
      </c>
      <c r="E25" t="s">
        <v>74</v>
      </c>
      <c r="F25" t="s">
        <v>689</v>
      </c>
      <c r="G25" t="s">
        <v>74</v>
      </c>
      <c r="H25" t="s">
        <v>74</v>
      </c>
      <c r="I25" t="s">
        <v>690</v>
      </c>
      <c r="J25" t="s">
        <v>691</v>
      </c>
      <c r="K25" t="s">
        <v>74</v>
      </c>
      <c r="L25" t="s">
        <v>74</v>
      </c>
      <c r="M25" t="s">
        <v>78</v>
      </c>
      <c r="N25" t="s">
        <v>79</v>
      </c>
      <c r="O25" t="s">
        <v>74</v>
      </c>
      <c r="P25" t="s">
        <v>74</v>
      </c>
      <c r="Q25" t="s">
        <v>74</v>
      </c>
      <c r="R25" t="s">
        <v>74</v>
      </c>
      <c r="S25" t="s">
        <v>74</v>
      </c>
      <c r="T25" t="s">
        <v>692</v>
      </c>
      <c r="U25" t="s">
        <v>693</v>
      </c>
      <c r="V25" t="s">
        <v>694</v>
      </c>
      <c r="W25" t="s">
        <v>695</v>
      </c>
      <c r="X25" t="s">
        <v>696</v>
      </c>
      <c r="Y25" t="s">
        <v>697</v>
      </c>
      <c r="Z25" t="s">
        <v>698</v>
      </c>
      <c r="AA25" t="s">
        <v>74</v>
      </c>
      <c r="AB25" t="s">
        <v>699</v>
      </c>
      <c r="AC25" t="s">
        <v>700</v>
      </c>
      <c r="AD25" t="s">
        <v>701</v>
      </c>
      <c r="AE25" t="s">
        <v>702</v>
      </c>
      <c r="AF25" t="s">
        <v>74</v>
      </c>
      <c r="AG25">
        <v>25</v>
      </c>
      <c r="AH25">
        <v>2</v>
      </c>
      <c r="AI25">
        <v>2</v>
      </c>
      <c r="AJ25">
        <v>2</v>
      </c>
      <c r="AK25">
        <v>16</v>
      </c>
      <c r="AL25" t="s">
        <v>703</v>
      </c>
      <c r="AM25" t="s">
        <v>704</v>
      </c>
      <c r="AN25" t="s">
        <v>705</v>
      </c>
      <c r="AO25" t="s">
        <v>706</v>
      </c>
      <c r="AP25" t="s">
        <v>707</v>
      </c>
      <c r="AQ25" t="s">
        <v>74</v>
      </c>
      <c r="AR25" t="s">
        <v>708</v>
      </c>
      <c r="AS25" t="s">
        <v>709</v>
      </c>
      <c r="AT25" t="s">
        <v>710</v>
      </c>
      <c r="AU25">
        <v>2023</v>
      </c>
      <c r="AV25">
        <v>44</v>
      </c>
      <c r="AW25">
        <v>1</v>
      </c>
      <c r="AX25" t="s">
        <v>74</v>
      </c>
      <c r="AY25" t="s">
        <v>74</v>
      </c>
      <c r="AZ25" t="s">
        <v>74</v>
      </c>
      <c r="BA25" t="s">
        <v>74</v>
      </c>
      <c r="BB25">
        <v>142</v>
      </c>
      <c r="BC25">
        <v>156</v>
      </c>
      <c r="BD25" t="s">
        <v>74</v>
      </c>
      <c r="BE25" t="s">
        <v>711</v>
      </c>
      <c r="BF25" t="str">
        <f>HYPERLINK("http://dx.doi.org/10.1080/01431161.2022.2161851","http://dx.doi.org/10.1080/01431161.2022.2161851")</f>
        <v>http://dx.doi.org/10.1080/01431161.2022.2161851</v>
      </c>
      <c r="BG25" t="s">
        <v>74</v>
      </c>
      <c r="BH25" t="s">
        <v>74</v>
      </c>
      <c r="BI25">
        <v>15</v>
      </c>
      <c r="BJ25" t="s">
        <v>712</v>
      </c>
      <c r="BK25" t="s">
        <v>104</v>
      </c>
      <c r="BL25" t="s">
        <v>712</v>
      </c>
      <c r="BM25" t="s">
        <v>713</v>
      </c>
      <c r="BN25" t="s">
        <v>74</v>
      </c>
      <c r="BO25" t="s">
        <v>74</v>
      </c>
      <c r="BP25" t="s">
        <v>74</v>
      </c>
      <c r="BQ25" t="s">
        <v>74</v>
      </c>
      <c r="BR25" t="s">
        <v>108</v>
      </c>
      <c r="BS25" t="s">
        <v>714</v>
      </c>
      <c r="BT25" t="str">
        <f>HYPERLINK("https%3A%2F%2Fwww.webofscience.com%2Fwos%2Fwoscc%2Ffull-record%2FWOS:000907886000001","View Full Record in Web of Science")</f>
        <v>View Full Record in Web of Science</v>
      </c>
    </row>
    <row r="26" spans="1:72" x14ac:dyDescent="0.15">
      <c r="A26" t="s">
        <v>72</v>
      </c>
      <c r="B26" t="s">
        <v>715</v>
      </c>
      <c r="C26" t="s">
        <v>74</v>
      </c>
      <c r="D26" t="s">
        <v>74</v>
      </c>
      <c r="E26" t="s">
        <v>74</v>
      </c>
      <c r="F26" t="s">
        <v>716</v>
      </c>
      <c r="G26" t="s">
        <v>74</v>
      </c>
      <c r="H26" t="s">
        <v>74</v>
      </c>
      <c r="I26" t="s">
        <v>717</v>
      </c>
      <c r="J26" t="s">
        <v>718</v>
      </c>
      <c r="K26" t="s">
        <v>74</v>
      </c>
      <c r="L26" t="s">
        <v>74</v>
      </c>
      <c r="M26" t="s">
        <v>78</v>
      </c>
      <c r="N26" t="s">
        <v>79</v>
      </c>
      <c r="O26" t="s">
        <v>74</v>
      </c>
      <c r="P26" t="s">
        <v>74</v>
      </c>
      <c r="Q26" t="s">
        <v>74</v>
      </c>
      <c r="R26" t="s">
        <v>74</v>
      </c>
      <c r="S26" t="s">
        <v>74</v>
      </c>
      <c r="T26" t="s">
        <v>74</v>
      </c>
      <c r="U26" t="s">
        <v>719</v>
      </c>
      <c r="V26" t="s">
        <v>720</v>
      </c>
      <c r="W26" t="s">
        <v>721</v>
      </c>
      <c r="X26" t="s">
        <v>722</v>
      </c>
      <c r="Y26" t="s">
        <v>723</v>
      </c>
      <c r="Z26" t="s">
        <v>724</v>
      </c>
      <c r="AA26" t="s">
        <v>725</v>
      </c>
      <c r="AB26" t="s">
        <v>726</v>
      </c>
      <c r="AC26" t="s">
        <v>727</v>
      </c>
      <c r="AD26" t="s">
        <v>728</v>
      </c>
      <c r="AE26" t="s">
        <v>729</v>
      </c>
      <c r="AF26" t="s">
        <v>74</v>
      </c>
      <c r="AG26">
        <v>87</v>
      </c>
      <c r="AH26">
        <v>2</v>
      </c>
      <c r="AI26">
        <v>2</v>
      </c>
      <c r="AJ26">
        <v>5</v>
      </c>
      <c r="AK26">
        <v>22</v>
      </c>
      <c r="AL26" t="s">
        <v>126</v>
      </c>
      <c r="AM26" t="s">
        <v>127</v>
      </c>
      <c r="AN26" t="s">
        <v>128</v>
      </c>
      <c r="AO26" t="s">
        <v>730</v>
      </c>
      <c r="AP26" t="s">
        <v>731</v>
      </c>
      <c r="AQ26" t="s">
        <v>74</v>
      </c>
      <c r="AR26" t="s">
        <v>718</v>
      </c>
      <c r="AS26" t="s">
        <v>732</v>
      </c>
      <c r="AT26" t="s">
        <v>710</v>
      </c>
      <c r="AU26">
        <v>2023</v>
      </c>
      <c r="AV26">
        <v>20</v>
      </c>
      <c r="AW26">
        <v>1</v>
      </c>
      <c r="AX26" t="s">
        <v>74</v>
      </c>
      <c r="AY26" t="s">
        <v>74</v>
      </c>
      <c r="AZ26" t="s">
        <v>74</v>
      </c>
      <c r="BA26" t="s">
        <v>74</v>
      </c>
      <c r="BB26">
        <v>1</v>
      </c>
      <c r="BC26">
        <v>14</v>
      </c>
      <c r="BD26" t="s">
        <v>74</v>
      </c>
      <c r="BE26" t="s">
        <v>733</v>
      </c>
      <c r="BF26" t="str">
        <f>HYPERLINK("http://dx.doi.org/10.5194/bg-20-1-2023","http://dx.doi.org/10.5194/bg-20-1-2023")</f>
        <v>http://dx.doi.org/10.5194/bg-20-1-2023</v>
      </c>
      <c r="BG26" t="s">
        <v>74</v>
      </c>
      <c r="BH26" t="s">
        <v>74</v>
      </c>
      <c r="BI26">
        <v>14</v>
      </c>
      <c r="BJ26" t="s">
        <v>734</v>
      </c>
      <c r="BK26" t="s">
        <v>104</v>
      </c>
      <c r="BL26" t="s">
        <v>735</v>
      </c>
      <c r="BM26" t="s">
        <v>736</v>
      </c>
      <c r="BN26" t="s">
        <v>74</v>
      </c>
      <c r="BO26" t="s">
        <v>737</v>
      </c>
      <c r="BP26" t="s">
        <v>74</v>
      </c>
      <c r="BQ26" t="s">
        <v>74</v>
      </c>
      <c r="BR26" t="s">
        <v>108</v>
      </c>
      <c r="BS26" t="s">
        <v>738</v>
      </c>
      <c r="BT26" t="str">
        <f>HYPERLINK("https%3A%2F%2Fwww.webofscience.com%2Fwos%2Fwoscc%2Ffull-record%2FWOS:000906398800001","View Full Record in Web of Science")</f>
        <v>View Full Record in Web of Science</v>
      </c>
    </row>
    <row r="27" spans="1:72" x14ac:dyDescent="0.15">
      <c r="A27" t="s">
        <v>72</v>
      </c>
      <c r="B27" t="s">
        <v>739</v>
      </c>
      <c r="C27" t="s">
        <v>74</v>
      </c>
      <c r="D27" t="s">
        <v>74</v>
      </c>
      <c r="E27" t="s">
        <v>74</v>
      </c>
      <c r="F27" t="s">
        <v>740</v>
      </c>
      <c r="G27" t="s">
        <v>74</v>
      </c>
      <c r="H27" t="s">
        <v>74</v>
      </c>
      <c r="I27" t="s">
        <v>741</v>
      </c>
      <c r="J27" t="s">
        <v>742</v>
      </c>
      <c r="K27" t="s">
        <v>74</v>
      </c>
      <c r="L27" t="s">
        <v>74</v>
      </c>
      <c r="M27" t="s">
        <v>78</v>
      </c>
      <c r="N27" t="s">
        <v>743</v>
      </c>
      <c r="O27" t="s">
        <v>74</v>
      </c>
      <c r="P27" t="s">
        <v>74</v>
      </c>
      <c r="Q27" t="s">
        <v>74</v>
      </c>
      <c r="R27" t="s">
        <v>74</v>
      </c>
      <c r="S27" t="s">
        <v>74</v>
      </c>
      <c r="T27" t="s">
        <v>744</v>
      </c>
      <c r="U27" t="s">
        <v>745</v>
      </c>
      <c r="V27" t="s">
        <v>74</v>
      </c>
      <c r="W27" t="s">
        <v>746</v>
      </c>
      <c r="X27" t="s">
        <v>747</v>
      </c>
      <c r="Y27" t="s">
        <v>748</v>
      </c>
      <c r="Z27" t="s">
        <v>749</v>
      </c>
      <c r="AA27" t="s">
        <v>74</v>
      </c>
      <c r="AB27" t="s">
        <v>74</v>
      </c>
      <c r="AC27" t="s">
        <v>74</v>
      </c>
      <c r="AD27" t="s">
        <v>74</v>
      </c>
      <c r="AE27" t="s">
        <v>74</v>
      </c>
      <c r="AF27" t="s">
        <v>74</v>
      </c>
      <c r="AG27">
        <v>17</v>
      </c>
      <c r="AH27">
        <v>0</v>
      </c>
      <c r="AI27">
        <v>0</v>
      </c>
      <c r="AJ27">
        <v>0</v>
      </c>
      <c r="AK27">
        <v>0</v>
      </c>
      <c r="AL27" t="s">
        <v>703</v>
      </c>
      <c r="AM27" t="s">
        <v>704</v>
      </c>
      <c r="AN27" t="s">
        <v>705</v>
      </c>
      <c r="AO27" t="s">
        <v>750</v>
      </c>
      <c r="AP27" t="s">
        <v>751</v>
      </c>
      <c r="AQ27" t="s">
        <v>74</v>
      </c>
      <c r="AR27" t="s">
        <v>752</v>
      </c>
      <c r="AS27" t="s">
        <v>753</v>
      </c>
      <c r="AT27" t="s">
        <v>710</v>
      </c>
      <c r="AU27">
        <v>2023</v>
      </c>
      <c r="AV27">
        <v>13</v>
      </c>
      <c r="AW27">
        <v>1</v>
      </c>
      <c r="AX27" t="s">
        <v>74</v>
      </c>
      <c r="AY27" t="s">
        <v>74</v>
      </c>
      <c r="AZ27" t="s">
        <v>754</v>
      </c>
      <c r="BA27" t="s">
        <v>74</v>
      </c>
      <c r="BB27">
        <v>1</v>
      </c>
      <c r="BC27">
        <v>5</v>
      </c>
      <c r="BD27" t="s">
        <v>74</v>
      </c>
      <c r="BE27" t="s">
        <v>755</v>
      </c>
      <c r="BF27" t="str">
        <f>HYPERLINK("http://dx.doi.org/10.1080/2154896X.2023.2205234","http://dx.doi.org/10.1080/2154896X.2023.2205234")</f>
        <v>http://dx.doi.org/10.1080/2154896X.2023.2205234</v>
      </c>
      <c r="BG27" t="s">
        <v>74</v>
      </c>
      <c r="BH27" t="s">
        <v>74</v>
      </c>
      <c r="BI27">
        <v>5</v>
      </c>
      <c r="BJ27" t="s">
        <v>756</v>
      </c>
      <c r="BK27" t="s">
        <v>757</v>
      </c>
      <c r="BL27" t="s">
        <v>758</v>
      </c>
      <c r="BM27" t="s">
        <v>759</v>
      </c>
      <c r="BN27" t="s">
        <v>74</v>
      </c>
      <c r="BO27" t="s">
        <v>74</v>
      </c>
      <c r="BP27" t="s">
        <v>74</v>
      </c>
      <c r="BQ27" t="s">
        <v>74</v>
      </c>
      <c r="BR27" t="s">
        <v>108</v>
      </c>
      <c r="BS27" t="s">
        <v>760</v>
      </c>
      <c r="BT27" t="str">
        <f>HYPERLINK("https%3A%2F%2Fwww.webofscience.com%2Fwos%2Fwoscc%2Ffull-record%2FWOS:001142101000002","View Full Record in Web of Science")</f>
        <v>View Full Record in Web of Science</v>
      </c>
    </row>
    <row r="28" spans="1:72" x14ac:dyDescent="0.15">
      <c r="A28" t="s">
        <v>72</v>
      </c>
      <c r="B28" t="s">
        <v>761</v>
      </c>
      <c r="C28" t="s">
        <v>74</v>
      </c>
      <c r="D28" t="s">
        <v>74</v>
      </c>
      <c r="E28" t="s">
        <v>74</v>
      </c>
      <c r="F28" t="s">
        <v>762</v>
      </c>
      <c r="G28" t="s">
        <v>74</v>
      </c>
      <c r="H28" t="s">
        <v>74</v>
      </c>
      <c r="I28" t="s">
        <v>763</v>
      </c>
      <c r="J28" t="s">
        <v>742</v>
      </c>
      <c r="K28" t="s">
        <v>74</v>
      </c>
      <c r="L28" t="s">
        <v>74</v>
      </c>
      <c r="M28" t="s">
        <v>78</v>
      </c>
      <c r="N28" t="s">
        <v>79</v>
      </c>
      <c r="O28" t="s">
        <v>74</v>
      </c>
      <c r="P28" t="s">
        <v>74</v>
      </c>
      <c r="Q28" t="s">
        <v>74</v>
      </c>
      <c r="R28" t="s">
        <v>74</v>
      </c>
      <c r="S28" t="s">
        <v>74</v>
      </c>
      <c r="T28" t="s">
        <v>764</v>
      </c>
      <c r="U28" t="s">
        <v>74</v>
      </c>
      <c r="V28" t="s">
        <v>765</v>
      </c>
      <c r="W28" t="s">
        <v>766</v>
      </c>
      <c r="X28" t="s">
        <v>74</v>
      </c>
      <c r="Y28" t="s">
        <v>767</v>
      </c>
      <c r="Z28" t="s">
        <v>768</v>
      </c>
      <c r="AA28" t="s">
        <v>74</v>
      </c>
      <c r="AB28" t="s">
        <v>74</v>
      </c>
      <c r="AC28" t="s">
        <v>74</v>
      </c>
      <c r="AD28" t="s">
        <v>74</v>
      </c>
      <c r="AE28" t="s">
        <v>74</v>
      </c>
      <c r="AF28" t="s">
        <v>74</v>
      </c>
      <c r="AG28">
        <v>0</v>
      </c>
      <c r="AH28">
        <v>0</v>
      </c>
      <c r="AI28">
        <v>0</v>
      </c>
      <c r="AJ28">
        <v>1</v>
      </c>
      <c r="AK28">
        <v>1</v>
      </c>
      <c r="AL28" t="s">
        <v>703</v>
      </c>
      <c r="AM28" t="s">
        <v>704</v>
      </c>
      <c r="AN28" t="s">
        <v>705</v>
      </c>
      <c r="AO28" t="s">
        <v>750</v>
      </c>
      <c r="AP28" t="s">
        <v>751</v>
      </c>
      <c r="AQ28" t="s">
        <v>74</v>
      </c>
      <c r="AR28" t="s">
        <v>752</v>
      </c>
      <c r="AS28" t="s">
        <v>753</v>
      </c>
      <c r="AT28" t="s">
        <v>710</v>
      </c>
      <c r="AU28">
        <v>2023</v>
      </c>
      <c r="AV28">
        <v>13</v>
      </c>
      <c r="AW28">
        <v>1</v>
      </c>
      <c r="AX28" t="s">
        <v>74</v>
      </c>
      <c r="AY28" t="s">
        <v>74</v>
      </c>
      <c r="AZ28" t="s">
        <v>754</v>
      </c>
      <c r="BA28" t="s">
        <v>74</v>
      </c>
      <c r="BB28">
        <v>6</v>
      </c>
      <c r="BC28">
        <v>12</v>
      </c>
      <c r="BD28" t="s">
        <v>74</v>
      </c>
      <c r="BE28" t="s">
        <v>769</v>
      </c>
      <c r="BF28" t="str">
        <f>HYPERLINK("http://dx.doi.org/10.1080/2154896X.2023.2205235","http://dx.doi.org/10.1080/2154896X.2023.2205235")</f>
        <v>http://dx.doi.org/10.1080/2154896X.2023.2205235</v>
      </c>
      <c r="BG28" t="s">
        <v>74</v>
      </c>
      <c r="BH28" t="s">
        <v>74</v>
      </c>
      <c r="BI28">
        <v>7</v>
      </c>
      <c r="BJ28" t="s">
        <v>756</v>
      </c>
      <c r="BK28" t="s">
        <v>757</v>
      </c>
      <c r="BL28" t="s">
        <v>758</v>
      </c>
      <c r="BM28" t="s">
        <v>759</v>
      </c>
      <c r="BN28" t="s">
        <v>74</v>
      </c>
      <c r="BO28" t="s">
        <v>74</v>
      </c>
      <c r="BP28" t="s">
        <v>74</v>
      </c>
      <c r="BQ28" t="s">
        <v>74</v>
      </c>
      <c r="BR28" t="s">
        <v>108</v>
      </c>
      <c r="BS28" t="s">
        <v>770</v>
      </c>
      <c r="BT28" t="str">
        <f>HYPERLINK("https%3A%2F%2Fwww.webofscience.com%2Fwos%2Fwoscc%2Ffull-record%2FWOS:001142101000003","View Full Record in Web of Science")</f>
        <v>View Full Record in Web of Science</v>
      </c>
    </row>
    <row r="29" spans="1:72" x14ac:dyDescent="0.15">
      <c r="A29" t="s">
        <v>72</v>
      </c>
      <c r="B29" t="s">
        <v>771</v>
      </c>
      <c r="C29" t="s">
        <v>74</v>
      </c>
      <c r="D29" t="s">
        <v>74</v>
      </c>
      <c r="E29" t="s">
        <v>74</v>
      </c>
      <c r="F29" t="s">
        <v>772</v>
      </c>
      <c r="G29" t="s">
        <v>74</v>
      </c>
      <c r="H29" t="s">
        <v>74</v>
      </c>
      <c r="I29" t="s">
        <v>773</v>
      </c>
      <c r="J29" t="s">
        <v>742</v>
      </c>
      <c r="K29" t="s">
        <v>74</v>
      </c>
      <c r="L29" t="s">
        <v>74</v>
      </c>
      <c r="M29" t="s">
        <v>78</v>
      </c>
      <c r="N29" t="s">
        <v>79</v>
      </c>
      <c r="O29" t="s">
        <v>74</v>
      </c>
      <c r="P29" t="s">
        <v>74</v>
      </c>
      <c r="Q29" t="s">
        <v>74</v>
      </c>
      <c r="R29" t="s">
        <v>74</v>
      </c>
      <c r="S29" t="s">
        <v>74</v>
      </c>
      <c r="T29" t="s">
        <v>774</v>
      </c>
      <c r="U29" t="s">
        <v>775</v>
      </c>
      <c r="V29" t="s">
        <v>776</v>
      </c>
      <c r="W29" t="s">
        <v>777</v>
      </c>
      <c r="X29" t="s">
        <v>778</v>
      </c>
      <c r="Y29" t="s">
        <v>779</v>
      </c>
      <c r="Z29" t="s">
        <v>780</v>
      </c>
      <c r="AA29" t="s">
        <v>74</v>
      </c>
      <c r="AB29" t="s">
        <v>781</v>
      </c>
      <c r="AC29" t="s">
        <v>74</v>
      </c>
      <c r="AD29" t="s">
        <v>74</v>
      </c>
      <c r="AE29" t="s">
        <v>74</v>
      </c>
      <c r="AF29" t="s">
        <v>74</v>
      </c>
      <c r="AG29">
        <v>64</v>
      </c>
      <c r="AH29">
        <v>0</v>
      </c>
      <c r="AI29">
        <v>0</v>
      </c>
      <c r="AJ29">
        <v>2</v>
      </c>
      <c r="AK29">
        <v>2</v>
      </c>
      <c r="AL29" t="s">
        <v>703</v>
      </c>
      <c r="AM29" t="s">
        <v>704</v>
      </c>
      <c r="AN29" t="s">
        <v>705</v>
      </c>
      <c r="AO29" t="s">
        <v>750</v>
      </c>
      <c r="AP29" t="s">
        <v>751</v>
      </c>
      <c r="AQ29" t="s">
        <v>74</v>
      </c>
      <c r="AR29" t="s">
        <v>752</v>
      </c>
      <c r="AS29" t="s">
        <v>753</v>
      </c>
      <c r="AT29" t="s">
        <v>710</v>
      </c>
      <c r="AU29">
        <v>2023</v>
      </c>
      <c r="AV29">
        <v>13</v>
      </c>
      <c r="AW29">
        <v>1</v>
      </c>
      <c r="AX29" t="s">
        <v>74</v>
      </c>
      <c r="AY29" t="s">
        <v>74</v>
      </c>
      <c r="AZ29" t="s">
        <v>754</v>
      </c>
      <c r="BA29" t="s">
        <v>74</v>
      </c>
      <c r="BB29">
        <v>13</v>
      </c>
      <c r="BC29">
        <v>30</v>
      </c>
      <c r="BD29" t="s">
        <v>74</v>
      </c>
      <c r="BE29" t="s">
        <v>782</v>
      </c>
      <c r="BF29" t="str">
        <f>HYPERLINK("http://dx.doi.org/10.1080/2154896X.2023.2205236","http://dx.doi.org/10.1080/2154896X.2023.2205236")</f>
        <v>http://dx.doi.org/10.1080/2154896X.2023.2205236</v>
      </c>
      <c r="BG29" t="s">
        <v>74</v>
      </c>
      <c r="BH29" t="s">
        <v>74</v>
      </c>
      <c r="BI29">
        <v>18</v>
      </c>
      <c r="BJ29" t="s">
        <v>756</v>
      </c>
      <c r="BK29" t="s">
        <v>757</v>
      </c>
      <c r="BL29" t="s">
        <v>758</v>
      </c>
      <c r="BM29" t="s">
        <v>759</v>
      </c>
      <c r="BN29" t="s">
        <v>74</v>
      </c>
      <c r="BO29" t="s">
        <v>248</v>
      </c>
      <c r="BP29" t="s">
        <v>74</v>
      </c>
      <c r="BQ29" t="s">
        <v>74</v>
      </c>
      <c r="BR29" t="s">
        <v>108</v>
      </c>
      <c r="BS29" t="s">
        <v>783</v>
      </c>
      <c r="BT29" t="str">
        <f>HYPERLINK("https%3A%2F%2Fwww.webofscience.com%2Fwos%2Fwoscc%2Ffull-record%2FWOS:001142101000004","View Full Record in Web of Science")</f>
        <v>View Full Record in Web of Science</v>
      </c>
    </row>
    <row r="30" spans="1:72" x14ac:dyDescent="0.15">
      <c r="A30" t="s">
        <v>72</v>
      </c>
      <c r="B30" t="s">
        <v>784</v>
      </c>
      <c r="C30" t="s">
        <v>74</v>
      </c>
      <c r="D30" t="s">
        <v>74</v>
      </c>
      <c r="E30" t="s">
        <v>74</v>
      </c>
      <c r="F30" t="s">
        <v>785</v>
      </c>
      <c r="G30" t="s">
        <v>74</v>
      </c>
      <c r="H30" t="s">
        <v>74</v>
      </c>
      <c r="I30" t="s">
        <v>786</v>
      </c>
      <c r="J30" t="s">
        <v>742</v>
      </c>
      <c r="K30" t="s">
        <v>74</v>
      </c>
      <c r="L30" t="s">
        <v>74</v>
      </c>
      <c r="M30" t="s">
        <v>78</v>
      </c>
      <c r="N30" t="s">
        <v>79</v>
      </c>
      <c r="O30" t="s">
        <v>74</v>
      </c>
      <c r="P30" t="s">
        <v>74</v>
      </c>
      <c r="Q30" t="s">
        <v>74</v>
      </c>
      <c r="R30" t="s">
        <v>74</v>
      </c>
      <c r="S30" t="s">
        <v>74</v>
      </c>
      <c r="T30" t="s">
        <v>787</v>
      </c>
      <c r="U30" t="s">
        <v>788</v>
      </c>
      <c r="V30" t="s">
        <v>789</v>
      </c>
      <c r="W30" t="s">
        <v>790</v>
      </c>
      <c r="X30" t="s">
        <v>791</v>
      </c>
      <c r="Y30" t="s">
        <v>792</v>
      </c>
      <c r="Z30" t="s">
        <v>793</v>
      </c>
      <c r="AA30" t="s">
        <v>74</v>
      </c>
      <c r="AB30" t="s">
        <v>74</v>
      </c>
      <c r="AC30" t="s">
        <v>794</v>
      </c>
      <c r="AD30" t="s">
        <v>795</v>
      </c>
      <c r="AE30" t="s">
        <v>796</v>
      </c>
      <c r="AF30" t="s">
        <v>74</v>
      </c>
      <c r="AG30">
        <v>45</v>
      </c>
      <c r="AH30">
        <v>0</v>
      </c>
      <c r="AI30">
        <v>0</v>
      </c>
      <c r="AJ30">
        <v>0</v>
      </c>
      <c r="AK30">
        <v>0</v>
      </c>
      <c r="AL30" t="s">
        <v>703</v>
      </c>
      <c r="AM30" t="s">
        <v>704</v>
      </c>
      <c r="AN30" t="s">
        <v>705</v>
      </c>
      <c r="AO30" t="s">
        <v>750</v>
      </c>
      <c r="AP30" t="s">
        <v>751</v>
      </c>
      <c r="AQ30" t="s">
        <v>74</v>
      </c>
      <c r="AR30" t="s">
        <v>752</v>
      </c>
      <c r="AS30" t="s">
        <v>753</v>
      </c>
      <c r="AT30" t="s">
        <v>710</v>
      </c>
      <c r="AU30">
        <v>2023</v>
      </c>
      <c r="AV30">
        <v>13</v>
      </c>
      <c r="AW30">
        <v>1</v>
      </c>
      <c r="AX30" t="s">
        <v>74</v>
      </c>
      <c r="AY30" t="s">
        <v>74</v>
      </c>
      <c r="AZ30" t="s">
        <v>754</v>
      </c>
      <c r="BA30" t="s">
        <v>74</v>
      </c>
      <c r="BB30">
        <v>31</v>
      </c>
      <c r="BC30">
        <v>48</v>
      </c>
      <c r="BD30" t="s">
        <v>74</v>
      </c>
      <c r="BE30" t="s">
        <v>797</v>
      </c>
      <c r="BF30" t="str">
        <f>HYPERLINK("http://dx.doi.org/10.1080/2154896X.2023.2205237","http://dx.doi.org/10.1080/2154896X.2023.2205237")</f>
        <v>http://dx.doi.org/10.1080/2154896X.2023.2205237</v>
      </c>
      <c r="BG30" t="s">
        <v>74</v>
      </c>
      <c r="BH30" t="s">
        <v>74</v>
      </c>
      <c r="BI30">
        <v>18</v>
      </c>
      <c r="BJ30" t="s">
        <v>756</v>
      </c>
      <c r="BK30" t="s">
        <v>757</v>
      </c>
      <c r="BL30" t="s">
        <v>758</v>
      </c>
      <c r="BM30" t="s">
        <v>759</v>
      </c>
      <c r="BN30" t="s">
        <v>74</v>
      </c>
      <c r="BO30" t="s">
        <v>74</v>
      </c>
      <c r="BP30" t="s">
        <v>74</v>
      </c>
      <c r="BQ30" t="s">
        <v>74</v>
      </c>
      <c r="BR30" t="s">
        <v>108</v>
      </c>
      <c r="BS30" t="s">
        <v>798</v>
      </c>
      <c r="BT30" t="str">
        <f>HYPERLINK("https%3A%2F%2Fwww.webofscience.com%2Fwos%2Fwoscc%2Ffull-record%2FWOS:001142101000005","View Full Record in Web of Science")</f>
        <v>View Full Record in Web of Science</v>
      </c>
    </row>
    <row r="31" spans="1:72" x14ac:dyDescent="0.15">
      <c r="A31" t="s">
        <v>72</v>
      </c>
      <c r="B31" t="s">
        <v>799</v>
      </c>
      <c r="C31" t="s">
        <v>74</v>
      </c>
      <c r="D31" t="s">
        <v>74</v>
      </c>
      <c r="E31" t="s">
        <v>74</v>
      </c>
      <c r="F31" t="s">
        <v>800</v>
      </c>
      <c r="G31" t="s">
        <v>74</v>
      </c>
      <c r="H31" t="s">
        <v>74</v>
      </c>
      <c r="I31" t="s">
        <v>801</v>
      </c>
      <c r="J31" t="s">
        <v>742</v>
      </c>
      <c r="K31" t="s">
        <v>74</v>
      </c>
      <c r="L31" t="s">
        <v>74</v>
      </c>
      <c r="M31" t="s">
        <v>78</v>
      </c>
      <c r="N31" t="s">
        <v>79</v>
      </c>
      <c r="O31" t="s">
        <v>74</v>
      </c>
      <c r="P31" t="s">
        <v>74</v>
      </c>
      <c r="Q31" t="s">
        <v>74</v>
      </c>
      <c r="R31" t="s">
        <v>74</v>
      </c>
      <c r="S31" t="s">
        <v>74</v>
      </c>
      <c r="T31" t="s">
        <v>802</v>
      </c>
      <c r="U31" t="s">
        <v>803</v>
      </c>
      <c r="V31" t="s">
        <v>804</v>
      </c>
      <c r="W31" t="s">
        <v>805</v>
      </c>
      <c r="X31" t="s">
        <v>74</v>
      </c>
      <c r="Y31" t="s">
        <v>806</v>
      </c>
      <c r="Z31" t="s">
        <v>807</v>
      </c>
      <c r="AA31" t="s">
        <v>74</v>
      </c>
      <c r="AB31" t="s">
        <v>74</v>
      </c>
      <c r="AC31" t="s">
        <v>74</v>
      </c>
      <c r="AD31" t="s">
        <v>74</v>
      </c>
      <c r="AE31" t="s">
        <v>74</v>
      </c>
      <c r="AF31" t="s">
        <v>74</v>
      </c>
      <c r="AG31">
        <v>86</v>
      </c>
      <c r="AH31">
        <v>0</v>
      </c>
      <c r="AI31">
        <v>0</v>
      </c>
      <c r="AJ31">
        <v>0</v>
      </c>
      <c r="AK31">
        <v>0</v>
      </c>
      <c r="AL31" t="s">
        <v>703</v>
      </c>
      <c r="AM31" t="s">
        <v>704</v>
      </c>
      <c r="AN31" t="s">
        <v>705</v>
      </c>
      <c r="AO31" t="s">
        <v>750</v>
      </c>
      <c r="AP31" t="s">
        <v>751</v>
      </c>
      <c r="AQ31" t="s">
        <v>74</v>
      </c>
      <c r="AR31" t="s">
        <v>752</v>
      </c>
      <c r="AS31" t="s">
        <v>753</v>
      </c>
      <c r="AT31" t="s">
        <v>710</v>
      </c>
      <c r="AU31">
        <v>2023</v>
      </c>
      <c r="AV31">
        <v>13</v>
      </c>
      <c r="AW31">
        <v>1</v>
      </c>
      <c r="AX31" t="s">
        <v>74</v>
      </c>
      <c r="AY31" t="s">
        <v>74</v>
      </c>
      <c r="AZ31" t="s">
        <v>754</v>
      </c>
      <c r="BA31" t="s">
        <v>74</v>
      </c>
      <c r="BB31">
        <v>49</v>
      </c>
      <c r="BC31">
        <v>70</v>
      </c>
      <c r="BD31" t="s">
        <v>74</v>
      </c>
      <c r="BE31" t="s">
        <v>808</v>
      </c>
      <c r="BF31" t="str">
        <f>HYPERLINK("http://dx.doi.org/10.1080/2154896X.2023.2205238","http://dx.doi.org/10.1080/2154896X.2023.2205238")</f>
        <v>http://dx.doi.org/10.1080/2154896X.2023.2205238</v>
      </c>
      <c r="BG31" t="s">
        <v>74</v>
      </c>
      <c r="BH31" t="s">
        <v>74</v>
      </c>
      <c r="BI31">
        <v>22</v>
      </c>
      <c r="BJ31" t="s">
        <v>756</v>
      </c>
      <c r="BK31" t="s">
        <v>757</v>
      </c>
      <c r="BL31" t="s">
        <v>758</v>
      </c>
      <c r="BM31" t="s">
        <v>759</v>
      </c>
      <c r="BN31" t="s">
        <v>74</v>
      </c>
      <c r="BO31" t="s">
        <v>74</v>
      </c>
      <c r="BP31" t="s">
        <v>74</v>
      </c>
      <c r="BQ31" t="s">
        <v>74</v>
      </c>
      <c r="BR31" t="s">
        <v>108</v>
      </c>
      <c r="BS31" t="s">
        <v>809</v>
      </c>
      <c r="BT31" t="str">
        <f>HYPERLINK("https%3A%2F%2Fwww.webofscience.com%2Fwos%2Fwoscc%2Ffull-record%2FWOS:001142101000006","View Full Record in Web of Science")</f>
        <v>View Full Record in Web of Science</v>
      </c>
    </row>
    <row r="32" spans="1:72" x14ac:dyDescent="0.15">
      <c r="A32" t="s">
        <v>72</v>
      </c>
      <c r="B32" t="s">
        <v>810</v>
      </c>
      <c r="C32" t="s">
        <v>74</v>
      </c>
      <c r="D32" t="s">
        <v>74</v>
      </c>
      <c r="E32" t="s">
        <v>74</v>
      </c>
      <c r="F32" t="s">
        <v>811</v>
      </c>
      <c r="G32" t="s">
        <v>74</v>
      </c>
      <c r="H32" t="s">
        <v>74</v>
      </c>
      <c r="I32" t="s">
        <v>812</v>
      </c>
      <c r="J32" t="s">
        <v>742</v>
      </c>
      <c r="K32" t="s">
        <v>74</v>
      </c>
      <c r="L32" t="s">
        <v>74</v>
      </c>
      <c r="M32" t="s">
        <v>78</v>
      </c>
      <c r="N32" t="s">
        <v>79</v>
      </c>
      <c r="O32" t="s">
        <v>74</v>
      </c>
      <c r="P32" t="s">
        <v>74</v>
      </c>
      <c r="Q32" t="s">
        <v>74</v>
      </c>
      <c r="R32" t="s">
        <v>74</v>
      </c>
      <c r="S32" t="s">
        <v>74</v>
      </c>
      <c r="T32" t="s">
        <v>813</v>
      </c>
      <c r="U32" t="s">
        <v>74</v>
      </c>
      <c r="V32" t="s">
        <v>814</v>
      </c>
      <c r="W32" t="s">
        <v>815</v>
      </c>
      <c r="X32" t="s">
        <v>74</v>
      </c>
      <c r="Y32" t="s">
        <v>816</v>
      </c>
      <c r="Z32" t="s">
        <v>817</v>
      </c>
      <c r="AA32" t="s">
        <v>74</v>
      </c>
      <c r="AB32" t="s">
        <v>74</v>
      </c>
      <c r="AC32" t="s">
        <v>74</v>
      </c>
      <c r="AD32" t="s">
        <v>74</v>
      </c>
      <c r="AE32" t="s">
        <v>74</v>
      </c>
      <c r="AF32" t="s">
        <v>74</v>
      </c>
      <c r="AG32">
        <v>0</v>
      </c>
      <c r="AH32">
        <v>0</v>
      </c>
      <c r="AI32">
        <v>0</v>
      </c>
      <c r="AJ32">
        <v>0</v>
      </c>
      <c r="AK32">
        <v>0</v>
      </c>
      <c r="AL32" t="s">
        <v>703</v>
      </c>
      <c r="AM32" t="s">
        <v>704</v>
      </c>
      <c r="AN32" t="s">
        <v>705</v>
      </c>
      <c r="AO32" t="s">
        <v>750</v>
      </c>
      <c r="AP32" t="s">
        <v>751</v>
      </c>
      <c r="AQ32" t="s">
        <v>74</v>
      </c>
      <c r="AR32" t="s">
        <v>752</v>
      </c>
      <c r="AS32" t="s">
        <v>753</v>
      </c>
      <c r="AT32" t="s">
        <v>710</v>
      </c>
      <c r="AU32">
        <v>2023</v>
      </c>
      <c r="AV32">
        <v>13</v>
      </c>
      <c r="AW32">
        <v>1</v>
      </c>
      <c r="AX32" t="s">
        <v>74</v>
      </c>
      <c r="AY32" t="s">
        <v>74</v>
      </c>
      <c r="AZ32" t="s">
        <v>754</v>
      </c>
      <c r="BA32" t="s">
        <v>74</v>
      </c>
      <c r="BB32">
        <v>71</v>
      </c>
      <c r="BC32">
        <v>85</v>
      </c>
      <c r="BD32" t="s">
        <v>74</v>
      </c>
      <c r="BE32" t="s">
        <v>818</v>
      </c>
      <c r="BF32" t="str">
        <f>HYPERLINK("http://dx.doi.org/10.1080/2154896X.2023.2205239","http://dx.doi.org/10.1080/2154896X.2023.2205239")</f>
        <v>http://dx.doi.org/10.1080/2154896X.2023.2205239</v>
      </c>
      <c r="BG32" t="s">
        <v>74</v>
      </c>
      <c r="BH32" t="s">
        <v>74</v>
      </c>
      <c r="BI32">
        <v>15</v>
      </c>
      <c r="BJ32" t="s">
        <v>756</v>
      </c>
      <c r="BK32" t="s">
        <v>757</v>
      </c>
      <c r="BL32" t="s">
        <v>758</v>
      </c>
      <c r="BM32" t="s">
        <v>759</v>
      </c>
      <c r="BN32" t="s">
        <v>74</v>
      </c>
      <c r="BO32" t="s">
        <v>74</v>
      </c>
      <c r="BP32" t="s">
        <v>74</v>
      </c>
      <c r="BQ32" t="s">
        <v>74</v>
      </c>
      <c r="BR32" t="s">
        <v>108</v>
      </c>
      <c r="BS32" t="s">
        <v>819</v>
      </c>
      <c r="BT32" t="str">
        <f>HYPERLINK("https%3A%2F%2Fwww.webofscience.com%2Fwos%2Fwoscc%2Ffull-record%2FWOS:001142101000007","View Full Record in Web of Science")</f>
        <v>View Full Record in Web of Science</v>
      </c>
    </row>
    <row r="33" spans="1:72" x14ac:dyDescent="0.15">
      <c r="A33" t="s">
        <v>72</v>
      </c>
      <c r="B33" t="s">
        <v>820</v>
      </c>
      <c r="C33" t="s">
        <v>74</v>
      </c>
      <c r="D33" t="s">
        <v>74</v>
      </c>
      <c r="E33" t="s">
        <v>74</v>
      </c>
      <c r="F33" t="s">
        <v>821</v>
      </c>
      <c r="G33" t="s">
        <v>74</v>
      </c>
      <c r="H33" t="s">
        <v>74</v>
      </c>
      <c r="I33" t="s">
        <v>822</v>
      </c>
      <c r="J33" t="s">
        <v>742</v>
      </c>
      <c r="K33" t="s">
        <v>74</v>
      </c>
      <c r="L33" t="s">
        <v>74</v>
      </c>
      <c r="M33" t="s">
        <v>78</v>
      </c>
      <c r="N33" t="s">
        <v>79</v>
      </c>
      <c r="O33" t="s">
        <v>74</v>
      </c>
      <c r="P33" t="s">
        <v>74</v>
      </c>
      <c r="Q33" t="s">
        <v>74</v>
      </c>
      <c r="R33" t="s">
        <v>74</v>
      </c>
      <c r="S33" t="s">
        <v>74</v>
      </c>
      <c r="T33" t="s">
        <v>823</v>
      </c>
      <c r="U33" t="s">
        <v>74</v>
      </c>
      <c r="V33" t="s">
        <v>824</v>
      </c>
      <c r="W33" t="s">
        <v>825</v>
      </c>
      <c r="X33" t="s">
        <v>826</v>
      </c>
      <c r="Y33" t="s">
        <v>827</v>
      </c>
      <c r="Z33" t="s">
        <v>828</v>
      </c>
      <c r="AA33" t="s">
        <v>74</v>
      </c>
      <c r="AB33" t="s">
        <v>74</v>
      </c>
      <c r="AC33" t="s">
        <v>74</v>
      </c>
      <c r="AD33" t="s">
        <v>74</v>
      </c>
      <c r="AE33" t="s">
        <v>74</v>
      </c>
      <c r="AF33" t="s">
        <v>74</v>
      </c>
      <c r="AG33">
        <v>41</v>
      </c>
      <c r="AH33">
        <v>1</v>
      </c>
      <c r="AI33">
        <v>1</v>
      </c>
      <c r="AJ33">
        <v>2</v>
      </c>
      <c r="AK33">
        <v>2</v>
      </c>
      <c r="AL33" t="s">
        <v>703</v>
      </c>
      <c r="AM33" t="s">
        <v>704</v>
      </c>
      <c r="AN33" t="s">
        <v>705</v>
      </c>
      <c r="AO33" t="s">
        <v>750</v>
      </c>
      <c r="AP33" t="s">
        <v>751</v>
      </c>
      <c r="AQ33" t="s">
        <v>74</v>
      </c>
      <c r="AR33" t="s">
        <v>752</v>
      </c>
      <c r="AS33" t="s">
        <v>753</v>
      </c>
      <c r="AT33" t="s">
        <v>710</v>
      </c>
      <c r="AU33">
        <v>2023</v>
      </c>
      <c r="AV33">
        <v>13</v>
      </c>
      <c r="AW33">
        <v>1</v>
      </c>
      <c r="AX33" t="s">
        <v>74</v>
      </c>
      <c r="AY33" t="s">
        <v>74</v>
      </c>
      <c r="AZ33" t="s">
        <v>754</v>
      </c>
      <c r="BA33" t="s">
        <v>74</v>
      </c>
      <c r="BB33">
        <v>86</v>
      </c>
      <c r="BC33">
        <v>104</v>
      </c>
      <c r="BD33" t="s">
        <v>74</v>
      </c>
      <c r="BE33" t="s">
        <v>829</v>
      </c>
      <c r="BF33" t="str">
        <f>HYPERLINK("http://dx.doi.org/10.1080/2154896X.2023.2205240","http://dx.doi.org/10.1080/2154896X.2023.2205240")</f>
        <v>http://dx.doi.org/10.1080/2154896X.2023.2205240</v>
      </c>
      <c r="BG33" t="s">
        <v>74</v>
      </c>
      <c r="BH33" t="s">
        <v>74</v>
      </c>
      <c r="BI33">
        <v>19</v>
      </c>
      <c r="BJ33" t="s">
        <v>756</v>
      </c>
      <c r="BK33" t="s">
        <v>757</v>
      </c>
      <c r="BL33" t="s">
        <v>758</v>
      </c>
      <c r="BM33" t="s">
        <v>759</v>
      </c>
      <c r="BN33" t="s">
        <v>74</v>
      </c>
      <c r="BO33" t="s">
        <v>74</v>
      </c>
      <c r="BP33" t="s">
        <v>74</v>
      </c>
      <c r="BQ33" t="s">
        <v>74</v>
      </c>
      <c r="BR33" t="s">
        <v>108</v>
      </c>
      <c r="BS33" t="s">
        <v>830</v>
      </c>
      <c r="BT33" t="str">
        <f>HYPERLINK("https%3A%2F%2Fwww.webofscience.com%2Fwos%2Fwoscc%2Ffull-record%2FWOS:001142101000008","View Full Record in Web of Science")</f>
        <v>View Full Record in Web of Science</v>
      </c>
    </row>
    <row r="34" spans="1:72" x14ac:dyDescent="0.15">
      <c r="A34" t="s">
        <v>72</v>
      </c>
      <c r="B34" t="s">
        <v>831</v>
      </c>
      <c r="C34" t="s">
        <v>74</v>
      </c>
      <c r="D34" t="s">
        <v>74</v>
      </c>
      <c r="E34" t="s">
        <v>74</v>
      </c>
      <c r="F34" t="s">
        <v>832</v>
      </c>
      <c r="G34" t="s">
        <v>74</v>
      </c>
      <c r="H34" t="s">
        <v>74</v>
      </c>
      <c r="I34" t="s">
        <v>833</v>
      </c>
      <c r="J34" t="s">
        <v>742</v>
      </c>
      <c r="K34" t="s">
        <v>74</v>
      </c>
      <c r="L34" t="s">
        <v>74</v>
      </c>
      <c r="M34" t="s">
        <v>78</v>
      </c>
      <c r="N34" t="s">
        <v>79</v>
      </c>
      <c r="O34" t="s">
        <v>74</v>
      </c>
      <c r="P34" t="s">
        <v>74</v>
      </c>
      <c r="Q34" t="s">
        <v>74</v>
      </c>
      <c r="R34" t="s">
        <v>74</v>
      </c>
      <c r="S34" t="s">
        <v>74</v>
      </c>
      <c r="T34" t="s">
        <v>834</v>
      </c>
      <c r="U34" t="s">
        <v>835</v>
      </c>
      <c r="V34" t="s">
        <v>836</v>
      </c>
      <c r="W34" t="s">
        <v>837</v>
      </c>
      <c r="X34" t="s">
        <v>838</v>
      </c>
      <c r="Y34" t="s">
        <v>839</v>
      </c>
      <c r="Z34" t="s">
        <v>840</v>
      </c>
      <c r="AA34" t="s">
        <v>841</v>
      </c>
      <c r="AB34" t="s">
        <v>842</v>
      </c>
      <c r="AC34" t="s">
        <v>74</v>
      </c>
      <c r="AD34" t="s">
        <v>74</v>
      </c>
      <c r="AE34" t="s">
        <v>74</v>
      </c>
      <c r="AF34" t="s">
        <v>74</v>
      </c>
      <c r="AG34">
        <v>50</v>
      </c>
      <c r="AH34">
        <v>1</v>
      </c>
      <c r="AI34">
        <v>1</v>
      </c>
      <c r="AJ34">
        <v>0</v>
      </c>
      <c r="AK34">
        <v>0</v>
      </c>
      <c r="AL34" t="s">
        <v>703</v>
      </c>
      <c r="AM34" t="s">
        <v>704</v>
      </c>
      <c r="AN34" t="s">
        <v>705</v>
      </c>
      <c r="AO34" t="s">
        <v>750</v>
      </c>
      <c r="AP34" t="s">
        <v>751</v>
      </c>
      <c r="AQ34" t="s">
        <v>74</v>
      </c>
      <c r="AR34" t="s">
        <v>752</v>
      </c>
      <c r="AS34" t="s">
        <v>753</v>
      </c>
      <c r="AT34" t="s">
        <v>710</v>
      </c>
      <c r="AU34">
        <v>2023</v>
      </c>
      <c r="AV34">
        <v>13</v>
      </c>
      <c r="AW34">
        <v>1</v>
      </c>
      <c r="AX34" t="s">
        <v>74</v>
      </c>
      <c r="AY34" t="s">
        <v>74</v>
      </c>
      <c r="AZ34" t="s">
        <v>754</v>
      </c>
      <c r="BA34" t="s">
        <v>74</v>
      </c>
      <c r="BB34">
        <v>105</v>
      </c>
      <c r="BC34">
        <v>125</v>
      </c>
      <c r="BD34" t="s">
        <v>74</v>
      </c>
      <c r="BE34" t="s">
        <v>843</v>
      </c>
      <c r="BF34" t="str">
        <f>HYPERLINK("http://dx.doi.org/10.1080/2154896X.2023.2205241","http://dx.doi.org/10.1080/2154896X.2023.2205241")</f>
        <v>http://dx.doi.org/10.1080/2154896X.2023.2205241</v>
      </c>
      <c r="BG34" t="s">
        <v>74</v>
      </c>
      <c r="BH34" t="s">
        <v>74</v>
      </c>
      <c r="BI34">
        <v>21</v>
      </c>
      <c r="BJ34" t="s">
        <v>756</v>
      </c>
      <c r="BK34" t="s">
        <v>757</v>
      </c>
      <c r="BL34" t="s">
        <v>758</v>
      </c>
      <c r="BM34" t="s">
        <v>759</v>
      </c>
      <c r="BN34" t="s">
        <v>74</v>
      </c>
      <c r="BO34" t="s">
        <v>219</v>
      </c>
      <c r="BP34" t="s">
        <v>74</v>
      </c>
      <c r="BQ34" t="s">
        <v>74</v>
      </c>
      <c r="BR34" t="s">
        <v>108</v>
      </c>
      <c r="BS34" t="s">
        <v>844</v>
      </c>
      <c r="BT34" t="str">
        <f>HYPERLINK("https%3A%2F%2Fwww.webofscience.com%2Fwos%2Fwoscc%2Ffull-record%2FWOS:001142101000009","View Full Record in Web of Science")</f>
        <v>View Full Record in Web of Science</v>
      </c>
    </row>
    <row r="35" spans="1:72" x14ac:dyDescent="0.15">
      <c r="A35" t="s">
        <v>72</v>
      </c>
      <c r="B35" t="s">
        <v>845</v>
      </c>
      <c r="C35" t="s">
        <v>74</v>
      </c>
      <c r="D35" t="s">
        <v>74</v>
      </c>
      <c r="E35" t="s">
        <v>74</v>
      </c>
      <c r="F35" t="s">
        <v>846</v>
      </c>
      <c r="G35" t="s">
        <v>74</v>
      </c>
      <c r="H35" t="s">
        <v>74</v>
      </c>
      <c r="I35" t="s">
        <v>847</v>
      </c>
      <c r="J35" t="s">
        <v>742</v>
      </c>
      <c r="K35" t="s">
        <v>74</v>
      </c>
      <c r="L35" t="s">
        <v>74</v>
      </c>
      <c r="M35" t="s">
        <v>78</v>
      </c>
      <c r="N35" t="s">
        <v>743</v>
      </c>
      <c r="O35" t="s">
        <v>74</v>
      </c>
      <c r="P35" t="s">
        <v>74</v>
      </c>
      <c r="Q35" t="s">
        <v>74</v>
      </c>
      <c r="R35" t="s">
        <v>74</v>
      </c>
      <c r="S35" t="s">
        <v>74</v>
      </c>
      <c r="T35" t="s">
        <v>74</v>
      </c>
      <c r="U35" t="s">
        <v>74</v>
      </c>
      <c r="V35" t="s">
        <v>74</v>
      </c>
      <c r="W35" t="s">
        <v>848</v>
      </c>
      <c r="X35" t="s">
        <v>849</v>
      </c>
      <c r="Y35" t="s">
        <v>850</v>
      </c>
      <c r="Z35" t="s">
        <v>851</v>
      </c>
      <c r="AA35" t="s">
        <v>74</v>
      </c>
      <c r="AB35" t="s">
        <v>74</v>
      </c>
      <c r="AC35" t="s">
        <v>852</v>
      </c>
      <c r="AD35" t="s">
        <v>852</v>
      </c>
      <c r="AE35" t="s">
        <v>853</v>
      </c>
      <c r="AF35" t="s">
        <v>74</v>
      </c>
      <c r="AG35">
        <v>0</v>
      </c>
      <c r="AH35">
        <v>0</v>
      </c>
      <c r="AI35">
        <v>0</v>
      </c>
      <c r="AJ35">
        <v>0</v>
      </c>
      <c r="AK35">
        <v>0</v>
      </c>
      <c r="AL35" t="s">
        <v>703</v>
      </c>
      <c r="AM35" t="s">
        <v>704</v>
      </c>
      <c r="AN35" t="s">
        <v>705</v>
      </c>
      <c r="AO35" t="s">
        <v>750</v>
      </c>
      <c r="AP35" t="s">
        <v>751</v>
      </c>
      <c r="AQ35" t="s">
        <v>74</v>
      </c>
      <c r="AR35" t="s">
        <v>752</v>
      </c>
      <c r="AS35" t="s">
        <v>753</v>
      </c>
      <c r="AT35" t="s">
        <v>710</v>
      </c>
      <c r="AU35">
        <v>2023</v>
      </c>
      <c r="AV35">
        <v>13</v>
      </c>
      <c r="AW35">
        <v>1</v>
      </c>
      <c r="AX35" t="s">
        <v>74</v>
      </c>
      <c r="AY35" t="s">
        <v>74</v>
      </c>
      <c r="AZ35" t="s">
        <v>754</v>
      </c>
      <c r="BA35" t="s">
        <v>74</v>
      </c>
      <c r="BB35">
        <v>163</v>
      </c>
      <c r="BC35">
        <v>165</v>
      </c>
      <c r="BD35" t="s">
        <v>74</v>
      </c>
      <c r="BE35" t="s">
        <v>854</v>
      </c>
      <c r="BF35" t="str">
        <f>HYPERLINK("http://dx.doi.org/10.1080/2154896X.2023.2205244","http://dx.doi.org/10.1080/2154896X.2023.2205244")</f>
        <v>http://dx.doi.org/10.1080/2154896X.2023.2205244</v>
      </c>
      <c r="BG35" t="s">
        <v>74</v>
      </c>
      <c r="BH35" t="s">
        <v>74</v>
      </c>
      <c r="BI35">
        <v>3</v>
      </c>
      <c r="BJ35" t="s">
        <v>756</v>
      </c>
      <c r="BK35" t="s">
        <v>757</v>
      </c>
      <c r="BL35" t="s">
        <v>758</v>
      </c>
      <c r="BM35" t="s">
        <v>759</v>
      </c>
      <c r="BN35" t="s">
        <v>74</v>
      </c>
      <c r="BO35" t="s">
        <v>74</v>
      </c>
      <c r="BP35" t="s">
        <v>74</v>
      </c>
      <c r="BQ35" t="s">
        <v>74</v>
      </c>
      <c r="BR35" t="s">
        <v>108</v>
      </c>
      <c r="BS35" t="s">
        <v>855</v>
      </c>
      <c r="BT35" t="str">
        <f>HYPERLINK("https%3A%2F%2Fwww.webofscience.com%2Fwos%2Fwoscc%2Ffull-record%2FWOS:001142101000012","View Full Record in Web of Science")</f>
        <v>View Full Record in Web of Science</v>
      </c>
    </row>
    <row r="36" spans="1:72" x14ac:dyDescent="0.15">
      <c r="A36" t="s">
        <v>72</v>
      </c>
      <c r="B36" t="s">
        <v>856</v>
      </c>
      <c r="C36" t="s">
        <v>74</v>
      </c>
      <c r="D36" t="s">
        <v>74</v>
      </c>
      <c r="E36" t="s">
        <v>74</v>
      </c>
      <c r="F36" t="s">
        <v>857</v>
      </c>
      <c r="G36" t="s">
        <v>74</v>
      </c>
      <c r="H36" t="s">
        <v>74</v>
      </c>
      <c r="I36" t="s">
        <v>858</v>
      </c>
      <c r="J36" t="s">
        <v>742</v>
      </c>
      <c r="K36" t="s">
        <v>74</v>
      </c>
      <c r="L36" t="s">
        <v>74</v>
      </c>
      <c r="M36" t="s">
        <v>78</v>
      </c>
      <c r="N36" t="s">
        <v>743</v>
      </c>
      <c r="O36" t="s">
        <v>74</v>
      </c>
      <c r="P36" t="s">
        <v>74</v>
      </c>
      <c r="Q36" t="s">
        <v>74</v>
      </c>
      <c r="R36" t="s">
        <v>74</v>
      </c>
      <c r="S36" t="s">
        <v>74</v>
      </c>
      <c r="T36" t="s">
        <v>74</v>
      </c>
      <c r="U36" t="s">
        <v>74</v>
      </c>
      <c r="V36" t="s">
        <v>74</v>
      </c>
      <c r="W36" t="s">
        <v>859</v>
      </c>
      <c r="X36" t="s">
        <v>860</v>
      </c>
      <c r="Y36" t="s">
        <v>861</v>
      </c>
      <c r="Z36" t="s">
        <v>862</v>
      </c>
      <c r="AA36" t="s">
        <v>74</v>
      </c>
      <c r="AB36" t="s">
        <v>863</v>
      </c>
      <c r="AC36" t="s">
        <v>74</v>
      </c>
      <c r="AD36" t="s">
        <v>74</v>
      </c>
      <c r="AE36" t="s">
        <v>74</v>
      </c>
      <c r="AF36" t="s">
        <v>74</v>
      </c>
      <c r="AG36">
        <v>0</v>
      </c>
      <c r="AH36">
        <v>0</v>
      </c>
      <c r="AI36">
        <v>0</v>
      </c>
      <c r="AJ36">
        <v>0</v>
      </c>
      <c r="AK36">
        <v>0</v>
      </c>
      <c r="AL36" t="s">
        <v>703</v>
      </c>
      <c r="AM36" t="s">
        <v>704</v>
      </c>
      <c r="AN36" t="s">
        <v>705</v>
      </c>
      <c r="AO36" t="s">
        <v>750</v>
      </c>
      <c r="AP36" t="s">
        <v>751</v>
      </c>
      <c r="AQ36" t="s">
        <v>74</v>
      </c>
      <c r="AR36" t="s">
        <v>752</v>
      </c>
      <c r="AS36" t="s">
        <v>753</v>
      </c>
      <c r="AT36" t="s">
        <v>710</v>
      </c>
      <c r="AU36">
        <v>2023</v>
      </c>
      <c r="AV36">
        <v>13</v>
      </c>
      <c r="AW36">
        <v>1</v>
      </c>
      <c r="AX36" t="s">
        <v>74</v>
      </c>
      <c r="AY36" t="s">
        <v>74</v>
      </c>
      <c r="AZ36" t="s">
        <v>754</v>
      </c>
      <c r="BA36" t="s">
        <v>74</v>
      </c>
      <c r="BB36">
        <v>169</v>
      </c>
      <c r="BC36">
        <v>171</v>
      </c>
      <c r="BD36" t="s">
        <v>74</v>
      </c>
      <c r="BE36" t="s">
        <v>864</v>
      </c>
      <c r="BF36" t="str">
        <f>HYPERLINK("http://dx.doi.org/10.1080/2154896X.2023.2205247","http://dx.doi.org/10.1080/2154896X.2023.2205247")</f>
        <v>http://dx.doi.org/10.1080/2154896X.2023.2205247</v>
      </c>
      <c r="BG36" t="s">
        <v>74</v>
      </c>
      <c r="BH36" t="s">
        <v>74</v>
      </c>
      <c r="BI36">
        <v>3</v>
      </c>
      <c r="BJ36" t="s">
        <v>756</v>
      </c>
      <c r="BK36" t="s">
        <v>757</v>
      </c>
      <c r="BL36" t="s">
        <v>758</v>
      </c>
      <c r="BM36" t="s">
        <v>759</v>
      </c>
      <c r="BN36" t="s">
        <v>74</v>
      </c>
      <c r="BO36" t="s">
        <v>74</v>
      </c>
      <c r="BP36" t="s">
        <v>74</v>
      </c>
      <c r="BQ36" t="s">
        <v>74</v>
      </c>
      <c r="BR36" t="s">
        <v>108</v>
      </c>
      <c r="BS36" t="s">
        <v>865</v>
      </c>
      <c r="BT36" t="str">
        <f>HYPERLINK("https%3A%2F%2Fwww.webofscience.com%2Fwos%2Fwoscc%2Ffull-record%2FWOS:001142101000014","View Full Record in Web of Science")</f>
        <v>View Full Record in Web of Science</v>
      </c>
    </row>
    <row r="37" spans="1:72" x14ac:dyDescent="0.15">
      <c r="A37" t="s">
        <v>72</v>
      </c>
      <c r="B37" t="s">
        <v>866</v>
      </c>
      <c r="C37" t="s">
        <v>74</v>
      </c>
      <c r="D37" t="s">
        <v>74</v>
      </c>
      <c r="E37" t="s">
        <v>74</v>
      </c>
      <c r="F37" t="s">
        <v>867</v>
      </c>
      <c r="G37" t="s">
        <v>74</v>
      </c>
      <c r="H37" t="s">
        <v>74</v>
      </c>
      <c r="I37" t="s">
        <v>868</v>
      </c>
      <c r="J37" t="s">
        <v>742</v>
      </c>
      <c r="K37" t="s">
        <v>74</v>
      </c>
      <c r="L37" t="s">
        <v>74</v>
      </c>
      <c r="M37" t="s">
        <v>78</v>
      </c>
      <c r="N37" t="s">
        <v>869</v>
      </c>
      <c r="O37" t="s">
        <v>74</v>
      </c>
      <c r="P37" t="s">
        <v>74</v>
      </c>
      <c r="Q37" t="s">
        <v>74</v>
      </c>
      <c r="R37" t="s">
        <v>74</v>
      </c>
      <c r="S37" t="s">
        <v>74</v>
      </c>
      <c r="T37" t="s">
        <v>74</v>
      </c>
      <c r="U37" t="s">
        <v>74</v>
      </c>
      <c r="V37" t="s">
        <v>74</v>
      </c>
      <c r="W37" t="s">
        <v>870</v>
      </c>
      <c r="X37" t="s">
        <v>791</v>
      </c>
      <c r="Y37" t="s">
        <v>871</v>
      </c>
      <c r="Z37" t="s">
        <v>872</v>
      </c>
      <c r="AA37" t="s">
        <v>74</v>
      </c>
      <c r="AB37" t="s">
        <v>74</v>
      </c>
      <c r="AC37" t="s">
        <v>74</v>
      </c>
      <c r="AD37" t="s">
        <v>74</v>
      </c>
      <c r="AE37" t="s">
        <v>74</v>
      </c>
      <c r="AF37" t="s">
        <v>74</v>
      </c>
      <c r="AG37">
        <v>1</v>
      </c>
      <c r="AH37">
        <v>0</v>
      </c>
      <c r="AI37">
        <v>0</v>
      </c>
      <c r="AJ37">
        <v>0</v>
      </c>
      <c r="AK37">
        <v>0</v>
      </c>
      <c r="AL37" t="s">
        <v>703</v>
      </c>
      <c r="AM37" t="s">
        <v>704</v>
      </c>
      <c r="AN37" t="s">
        <v>705</v>
      </c>
      <c r="AO37" t="s">
        <v>750</v>
      </c>
      <c r="AP37" t="s">
        <v>751</v>
      </c>
      <c r="AQ37" t="s">
        <v>74</v>
      </c>
      <c r="AR37" t="s">
        <v>752</v>
      </c>
      <c r="AS37" t="s">
        <v>753</v>
      </c>
      <c r="AT37" t="s">
        <v>710</v>
      </c>
      <c r="AU37">
        <v>2023</v>
      </c>
      <c r="AV37">
        <v>13</v>
      </c>
      <c r="AW37">
        <v>1</v>
      </c>
      <c r="AX37" t="s">
        <v>74</v>
      </c>
      <c r="AY37" t="s">
        <v>74</v>
      </c>
      <c r="AZ37" t="s">
        <v>754</v>
      </c>
      <c r="BA37" t="s">
        <v>74</v>
      </c>
      <c r="BB37">
        <v>186</v>
      </c>
      <c r="BC37">
        <v>188</v>
      </c>
      <c r="BD37" t="s">
        <v>74</v>
      </c>
      <c r="BE37" t="s">
        <v>873</v>
      </c>
      <c r="BF37" t="str">
        <f>HYPERLINK("http://dx.doi.org/10.1080/2154896X.2023.2201021","http://dx.doi.org/10.1080/2154896X.2023.2201021")</f>
        <v>http://dx.doi.org/10.1080/2154896X.2023.2201021</v>
      </c>
      <c r="BG37" t="s">
        <v>74</v>
      </c>
      <c r="BH37" t="s">
        <v>74</v>
      </c>
      <c r="BI37">
        <v>3</v>
      </c>
      <c r="BJ37" t="s">
        <v>756</v>
      </c>
      <c r="BK37" t="s">
        <v>757</v>
      </c>
      <c r="BL37" t="s">
        <v>758</v>
      </c>
      <c r="BM37" t="s">
        <v>759</v>
      </c>
      <c r="BN37" t="s">
        <v>74</v>
      </c>
      <c r="BO37" t="s">
        <v>74</v>
      </c>
      <c r="BP37" t="s">
        <v>74</v>
      </c>
      <c r="BQ37" t="s">
        <v>74</v>
      </c>
      <c r="BR37" t="s">
        <v>108</v>
      </c>
      <c r="BS37" t="s">
        <v>874</v>
      </c>
      <c r="BT37" t="str">
        <f>HYPERLINK("https%3A%2F%2Fwww.webofscience.com%2Fwos%2Fwoscc%2Ffull-record%2FWOS:001142101000017","View Full Record in Web of Science")</f>
        <v>View Full Record in Web of Science</v>
      </c>
    </row>
    <row r="38" spans="1:72" x14ac:dyDescent="0.15">
      <c r="A38" t="s">
        <v>72</v>
      </c>
      <c r="B38" t="s">
        <v>875</v>
      </c>
      <c r="C38" t="s">
        <v>74</v>
      </c>
      <c r="D38" t="s">
        <v>74</v>
      </c>
      <c r="E38" t="s">
        <v>74</v>
      </c>
      <c r="F38" t="s">
        <v>876</v>
      </c>
      <c r="G38" t="s">
        <v>74</v>
      </c>
      <c r="H38" t="s">
        <v>74</v>
      </c>
      <c r="I38" t="s">
        <v>877</v>
      </c>
      <c r="J38" t="s">
        <v>878</v>
      </c>
      <c r="K38" t="s">
        <v>74</v>
      </c>
      <c r="L38" t="s">
        <v>74</v>
      </c>
      <c r="M38" t="s">
        <v>78</v>
      </c>
      <c r="N38" t="s">
        <v>79</v>
      </c>
      <c r="O38" t="s">
        <v>74</v>
      </c>
      <c r="P38" t="s">
        <v>74</v>
      </c>
      <c r="Q38" t="s">
        <v>74</v>
      </c>
      <c r="R38" t="s">
        <v>74</v>
      </c>
      <c r="S38" t="s">
        <v>74</v>
      </c>
      <c r="T38" t="s">
        <v>879</v>
      </c>
      <c r="U38" t="s">
        <v>880</v>
      </c>
      <c r="V38" t="s">
        <v>881</v>
      </c>
      <c r="W38" t="s">
        <v>882</v>
      </c>
      <c r="X38" t="s">
        <v>883</v>
      </c>
      <c r="Y38" t="s">
        <v>884</v>
      </c>
      <c r="Z38" t="s">
        <v>885</v>
      </c>
      <c r="AA38" t="s">
        <v>74</v>
      </c>
      <c r="AB38" t="s">
        <v>886</v>
      </c>
      <c r="AC38" t="s">
        <v>74</v>
      </c>
      <c r="AD38" t="s">
        <v>74</v>
      </c>
      <c r="AE38" t="s">
        <v>74</v>
      </c>
      <c r="AF38" t="s">
        <v>74</v>
      </c>
      <c r="AG38">
        <v>20</v>
      </c>
      <c r="AH38">
        <v>0</v>
      </c>
      <c r="AI38">
        <v>0</v>
      </c>
      <c r="AJ38">
        <v>0</v>
      </c>
      <c r="AK38">
        <v>4</v>
      </c>
      <c r="AL38" t="s">
        <v>703</v>
      </c>
      <c r="AM38" t="s">
        <v>704</v>
      </c>
      <c r="AN38" t="s">
        <v>705</v>
      </c>
      <c r="AO38" t="s">
        <v>887</v>
      </c>
      <c r="AP38" t="s">
        <v>888</v>
      </c>
      <c r="AQ38" t="s">
        <v>74</v>
      </c>
      <c r="AR38" t="s">
        <v>889</v>
      </c>
      <c r="AS38" t="s">
        <v>890</v>
      </c>
      <c r="AT38" t="s">
        <v>710</v>
      </c>
      <c r="AU38">
        <v>2023</v>
      </c>
      <c r="AV38">
        <v>14</v>
      </c>
      <c r="AW38">
        <v>1</v>
      </c>
      <c r="AX38" t="s">
        <v>74</v>
      </c>
      <c r="AY38" t="s">
        <v>74</v>
      </c>
      <c r="AZ38" t="s">
        <v>74</v>
      </c>
      <c r="BA38" t="s">
        <v>74</v>
      </c>
      <c r="BB38">
        <v>10</v>
      </c>
      <c r="BC38">
        <v>20</v>
      </c>
      <c r="BD38" t="s">
        <v>74</v>
      </c>
      <c r="BE38" t="s">
        <v>891</v>
      </c>
      <c r="BF38" t="str">
        <f>HYPERLINK("http://dx.doi.org/10.1080/2150704X.2022.2152292","http://dx.doi.org/10.1080/2150704X.2022.2152292")</f>
        <v>http://dx.doi.org/10.1080/2150704X.2022.2152292</v>
      </c>
      <c r="BG38" t="s">
        <v>74</v>
      </c>
      <c r="BH38" t="s">
        <v>74</v>
      </c>
      <c r="BI38">
        <v>11</v>
      </c>
      <c r="BJ38" t="s">
        <v>712</v>
      </c>
      <c r="BK38" t="s">
        <v>104</v>
      </c>
      <c r="BL38" t="s">
        <v>712</v>
      </c>
      <c r="BM38" t="s">
        <v>892</v>
      </c>
      <c r="BN38" t="s">
        <v>74</v>
      </c>
      <c r="BO38" t="s">
        <v>74</v>
      </c>
      <c r="BP38" t="s">
        <v>74</v>
      </c>
      <c r="BQ38" t="s">
        <v>74</v>
      </c>
      <c r="BR38" t="s">
        <v>108</v>
      </c>
      <c r="BS38" t="s">
        <v>893</v>
      </c>
      <c r="BT38" t="str">
        <f>HYPERLINK("https%3A%2F%2Fwww.webofscience.com%2Fwos%2Fwoscc%2Ffull-record%2FWOS:000896955900001","View Full Record in Web of Science")</f>
        <v>View Full Record in Web of Science</v>
      </c>
    </row>
    <row r="39" spans="1:72" x14ac:dyDescent="0.15">
      <c r="A39" t="s">
        <v>894</v>
      </c>
      <c r="B39" t="s">
        <v>895</v>
      </c>
      <c r="C39" t="s">
        <v>74</v>
      </c>
      <c r="D39" t="s">
        <v>896</v>
      </c>
      <c r="E39" t="s">
        <v>74</v>
      </c>
      <c r="F39" t="s">
        <v>897</v>
      </c>
      <c r="G39" t="s">
        <v>74</v>
      </c>
      <c r="H39" t="s">
        <v>74</v>
      </c>
      <c r="I39" t="s">
        <v>898</v>
      </c>
      <c r="J39" t="s">
        <v>899</v>
      </c>
      <c r="K39" t="s">
        <v>900</v>
      </c>
      <c r="L39" t="s">
        <v>74</v>
      </c>
      <c r="M39" t="s">
        <v>78</v>
      </c>
      <c r="N39" t="s">
        <v>901</v>
      </c>
      <c r="O39" t="s">
        <v>902</v>
      </c>
      <c r="P39" t="s">
        <v>903</v>
      </c>
      <c r="Q39" t="s">
        <v>904</v>
      </c>
      <c r="R39" t="s">
        <v>74</v>
      </c>
      <c r="S39" t="s">
        <v>74</v>
      </c>
      <c r="T39" t="s">
        <v>905</v>
      </c>
      <c r="U39" t="s">
        <v>906</v>
      </c>
      <c r="V39" t="s">
        <v>907</v>
      </c>
      <c r="W39" t="s">
        <v>908</v>
      </c>
      <c r="X39" t="s">
        <v>909</v>
      </c>
      <c r="Y39" t="s">
        <v>910</v>
      </c>
      <c r="Z39" t="s">
        <v>911</v>
      </c>
      <c r="AA39" t="s">
        <v>74</v>
      </c>
      <c r="AB39" t="s">
        <v>74</v>
      </c>
      <c r="AC39" t="s">
        <v>74</v>
      </c>
      <c r="AD39" t="s">
        <v>74</v>
      </c>
      <c r="AE39" t="s">
        <v>74</v>
      </c>
      <c r="AF39" t="s">
        <v>74</v>
      </c>
      <c r="AG39">
        <v>20</v>
      </c>
      <c r="AH39">
        <v>0</v>
      </c>
      <c r="AI39">
        <v>0</v>
      </c>
      <c r="AJ39">
        <v>0</v>
      </c>
      <c r="AK39">
        <v>0</v>
      </c>
      <c r="AL39" t="s">
        <v>126</v>
      </c>
      <c r="AM39" t="s">
        <v>127</v>
      </c>
      <c r="AN39" t="s">
        <v>912</v>
      </c>
      <c r="AO39" t="s">
        <v>913</v>
      </c>
      <c r="AP39" t="s">
        <v>914</v>
      </c>
      <c r="AQ39" t="s">
        <v>74</v>
      </c>
      <c r="AR39" t="s">
        <v>915</v>
      </c>
      <c r="AS39" t="s">
        <v>74</v>
      </c>
      <c r="AT39" t="s">
        <v>74</v>
      </c>
      <c r="AU39">
        <v>2023</v>
      </c>
      <c r="AV39" t="s">
        <v>74</v>
      </c>
      <c r="AW39" t="s">
        <v>74</v>
      </c>
      <c r="AX39" t="s">
        <v>74</v>
      </c>
      <c r="AY39" t="s">
        <v>74</v>
      </c>
      <c r="AZ39" t="s">
        <v>74</v>
      </c>
      <c r="BA39" t="s">
        <v>74</v>
      </c>
      <c r="BB39">
        <v>1161</v>
      </c>
      <c r="BC39">
        <v>1168</v>
      </c>
      <c r="BD39" t="s">
        <v>74</v>
      </c>
      <c r="BE39" t="s">
        <v>916</v>
      </c>
      <c r="BF39" t="str">
        <f>HYPERLINK("http://dx.doi.org/10.5194/isprs-archives-XLVIII-1-W2-2023-1161-2023","http://dx.doi.org/10.5194/isprs-archives-XLVIII-1-W2-2023-1161-2023")</f>
        <v>http://dx.doi.org/10.5194/isprs-archives-XLVIII-1-W2-2023-1161-2023</v>
      </c>
      <c r="BG39" t="s">
        <v>74</v>
      </c>
      <c r="BH39" t="s">
        <v>74</v>
      </c>
      <c r="BI39">
        <v>8</v>
      </c>
      <c r="BJ39" t="s">
        <v>74</v>
      </c>
      <c r="BK39" t="s">
        <v>917</v>
      </c>
      <c r="BL39" t="s">
        <v>74</v>
      </c>
      <c r="BM39" t="s">
        <v>918</v>
      </c>
      <c r="BN39" t="s">
        <v>74</v>
      </c>
      <c r="BO39" t="s">
        <v>165</v>
      </c>
      <c r="BP39" t="s">
        <v>74</v>
      </c>
      <c r="BQ39" t="s">
        <v>74</v>
      </c>
      <c r="BR39" t="s">
        <v>108</v>
      </c>
      <c r="BS39" t="s">
        <v>919</v>
      </c>
      <c r="BT39" t="str">
        <f>HYPERLINK("https%3A%2F%2Fwww.webofscience.com%2Fwos%2Fwoscc%2Ffull-record%2FWOS:001185682000159","View Full Record in Web of Science")</f>
        <v>View Full Record in Web of Science</v>
      </c>
    </row>
    <row r="40" spans="1:72" x14ac:dyDescent="0.15">
      <c r="A40" t="s">
        <v>894</v>
      </c>
      <c r="B40" t="s">
        <v>920</v>
      </c>
      <c r="C40" t="s">
        <v>74</v>
      </c>
      <c r="D40" t="s">
        <v>896</v>
      </c>
      <c r="E40" t="s">
        <v>74</v>
      </c>
      <c r="F40" t="s">
        <v>921</v>
      </c>
      <c r="G40" t="s">
        <v>74</v>
      </c>
      <c r="H40" t="s">
        <v>74</v>
      </c>
      <c r="I40" t="s">
        <v>922</v>
      </c>
      <c r="J40" t="s">
        <v>899</v>
      </c>
      <c r="K40" t="s">
        <v>900</v>
      </c>
      <c r="L40" t="s">
        <v>74</v>
      </c>
      <c r="M40" t="s">
        <v>78</v>
      </c>
      <c r="N40" t="s">
        <v>901</v>
      </c>
      <c r="O40" t="s">
        <v>902</v>
      </c>
      <c r="P40" t="s">
        <v>903</v>
      </c>
      <c r="Q40" t="s">
        <v>904</v>
      </c>
      <c r="R40" t="s">
        <v>74</v>
      </c>
      <c r="S40" t="s">
        <v>74</v>
      </c>
      <c r="T40" t="s">
        <v>923</v>
      </c>
      <c r="U40" t="s">
        <v>74</v>
      </c>
      <c r="V40" t="s">
        <v>924</v>
      </c>
      <c r="W40" t="s">
        <v>925</v>
      </c>
      <c r="X40" t="s">
        <v>909</v>
      </c>
      <c r="Y40" t="s">
        <v>910</v>
      </c>
      <c r="Z40" t="s">
        <v>926</v>
      </c>
      <c r="AA40" t="s">
        <v>927</v>
      </c>
      <c r="AB40" t="s">
        <v>928</v>
      </c>
      <c r="AC40" t="s">
        <v>74</v>
      </c>
      <c r="AD40" t="s">
        <v>74</v>
      </c>
      <c r="AE40" t="s">
        <v>74</v>
      </c>
      <c r="AF40" t="s">
        <v>74</v>
      </c>
      <c r="AG40">
        <v>18</v>
      </c>
      <c r="AH40">
        <v>17</v>
      </c>
      <c r="AI40">
        <v>17</v>
      </c>
      <c r="AJ40">
        <v>2</v>
      </c>
      <c r="AK40">
        <v>5</v>
      </c>
      <c r="AL40" t="s">
        <v>126</v>
      </c>
      <c r="AM40" t="s">
        <v>127</v>
      </c>
      <c r="AN40" t="s">
        <v>912</v>
      </c>
      <c r="AO40" t="s">
        <v>913</v>
      </c>
      <c r="AP40" t="s">
        <v>914</v>
      </c>
      <c r="AQ40" t="s">
        <v>74</v>
      </c>
      <c r="AR40" t="s">
        <v>915</v>
      </c>
      <c r="AS40" t="s">
        <v>74</v>
      </c>
      <c r="AT40" t="s">
        <v>74</v>
      </c>
      <c r="AU40">
        <v>2023</v>
      </c>
      <c r="AV40" t="s">
        <v>74</v>
      </c>
      <c r="AW40" t="s">
        <v>74</v>
      </c>
      <c r="AX40" t="s">
        <v>74</v>
      </c>
      <c r="AY40" t="s">
        <v>74</v>
      </c>
      <c r="AZ40" t="s">
        <v>74</v>
      </c>
      <c r="BA40" t="s">
        <v>74</v>
      </c>
      <c r="BB40">
        <v>1179</v>
      </c>
      <c r="BC40">
        <v>1184</v>
      </c>
      <c r="BD40" t="s">
        <v>74</v>
      </c>
      <c r="BE40" t="s">
        <v>929</v>
      </c>
      <c r="BF40" t="str">
        <f>HYPERLINK("http://dx.doi.org/10.5194/isprs-archives-XLVIII-1-W2-2023-1179-2023","http://dx.doi.org/10.5194/isprs-archives-XLVIII-1-W2-2023-1179-2023")</f>
        <v>http://dx.doi.org/10.5194/isprs-archives-XLVIII-1-W2-2023-1179-2023</v>
      </c>
      <c r="BG40" t="s">
        <v>74</v>
      </c>
      <c r="BH40" t="s">
        <v>74</v>
      </c>
      <c r="BI40">
        <v>6</v>
      </c>
      <c r="BJ40" t="s">
        <v>74</v>
      </c>
      <c r="BK40" t="s">
        <v>917</v>
      </c>
      <c r="BL40" t="s">
        <v>74</v>
      </c>
      <c r="BM40" t="s">
        <v>918</v>
      </c>
      <c r="BN40" t="s">
        <v>74</v>
      </c>
      <c r="BO40" t="s">
        <v>165</v>
      </c>
      <c r="BP40" t="s">
        <v>74</v>
      </c>
      <c r="BQ40" t="s">
        <v>74</v>
      </c>
      <c r="BR40" t="s">
        <v>108</v>
      </c>
      <c r="BS40" t="s">
        <v>930</v>
      </c>
      <c r="BT40" t="str">
        <f>HYPERLINK("https%3A%2F%2Fwww.webofscience.com%2Fwos%2Fwoscc%2Ffull-record%2FWOS:001185682000161","View Full Record in Web of Science")</f>
        <v>View Full Record in Web of Science</v>
      </c>
    </row>
    <row r="41" spans="1:72" x14ac:dyDescent="0.15">
      <c r="A41" t="s">
        <v>894</v>
      </c>
      <c r="B41" t="s">
        <v>931</v>
      </c>
      <c r="C41" t="s">
        <v>74</v>
      </c>
      <c r="D41" t="s">
        <v>896</v>
      </c>
      <c r="E41" t="s">
        <v>74</v>
      </c>
      <c r="F41" t="s">
        <v>932</v>
      </c>
      <c r="G41" t="s">
        <v>74</v>
      </c>
      <c r="H41" t="s">
        <v>74</v>
      </c>
      <c r="I41" t="s">
        <v>933</v>
      </c>
      <c r="J41" t="s">
        <v>899</v>
      </c>
      <c r="K41" t="s">
        <v>900</v>
      </c>
      <c r="L41" t="s">
        <v>74</v>
      </c>
      <c r="M41" t="s">
        <v>78</v>
      </c>
      <c r="N41" t="s">
        <v>901</v>
      </c>
      <c r="O41" t="s">
        <v>902</v>
      </c>
      <c r="P41" t="s">
        <v>903</v>
      </c>
      <c r="Q41" t="s">
        <v>904</v>
      </c>
      <c r="R41" t="s">
        <v>74</v>
      </c>
      <c r="S41" t="s">
        <v>74</v>
      </c>
      <c r="T41" t="s">
        <v>934</v>
      </c>
      <c r="U41" t="s">
        <v>935</v>
      </c>
      <c r="V41" t="s">
        <v>936</v>
      </c>
      <c r="W41" t="s">
        <v>937</v>
      </c>
      <c r="X41" t="s">
        <v>938</v>
      </c>
      <c r="Y41" t="s">
        <v>939</v>
      </c>
      <c r="Z41" t="s">
        <v>940</v>
      </c>
      <c r="AA41" t="s">
        <v>74</v>
      </c>
      <c r="AB41" t="s">
        <v>74</v>
      </c>
      <c r="AC41" t="s">
        <v>74</v>
      </c>
      <c r="AD41" t="s">
        <v>74</v>
      </c>
      <c r="AE41" t="s">
        <v>74</v>
      </c>
      <c r="AF41" t="s">
        <v>74</v>
      </c>
      <c r="AG41">
        <v>28</v>
      </c>
      <c r="AH41">
        <v>0</v>
      </c>
      <c r="AI41">
        <v>0</v>
      </c>
      <c r="AJ41">
        <v>0</v>
      </c>
      <c r="AK41">
        <v>0</v>
      </c>
      <c r="AL41" t="s">
        <v>126</v>
      </c>
      <c r="AM41" t="s">
        <v>127</v>
      </c>
      <c r="AN41" t="s">
        <v>912</v>
      </c>
      <c r="AO41" t="s">
        <v>913</v>
      </c>
      <c r="AP41" t="s">
        <v>914</v>
      </c>
      <c r="AQ41" t="s">
        <v>74</v>
      </c>
      <c r="AR41" t="s">
        <v>915</v>
      </c>
      <c r="AS41" t="s">
        <v>74</v>
      </c>
      <c r="AT41" t="s">
        <v>74</v>
      </c>
      <c r="AU41">
        <v>2023</v>
      </c>
      <c r="AV41" t="s">
        <v>74</v>
      </c>
      <c r="AW41" t="s">
        <v>74</v>
      </c>
      <c r="AX41" t="s">
        <v>74</v>
      </c>
      <c r="AY41" t="s">
        <v>74</v>
      </c>
      <c r="AZ41" t="s">
        <v>74</v>
      </c>
      <c r="BA41" t="s">
        <v>74</v>
      </c>
      <c r="BB41">
        <v>1357</v>
      </c>
      <c r="BC41">
        <v>1362</v>
      </c>
      <c r="BD41" t="s">
        <v>74</v>
      </c>
      <c r="BE41" t="s">
        <v>941</v>
      </c>
      <c r="BF41" t="str">
        <f>HYPERLINK("http://dx.doi.org/10.5194/isprs-archives-XLVIII-1-W2-2023-1357-2023","http://dx.doi.org/10.5194/isprs-archives-XLVIII-1-W2-2023-1357-2023")</f>
        <v>http://dx.doi.org/10.5194/isprs-archives-XLVIII-1-W2-2023-1357-2023</v>
      </c>
      <c r="BG41" t="s">
        <v>74</v>
      </c>
      <c r="BH41" t="s">
        <v>74</v>
      </c>
      <c r="BI41">
        <v>6</v>
      </c>
      <c r="BJ41" t="s">
        <v>74</v>
      </c>
      <c r="BK41" t="s">
        <v>917</v>
      </c>
      <c r="BL41" t="s">
        <v>74</v>
      </c>
      <c r="BM41" t="s">
        <v>918</v>
      </c>
      <c r="BN41" t="s">
        <v>74</v>
      </c>
      <c r="BO41" t="s">
        <v>165</v>
      </c>
      <c r="BP41" t="s">
        <v>74</v>
      </c>
      <c r="BQ41" t="s">
        <v>74</v>
      </c>
      <c r="BR41" t="s">
        <v>108</v>
      </c>
      <c r="BS41" t="s">
        <v>942</v>
      </c>
      <c r="BT41" t="str">
        <f>HYPERLINK("https%3A%2F%2Fwww.webofscience.com%2Fwos%2Fwoscc%2Ffull-record%2FWOS:001185682000186","View Full Record in Web of Science")</f>
        <v>View Full Record in Web of Science</v>
      </c>
    </row>
    <row r="42" spans="1:72" x14ac:dyDescent="0.15">
      <c r="A42" t="s">
        <v>943</v>
      </c>
      <c r="B42" t="s">
        <v>944</v>
      </c>
      <c r="C42" t="s">
        <v>74</v>
      </c>
      <c r="D42" t="s">
        <v>945</v>
      </c>
      <c r="E42" t="s">
        <v>74</v>
      </c>
      <c r="F42" t="s">
        <v>946</v>
      </c>
      <c r="G42" t="s">
        <v>74</v>
      </c>
      <c r="H42" t="s">
        <v>74</v>
      </c>
      <c r="I42" t="s">
        <v>947</v>
      </c>
      <c r="J42" t="s">
        <v>948</v>
      </c>
      <c r="K42" t="s">
        <v>949</v>
      </c>
      <c r="L42" t="s">
        <v>74</v>
      </c>
      <c r="M42" t="s">
        <v>78</v>
      </c>
      <c r="N42" t="s">
        <v>950</v>
      </c>
      <c r="O42" t="s">
        <v>74</v>
      </c>
      <c r="P42" t="s">
        <v>74</v>
      </c>
      <c r="Q42" t="s">
        <v>74</v>
      </c>
      <c r="R42" t="s">
        <v>74</v>
      </c>
      <c r="S42" t="s">
        <v>74</v>
      </c>
      <c r="T42" t="s">
        <v>74</v>
      </c>
      <c r="U42" t="s">
        <v>951</v>
      </c>
      <c r="V42" t="s">
        <v>952</v>
      </c>
      <c r="W42" t="s">
        <v>953</v>
      </c>
      <c r="X42" t="s">
        <v>954</v>
      </c>
      <c r="Y42" t="s">
        <v>955</v>
      </c>
      <c r="Z42" t="s">
        <v>956</v>
      </c>
      <c r="AA42" t="s">
        <v>74</v>
      </c>
      <c r="AB42" t="s">
        <v>74</v>
      </c>
      <c r="AC42" t="s">
        <v>957</v>
      </c>
      <c r="AD42" t="s">
        <v>958</v>
      </c>
      <c r="AE42" t="s">
        <v>959</v>
      </c>
      <c r="AF42" t="s">
        <v>74</v>
      </c>
      <c r="AG42">
        <v>204</v>
      </c>
      <c r="AH42">
        <v>0</v>
      </c>
      <c r="AI42">
        <v>0</v>
      </c>
      <c r="AJ42">
        <v>0</v>
      </c>
      <c r="AK42">
        <v>0</v>
      </c>
      <c r="AL42" t="s">
        <v>960</v>
      </c>
      <c r="AM42" t="s">
        <v>961</v>
      </c>
      <c r="AN42" t="s">
        <v>962</v>
      </c>
      <c r="AO42" t="s">
        <v>74</v>
      </c>
      <c r="AP42" t="s">
        <v>74</v>
      </c>
      <c r="AQ42" t="s">
        <v>963</v>
      </c>
      <c r="AR42" t="s">
        <v>964</v>
      </c>
      <c r="AS42" t="s">
        <v>74</v>
      </c>
      <c r="AT42" t="s">
        <v>74</v>
      </c>
      <c r="AU42">
        <v>2023</v>
      </c>
      <c r="AV42">
        <v>14</v>
      </c>
      <c r="AW42" t="s">
        <v>74</v>
      </c>
      <c r="AX42" t="s">
        <v>74</v>
      </c>
      <c r="AY42" t="s">
        <v>74</v>
      </c>
      <c r="AZ42" t="s">
        <v>74</v>
      </c>
      <c r="BA42" t="s">
        <v>74</v>
      </c>
      <c r="BB42">
        <v>95</v>
      </c>
      <c r="BC42">
        <v>118</v>
      </c>
      <c r="BD42" t="s">
        <v>74</v>
      </c>
      <c r="BE42" t="s">
        <v>965</v>
      </c>
      <c r="BF42" t="str">
        <f>HYPERLINK("http://dx.doi.org/10.1079/9781800621459.0006","http://dx.doi.org/10.1079/9781800621459.0006")</f>
        <v>http://dx.doi.org/10.1079/9781800621459.0006</v>
      </c>
      <c r="BG42" t="s">
        <v>966</v>
      </c>
      <c r="BH42" t="s">
        <v>74</v>
      </c>
      <c r="BI42">
        <v>24</v>
      </c>
      <c r="BJ42" t="s">
        <v>967</v>
      </c>
      <c r="BK42" t="s">
        <v>968</v>
      </c>
      <c r="BL42" t="s">
        <v>969</v>
      </c>
      <c r="BM42" t="s">
        <v>970</v>
      </c>
      <c r="BN42" t="s">
        <v>74</v>
      </c>
      <c r="BO42" t="s">
        <v>74</v>
      </c>
      <c r="BP42" t="s">
        <v>74</v>
      </c>
      <c r="BQ42" t="s">
        <v>74</v>
      </c>
      <c r="BR42" t="s">
        <v>108</v>
      </c>
      <c r="BS42" t="s">
        <v>971</v>
      </c>
      <c r="BT42" t="str">
        <f>HYPERLINK("https%3A%2F%2Fwww.webofscience.com%2Fwos%2Fwoscc%2Ffull-record%2FWOS:001188587000006","View Full Record in Web of Science")</f>
        <v>View Full Record in Web of Science</v>
      </c>
    </row>
    <row r="43" spans="1:72" x14ac:dyDescent="0.15">
      <c r="A43" t="s">
        <v>72</v>
      </c>
      <c r="B43" t="s">
        <v>972</v>
      </c>
      <c r="C43" t="s">
        <v>74</v>
      </c>
      <c r="D43" t="s">
        <v>74</v>
      </c>
      <c r="E43" t="s">
        <v>74</v>
      </c>
      <c r="F43" t="s">
        <v>973</v>
      </c>
      <c r="G43" t="s">
        <v>74</v>
      </c>
      <c r="H43" t="s">
        <v>74</v>
      </c>
      <c r="I43" t="s">
        <v>974</v>
      </c>
      <c r="J43" t="s">
        <v>975</v>
      </c>
      <c r="K43" t="s">
        <v>74</v>
      </c>
      <c r="L43" t="s">
        <v>74</v>
      </c>
      <c r="M43" t="s">
        <v>78</v>
      </c>
      <c r="N43" t="s">
        <v>79</v>
      </c>
      <c r="O43" t="s">
        <v>74</v>
      </c>
      <c r="P43" t="s">
        <v>74</v>
      </c>
      <c r="Q43" t="s">
        <v>74</v>
      </c>
      <c r="R43" t="s">
        <v>74</v>
      </c>
      <c r="S43" t="s">
        <v>74</v>
      </c>
      <c r="T43" t="s">
        <v>976</v>
      </c>
      <c r="U43" t="s">
        <v>977</v>
      </c>
      <c r="V43" t="s">
        <v>978</v>
      </c>
      <c r="W43" t="s">
        <v>979</v>
      </c>
      <c r="X43" t="s">
        <v>980</v>
      </c>
      <c r="Y43" t="s">
        <v>981</v>
      </c>
      <c r="Z43" t="s">
        <v>982</v>
      </c>
      <c r="AA43" t="s">
        <v>983</v>
      </c>
      <c r="AB43" t="s">
        <v>74</v>
      </c>
      <c r="AC43" t="s">
        <v>984</v>
      </c>
      <c r="AD43" t="s">
        <v>985</v>
      </c>
      <c r="AE43" t="s">
        <v>986</v>
      </c>
      <c r="AF43" t="s">
        <v>74</v>
      </c>
      <c r="AG43">
        <v>73</v>
      </c>
      <c r="AH43">
        <v>1</v>
      </c>
      <c r="AI43">
        <v>1</v>
      </c>
      <c r="AJ43">
        <v>2</v>
      </c>
      <c r="AK43">
        <v>2</v>
      </c>
      <c r="AL43" t="s">
        <v>987</v>
      </c>
      <c r="AM43" t="s">
        <v>988</v>
      </c>
      <c r="AN43" t="s">
        <v>989</v>
      </c>
      <c r="AO43" t="s">
        <v>990</v>
      </c>
      <c r="AP43" t="s">
        <v>991</v>
      </c>
      <c r="AQ43" t="s">
        <v>74</v>
      </c>
      <c r="AR43" t="s">
        <v>992</v>
      </c>
      <c r="AS43" t="s">
        <v>993</v>
      </c>
      <c r="AT43" t="s">
        <v>74</v>
      </c>
      <c r="AU43">
        <v>2023</v>
      </c>
      <c r="AV43">
        <v>118</v>
      </c>
      <c r="AW43" t="s">
        <v>74</v>
      </c>
      <c r="AX43" t="s">
        <v>74</v>
      </c>
      <c r="AY43" t="s">
        <v>74</v>
      </c>
      <c r="AZ43" t="s">
        <v>74</v>
      </c>
      <c r="BA43" t="s">
        <v>74</v>
      </c>
      <c r="BB43" t="s">
        <v>74</v>
      </c>
      <c r="BC43" t="s">
        <v>74</v>
      </c>
      <c r="BD43">
        <v>230419</v>
      </c>
      <c r="BE43" t="s">
        <v>994</v>
      </c>
      <c r="BF43" t="str">
        <f>HYPERLINK("http://dx.doi.org/10.2465/jmps.230419","http://dx.doi.org/10.2465/jmps.230419")</f>
        <v>http://dx.doi.org/10.2465/jmps.230419</v>
      </c>
      <c r="BG43" t="s">
        <v>74</v>
      </c>
      <c r="BH43" t="s">
        <v>74</v>
      </c>
      <c r="BI43">
        <v>26</v>
      </c>
      <c r="BJ43" t="s">
        <v>995</v>
      </c>
      <c r="BK43" t="s">
        <v>104</v>
      </c>
      <c r="BL43" t="s">
        <v>995</v>
      </c>
      <c r="BM43" t="s">
        <v>996</v>
      </c>
      <c r="BN43" t="s">
        <v>74</v>
      </c>
      <c r="BO43" t="s">
        <v>165</v>
      </c>
      <c r="BP43" t="s">
        <v>74</v>
      </c>
      <c r="BQ43" t="s">
        <v>74</v>
      </c>
      <c r="BR43" t="s">
        <v>108</v>
      </c>
      <c r="BS43" t="s">
        <v>997</v>
      </c>
      <c r="BT43" t="str">
        <f>HYPERLINK("https%3A%2F%2Fwww.webofscience.com%2Fwos%2Fwoscc%2Ffull-record%2FWOS:001089014300015","View Full Record in Web of Science")</f>
        <v>View Full Record in Web of Science</v>
      </c>
    </row>
    <row r="44" spans="1:72" x14ac:dyDescent="0.15">
      <c r="A44" t="s">
        <v>72</v>
      </c>
      <c r="B44" t="s">
        <v>998</v>
      </c>
      <c r="C44" t="s">
        <v>74</v>
      </c>
      <c r="D44" t="s">
        <v>74</v>
      </c>
      <c r="E44" t="s">
        <v>74</v>
      </c>
      <c r="F44" t="s">
        <v>999</v>
      </c>
      <c r="G44" t="s">
        <v>74</v>
      </c>
      <c r="H44" t="s">
        <v>74</v>
      </c>
      <c r="I44" t="s">
        <v>1000</v>
      </c>
      <c r="J44" t="s">
        <v>1001</v>
      </c>
      <c r="K44" t="s">
        <v>74</v>
      </c>
      <c r="L44" t="s">
        <v>74</v>
      </c>
      <c r="M44" t="s">
        <v>78</v>
      </c>
      <c r="N44" t="s">
        <v>79</v>
      </c>
      <c r="O44" t="s">
        <v>74</v>
      </c>
      <c r="P44" t="s">
        <v>74</v>
      </c>
      <c r="Q44" t="s">
        <v>74</v>
      </c>
      <c r="R44" t="s">
        <v>74</v>
      </c>
      <c r="S44" t="s">
        <v>74</v>
      </c>
      <c r="T44" t="s">
        <v>1002</v>
      </c>
      <c r="U44" t="s">
        <v>1003</v>
      </c>
      <c r="V44" t="s">
        <v>1004</v>
      </c>
      <c r="W44" t="s">
        <v>1005</v>
      </c>
      <c r="X44" t="s">
        <v>1006</v>
      </c>
      <c r="Y44" t="s">
        <v>1007</v>
      </c>
      <c r="Z44" t="s">
        <v>1008</v>
      </c>
      <c r="AA44" t="s">
        <v>74</v>
      </c>
      <c r="AB44" t="s">
        <v>1009</v>
      </c>
      <c r="AC44" t="s">
        <v>74</v>
      </c>
      <c r="AD44" t="s">
        <v>74</v>
      </c>
      <c r="AE44" t="s">
        <v>74</v>
      </c>
      <c r="AF44" t="s">
        <v>74</v>
      </c>
      <c r="AG44">
        <v>73</v>
      </c>
      <c r="AH44">
        <v>0</v>
      </c>
      <c r="AI44">
        <v>0</v>
      </c>
      <c r="AJ44">
        <v>0</v>
      </c>
      <c r="AK44">
        <v>0</v>
      </c>
      <c r="AL44" t="s">
        <v>1010</v>
      </c>
      <c r="AM44" t="s">
        <v>1011</v>
      </c>
      <c r="AN44" t="s">
        <v>1012</v>
      </c>
      <c r="AO44" t="s">
        <v>1013</v>
      </c>
      <c r="AP44" t="s">
        <v>1014</v>
      </c>
      <c r="AQ44" t="s">
        <v>74</v>
      </c>
      <c r="AR44" t="s">
        <v>1015</v>
      </c>
      <c r="AS44" t="s">
        <v>1016</v>
      </c>
      <c r="AT44" t="s">
        <v>74</v>
      </c>
      <c r="AU44">
        <v>2023</v>
      </c>
      <c r="AV44">
        <v>74</v>
      </c>
      <c r="AW44">
        <v>16</v>
      </c>
      <c r="AX44" t="s">
        <v>74</v>
      </c>
      <c r="AY44" t="s">
        <v>74</v>
      </c>
      <c r="AZ44" t="s">
        <v>74</v>
      </c>
      <c r="BA44" t="s">
        <v>74</v>
      </c>
      <c r="BB44">
        <v>1355</v>
      </c>
      <c r="BC44">
        <v>1369</v>
      </c>
      <c r="BD44" t="s">
        <v>74</v>
      </c>
      <c r="BE44" t="s">
        <v>1017</v>
      </c>
      <c r="BF44" t="str">
        <f>HYPERLINK("http://dx.doi.org/10.1071/MF23024","http://dx.doi.org/10.1071/MF23024")</f>
        <v>http://dx.doi.org/10.1071/MF23024</v>
      </c>
      <c r="BG44" t="s">
        <v>74</v>
      </c>
      <c r="BH44" t="s">
        <v>74</v>
      </c>
      <c r="BI44">
        <v>15</v>
      </c>
      <c r="BJ44" t="s">
        <v>1018</v>
      </c>
      <c r="BK44" t="s">
        <v>104</v>
      </c>
      <c r="BL44" t="s">
        <v>1019</v>
      </c>
      <c r="BM44" t="s">
        <v>1020</v>
      </c>
      <c r="BN44" t="s">
        <v>74</v>
      </c>
      <c r="BO44" t="s">
        <v>219</v>
      </c>
      <c r="BP44" t="s">
        <v>74</v>
      </c>
      <c r="BQ44" t="s">
        <v>74</v>
      </c>
      <c r="BR44" t="s">
        <v>108</v>
      </c>
      <c r="BS44" t="s">
        <v>1021</v>
      </c>
      <c r="BT44" t="str">
        <f>HYPERLINK("https%3A%2F%2Fwww.webofscience.com%2Fwos%2Fwoscc%2Ffull-record%2FWOS:001189979200001","View Full Record in Web of Science")</f>
        <v>View Full Record in Web of Science</v>
      </c>
    </row>
    <row r="45" spans="1:72" x14ac:dyDescent="0.15">
      <c r="A45" t="s">
        <v>72</v>
      </c>
      <c r="B45" t="s">
        <v>1022</v>
      </c>
      <c r="C45" t="s">
        <v>74</v>
      </c>
      <c r="D45" t="s">
        <v>74</v>
      </c>
      <c r="E45" t="s">
        <v>74</v>
      </c>
      <c r="F45" t="s">
        <v>1023</v>
      </c>
      <c r="G45" t="s">
        <v>74</v>
      </c>
      <c r="H45" t="s">
        <v>74</v>
      </c>
      <c r="I45" t="s">
        <v>1024</v>
      </c>
      <c r="J45" t="s">
        <v>1025</v>
      </c>
      <c r="K45" t="s">
        <v>74</v>
      </c>
      <c r="L45" t="s">
        <v>74</v>
      </c>
      <c r="M45" t="s">
        <v>78</v>
      </c>
      <c r="N45" t="s">
        <v>79</v>
      </c>
      <c r="O45" t="s">
        <v>74</v>
      </c>
      <c r="P45" t="s">
        <v>74</v>
      </c>
      <c r="Q45" t="s">
        <v>74</v>
      </c>
      <c r="R45" t="s">
        <v>74</v>
      </c>
      <c r="S45" t="s">
        <v>74</v>
      </c>
      <c r="T45" t="s">
        <v>1026</v>
      </c>
      <c r="U45" t="s">
        <v>1027</v>
      </c>
      <c r="V45" t="s">
        <v>1028</v>
      </c>
      <c r="W45" t="s">
        <v>1029</v>
      </c>
      <c r="X45" t="s">
        <v>1030</v>
      </c>
      <c r="Y45" t="s">
        <v>1031</v>
      </c>
      <c r="Z45" t="s">
        <v>74</v>
      </c>
      <c r="AA45" t="s">
        <v>74</v>
      </c>
      <c r="AB45" t="s">
        <v>74</v>
      </c>
      <c r="AC45" t="s">
        <v>74</v>
      </c>
      <c r="AD45" t="s">
        <v>74</v>
      </c>
      <c r="AE45" t="s">
        <v>74</v>
      </c>
      <c r="AF45" t="s">
        <v>74</v>
      </c>
      <c r="AG45">
        <v>32</v>
      </c>
      <c r="AH45">
        <v>0</v>
      </c>
      <c r="AI45">
        <v>0</v>
      </c>
      <c r="AJ45">
        <v>2</v>
      </c>
      <c r="AK45">
        <v>2</v>
      </c>
      <c r="AL45" t="s">
        <v>1032</v>
      </c>
      <c r="AM45" t="s">
        <v>1033</v>
      </c>
      <c r="AN45" t="s">
        <v>1034</v>
      </c>
      <c r="AO45" t="s">
        <v>1035</v>
      </c>
      <c r="AP45" t="s">
        <v>1036</v>
      </c>
      <c r="AQ45" t="s">
        <v>74</v>
      </c>
      <c r="AR45" t="s">
        <v>1037</v>
      </c>
      <c r="AS45" t="s">
        <v>1038</v>
      </c>
      <c r="AT45" t="s">
        <v>74</v>
      </c>
      <c r="AU45">
        <v>2023</v>
      </c>
      <c r="AV45">
        <v>13</v>
      </c>
      <c r="AW45">
        <v>2</v>
      </c>
      <c r="AX45" t="s">
        <v>74</v>
      </c>
      <c r="AY45" t="s">
        <v>74</v>
      </c>
      <c r="AZ45" t="s">
        <v>74</v>
      </c>
      <c r="BA45" t="s">
        <v>74</v>
      </c>
      <c r="BB45">
        <v>162</v>
      </c>
      <c r="BC45">
        <v>170</v>
      </c>
      <c r="BD45" t="s">
        <v>74</v>
      </c>
      <c r="BE45" t="s">
        <v>1039</v>
      </c>
      <c r="BF45" t="str">
        <f>HYPERLINK("http://dx.doi.org/10.5817/CPR2023-2-13","http://dx.doi.org/10.5817/CPR2023-2-13")</f>
        <v>http://dx.doi.org/10.5817/CPR2023-2-13</v>
      </c>
      <c r="BG45" t="s">
        <v>74</v>
      </c>
      <c r="BH45" t="s">
        <v>74</v>
      </c>
      <c r="BI45">
        <v>9</v>
      </c>
      <c r="BJ45" t="s">
        <v>734</v>
      </c>
      <c r="BK45" t="s">
        <v>757</v>
      </c>
      <c r="BL45" t="s">
        <v>735</v>
      </c>
      <c r="BM45" t="s">
        <v>1040</v>
      </c>
      <c r="BN45" t="s">
        <v>74</v>
      </c>
      <c r="BO45" t="s">
        <v>165</v>
      </c>
      <c r="BP45" t="s">
        <v>74</v>
      </c>
      <c r="BQ45" t="s">
        <v>74</v>
      </c>
      <c r="BR45" t="s">
        <v>108</v>
      </c>
      <c r="BS45" t="s">
        <v>1041</v>
      </c>
      <c r="BT45" t="str">
        <f>HYPERLINK("https%3A%2F%2Fwww.webofscience.com%2Fwos%2Fwoscc%2Ffull-record%2FWOS:001187386900008","View Full Record in Web of Science")</f>
        <v>View Full Record in Web of Science</v>
      </c>
    </row>
    <row r="46" spans="1:72" x14ac:dyDescent="0.15">
      <c r="A46" t="s">
        <v>72</v>
      </c>
      <c r="B46" t="s">
        <v>1042</v>
      </c>
      <c r="C46" t="s">
        <v>74</v>
      </c>
      <c r="D46" t="s">
        <v>74</v>
      </c>
      <c r="E46" t="s">
        <v>74</v>
      </c>
      <c r="F46" t="s">
        <v>1043</v>
      </c>
      <c r="G46" t="s">
        <v>74</v>
      </c>
      <c r="H46" t="s">
        <v>74</v>
      </c>
      <c r="I46" t="s">
        <v>1044</v>
      </c>
      <c r="J46" t="s">
        <v>1025</v>
      </c>
      <c r="K46" t="s">
        <v>74</v>
      </c>
      <c r="L46" t="s">
        <v>74</v>
      </c>
      <c r="M46" t="s">
        <v>78</v>
      </c>
      <c r="N46" t="s">
        <v>79</v>
      </c>
      <c r="O46" t="s">
        <v>74</v>
      </c>
      <c r="P46" t="s">
        <v>74</v>
      </c>
      <c r="Q46" t="s">
        <v>74</v>
      </c>
      <c r="R46" t="s">
        <v>74</v>
      </c>
      <c r="S46" t="s">
        <v>74</v>
      </c>
      <c r="T46" t="s">
        <v>1045</v>
      </c>
      <c r="U46" t="s">
        <v>74</v>
      </c>
      <c r="V46" t="s">
        <v>1046</v>
      </c>
      <c r="W46" t="s">
        <v>1047</v>
      </c>
      <c r="X46" t="s">
        <v>1048</v>
      </c>
      <c r="Y46" t="s">
        <v>1049</v>
      </c>
      <c r="Z46" t="s">
        <v>1050</v>
      </c>
      <c r="AA46" t="s">
        <v>74</v>
      </c>
      <c r="AB46" t="s">
        <v>74</v>
      </c>
      <c r="AC46" t="s">
        <v>1051</v>
      </c>
      <c r="AD46" t="s">
        <v>1052</v>
      </c>
      <c r="AE46" t="s">
        <v>1053</v>
      </c>
      <c r="AF46" t="s">
        <v>74</v>
      </c>
      <c r="AG46">
        <v>16</v>
      </c>
      <c r="AH46">
        <v>0</v>
      </c>
      <c r="AI46">
        <v>0</v>
      </c>
      <c r="AJ46">
        <v>0</v>
      </c>
      <c r="AK46">
        <v>0</v>
      </c>
      <c r="AL46" t="s">
        <v>1032</v>
      </c>
      <c r="AM46" t="s">
        <v>1033</v>
      </c>
      <c r="AN46" t="s">
        <v>1034</v>
      </c>
      <c r="AO46" t="s">
        <v>1035</v>
      </c>
      <c r="AP46" t="s">
        <v>1036</v>
      </c>
      <c r="AQ46" t="s">
        <v>74</v>
      </c>
      <c r="AR46" t="s">
        <v>1037</v>
      </c>
      <c r="AS46" t="s">
        <v>1038</v>
      </c>
      <c r="AT46" t="s">
        <v>74</v>
      </c>
      <c r="AU46">
        <v>2023</v>
      </c>
      <c r="AV46">
        <v>13</v>
      </c>
      <c r="AW46">
        <v>2</v>
      </c>
      <c r="AX46" t="s">
        <v>74</v>
      </c>
      <c r="AY46" t="s">
        <v>74</v>
      </c>
      <c r="AZ46" t="s">
        <v>74</v>
      </c>
      <c r="BA46" t="s">
        <v>74</v>
      </c>
      <c r="BB46">
        <v>197</v>
      </c>
      <c r="BC46">
        <v>209</v>
      </c>
      <c r="BD46" t="s">
        <v>74</v>
      </c>
      <c r="BE46" t="s">
        <v>1054</v>
      </c>
      <c r="BF46" t="str">
        <f>HYPERLINK("http://dx.doi.org/10.5817/CPR2023-2-16","http://dx.doi.org/10.5817/CPR2023-2-16")</f>
        <v>http://dx.doi.org/10.5817/CPR2023-2-16</v>
      </c>
      <c r="BG46" t="s">
        <v>74</v>
      </c>
      <c r="BH46" t="s">
        <v>74</v>
      </c>
      <c r="BI46">
        <v>13</v>
      </c>
      <c r="BJ46" t="s">
        <v>734</v>
      </c>
      <c r="BK46" t="s">
        <v>757</v>
      </c>
      <c r="BL46" t="s">
        <v>735</v>
      </c>
      <c r="BM46" t="s">
        <v>1040</v>
      </c>
      <c r="BN46" t="s">
        <v>74</v>
      </c>
      <c r="BO46" t="s">
        <v>165</v>
      </c>
      <c r="BP46" t="s">
        <v>74</v>
      </c>
      <c r="BQ46" t="s">
        <v>74</v>
      </c>
      <c r="BR46" t="s">
        <v>108</v>
      </c>
      <c r="BS46" t="s">
        <v>1055</v>
      </c>
      <c r="BT46" t="str">
        <f>HYPERLINK("https%3A%2F%2Fwww.webofscience.com%2Fwos%2Fwoscc%2Ffull-record%2FWOS:001187386900006","View Full Record in Web of Science")</f>
        <v>View Full Record in Web of Science</v>
      </c>
    </row>
    <row r="47" spans="1:72" x14ac:dyDescent="0.15">
      <c r="A47" t="s">
        <v>72</v>
      </c>
      <c r="B47" t="s">
        <v>1056</v>
      </c>
      <c r="C47" t="s">
        <v>74</v>
      </c>
      <c r="D47" t="s">
        <v>74</v>
      </c>
      <c r="E47" t="s">
        <v>74</v>
      </c>
      <c r="F47" t="s">
        <v>1057</v>
      </c>
      <c r="G47" t="s">
        <v>74</v>
      </c>
      <c r="H47" t="s">
        <v>74</v>
      </c>
      <c r="I47" t="s">
        <v>1058</v>
      </c>
      <c r="J47" t="s">
        <v>1025</v>
      </c>
      <c r="K47" t="s">
        <v>74</v>
      </c>
      <c r="L47" t="s">
        <v>74</v>
      </c>
      <c r="M47" t="s">
        <v>78</v>
      </c>
      <c r="N47" t="s">
        <v>79</v>
      </c>
      <c r="O47" t="s">
        <v>74</v>
      </c>
      <c r="P47" t="s">
        <v>74</v>
      </c>
      <c r="Q47" t="s">
        <v>74</v>
      </c>
      <c r="R47" t="s">
        <v>74</v>
      </c>
      <c r="S47" t="s">
        <v>74</v>
      </c>
      <c r="T47" t="s">
        <v>1059</v>
      </c>
      <c r="U47" t="s">
        <v>74</v>
      </c>
      <c r="V47" t="s">
        <v>1060</v>
      </c>
      <c r="W47" t="s">
        <v>1061</v>
      </c>
      <c r="X47" t="s">
        <v>1062</v>
      </c>
      <c r="Y47" t="s">
        <v>1063</v>
      </c>
      <c r="Z47" t="s">
        <v>1064</v>
      </c>
      <c r="AA47" t="s">
        <v>74</v>
      </c>
      <c r="AB47" t="s">
        <v>74</v>
      </c>
      <c r="AC47" t="s">
        <v>1065</v>
      </c>
      <c r="AD47" t="s">
        <v>1065</v>
      </c>
      <c r="AE47" t="s">
        <v>1066</v>
      </c>
      <c r="AF47" t="s">
        <v>74</v>
      </c>
      <c r="AG47">
        <v>13</v>
      </c>
      <c r="AH47">
        <v>0</v>
      </c>
      <c r="AI47">
        <v>0</v>
      </c>
      <c r="AJ47">
        <v>0</v>
      </c>
      <c r="AK47">
        <v>0</v>
      </c>
      <c r="AL47" t="s">
        <v>1032</v>
      </c>
      <c r="AM47" t="s">
        <v>1033</v>
      </c>
      <c r="AN47" t="s">
        <v>1034</v>
      </c>
      <c r="AO47" t="s">
        <v>1035</v>
      </c>
      <c r="AP47" t="s">
        <v>1036</v>
      </c>
      <c r="AQ47" t="s">
        <v>74</v>
      </c>
      <c r="AR47" t="s">
        <v>1037</v>
      </c>
      <c r="AS47" t="s">
        <v>1038</v>
      </c>
      <c r="AT47" t="s">
        <v>74</v>
      </c>
      <c r="AU47">
        <v>2023</v>
      </c>
      <c r="AV47">
        <v>13</v>
      </c>
      <c r="AW47">
        <v>2</v>
      </c>
      <c r="AX47" t="s">
        <v>74</v>
      </c>
      <c r="AY47" t="s">
        <v>74</v>
      </c>
      <c r="AZ47" t="s">
        <v>74</v>
      </c>
      <c r="BA47" t="s">
        <v>74</v>
      </c>
      <c r="BB47">
        <v>228</v>
      </c>
      <c r="BC47">
        <v>235</v>
      </c>
      <c r="BD47" t="s">
        <v>74</v>
      </c>
      <c r="BE47" t="s">
        <v>1067</v>
      </c>
      <c r="BF47" t="str">
        <f>HYPERLINK("http://dx.doi.org/10.5817/CPR2023-2-18","http://dx.doi.org/10.5817/CPR2023-2-18")</f>
        <v>http://dx.doi.org/10.5817/CPR2023-2-18</v>
      </c>
      <c r="BG47" t="s">
        <v>74</v>
      </c>
      <c r="BH47" t="s">
        <v>74</v>
      </c>
      <c r="BI47">
        <v>8</v>
      </c>
      <c r="BJ47" t="s">
        <v>734</v>
      </c>
      <c r="BK47" t="s">
        <v>757</v>
      </c>
      <c r="BL47" t="s">
        <v>735</v>
      </c>
      <c r="BM47" t="s">
        <v>1040</v>
      </c>
      <c r="BN47" t="s">
        <v>74</v>
      </c>
      <c r="BO47" t="s">
        <v>165</v>
      </c>
      <c r="BP47" t="s">
        <v>74</v>
      </c>
      <c r="BQ47" t="s">
        <v>74</v>
      </c>
      <c r="BR47" t="s">
        <v>108</v>
      </c>
      <c r="BS47" t="s">
        <v>1068</v>
      </c>
      <c r="BT47" t="str">
        <f>HYPERLINK("https%3A%2F%2Fwww.webofscience.com%2Fwos%2Fwoscc%2Ffull-record%2FWOS:001187386900005","View Full Record in Web of Science")</f>
        <v>View Full Record in Web of Science</v>
      </c>
    </row>
    <row r="48" spans="1:72" x14ac:dyDescent="0.15">
      <c r="A48" t="s">
        <v>72</v>
      </c>
      <c r="B48" t="s">
        <v>1069</v>
      </c>
      <c r="C48" t="s">
        <v>74</v>
      </c>
      <c r="D48" t="s">
        <v>74</v>
      </c>
      <c r="E48" t="s">
        <v>74</v>
      </c>
      <c r="F48" t="s">
        <v>1070</v>
      </c>
      <c r="G48" t="s">
        <v>74</v>
      </c>
      <c r="H48" t="s">
        <v>74</v>
      </c>
      <c r="I48" t="s">
        <v>1071</v>
      </c>
      <c r="J48" t="s">
        <v>1025</v>
      </c>
      <c r="K48" t="s">
        <v>74</v>
      </c>
      <c r="L48" t="s">
        <v>74</v>
      </c>
      <c r="M48" t="s">
        <v>78</v>
      </c>
      <c r="N48" t="s">
        <v>79</v>
      </c>
      <c r="O48" t="s">
        <v>74</v>
      </c>
      <c r="P48" t="s">
        <v>74</v>
      </c>
      <c r="Q48" t="s">
        <v>74</v>
      </c>
      <c r="R48" t="s">
        <v>74</v>
      </c>
      <c r="S48" t="s">
        <v>74</v>
      </c>
      <c r="T48" t="s">
        <v>1072</v>
      </c>
      <c r="U48" t="s">
        <v>1073</v>
      </c>
      <c r="V48" t="s">
        <v>1074</v>
      </c>
      <c r="W48" t="s">
        <v>1075</v>
      </c>
      <c r="X48" t="s">
        <v>1076</v>
      </c>
      <c r="Y48" t="s">
        <v>1077</v>
      </c>
      <c r="Z48" t="s">
        <v>1078</v>
      </c>
      <c r="AA48" t="s">
        <v>74</v>
      </c>
      <c r="AB48" t="s">
        <v>74</v>
      </c>
      <c r="AC48" t="s">
        <v>1079</v>
      </c>
      <c r="AD48" t="s">
        <v>1080</v>
      </c>
      <c r="AE48" t="s">
        <v>1081</v>
      </c>
      <c r="AF48" t="s">
        <v>74</v>
      </c>
      <c r="AG48">
        <v>38</v>
      </c>
      <c r="AH48">
        <v>0</v>
      </c>
      <c r="AI48">
        <v>0</v>
      </c>
      <c r="AJ48">
        <v>0</v>
      </c>
      <c r="AK48">
        <v>0</v>
      </c>
      <c r="AL48" t="s">
        <v>1032</v>
      </c>
      <c r="AM48" t="s">
        <v>1033</v>
      </c>
      <c r="AN48" t="s">
        <v>1034</v>
      </c>
      <c r="AO48" t="s">
        <v>1035</v>
      </c>
      <c r="AP48" t="s">
        <v>1036</v>
      </c>
      <c r="AQ48" t="s">
        <v>74</v>
      </c>
      <c r="AR48" t="s">
        <v>1037</v>
      </c>
      <c r="AS48" t="s">
        <v>1038</v>
      </c>
      <c r="AT48" t="s">
        <v>74</v>
      </c>
      <c r="AU48">
        <v>2023</v>
      </c>
      <c r="AV48">
        <v>13</v>
      </c>
      <c r="AW48">
        <v>2</v>
      </c>
      <c r="AX48" t="s">
        <v>74</v>
      </c>
      <c r="AY48" t="s">
        <v>74</v>
      </c>
      <c r="AZ48" t="s">
        <v>74</v>
      </c>
      <c r="BA48" t="s">
        <v>74</v>
      </c>
      <c r="BB48">
        <v>236</v>
      </c>
      <c r="BC48">
        <v>256</v>
      </c>
      <c r="BD48" t="s">
        <v>74</v>
      </c>
      <c r="BE48" t="s">
        <v>1082</v>
      </c>
      <c r="BF48" t="str">
        <f>HYPERLINK("http://dx.doi.org/10.5817/CPR2023-2-19","http://dx.doi.org/10.5817/CPR2023-2-19")</f>
        <v>http://dx.doi.org/10.5817/CPR2023-2-19</v>
      </c>
      <c r="BG48" t="s">
        <v>74</v>
      </c>
      <c r="BH48" t="s">
        <v>74</v>
      </c>
      <c r="BI48">
        <v>21</v>
      </c>
      <c r="BJ48" t="s">
        <v>734</v>
      </c>
      <c r="BK48" t="s">
        <v>757</v>
      </c>
      <c r="BL48" t="s">
        <v>735</v>
      </c>
      <c r="BM48" t="s">
        <v>1040</v>
      </c>
      <c r="BN48" t="s">
        <v>74</v>
      </c>
      <c r="BO48" t="s">
        <v>165</v>
      </c>
      <c r="BP48" t="s">
        <v>74</v>
      </c>
      <c r="BQ48" t="s">
        <v>74</v>
      </c>
      <c r="BR48" t="s">
        <v>108</v>
      </c>
      <c r="BS48" t="s">
        <v>1083</v>
      </c>
      <c r="BT48" t="str">
        <f>HYPERLINK("https%3A%2F%2Fwww.webofscience.com%2Fwos%2Fwoscc%2Ffull-record%2FWOS:001187386900009","View Full Record in Web of Science")</f>
        <v>View Full Record in Web of Science</v>
      </c>
    </row>
    <row r="49" spans="1:72" x14ac:dyDescent="0.15">
      <c r="A49" t="s">
        <v>72</v>
      </c>
      <c r="B49" t="s">
        <v>1084</v>
      </c>
      <c r="C49" t="s">
        <v>74</v>
      </c>
      <c r="D49" t="s">
        <v>74</v>
      </c>
      <c r="E49" t="s">
        <v>74</v>
      </c>
      <c r="F49" t="s">
        <v>1085</v>
      </c>
      <c r="G49" t="s">
        <v>74</v>
      </c>
      <c r="H49" t="s">
        <v>74</v>
      </c>
      <c r="I49" t="s">
        <v>1086</v>
      </c>
      <c r="J49" t="s">
        <v>1025</v>
      </c>
      <c r="K49" t="s">
        <v>74</v>
      </c>
      <c r="L49" t="s">
        <v>74</v>
      </c>
      <c r="M49" t="s">
        <v>78</v>
      </c>
      <c r="N49" t="s">
        <v>79</v>
      </c>
      <c r="O49" t="s">
        <v>74</v>
      </c>
      <c r="P49" t="s">
        <v>74</v>
      </c>
      <c r="Q49" t="s">
        <v>74</v>
      </c>
      <c r="R49" t="s">
        <v>74</v>
      </c>
      <c r="S49" t="s">
        <v>74</v>
      </c>
      <c r="T49" t="s">
        <v>1087</v>
      </c>
      <c r="U49" t="s">
        <v>1088</v>
      </c>
      <c r="V49" t="s">
        <v>1089</v>
      </c>
      <c r="W49" t="s">
        <v>1090</v>
      </c>
      <c r="X49" t="s">
        <v>1091</v>
      </c>
      <c r="Y49" t="s">
        <v>1092</v>
      </c>
      <c r="Z49" t="s">
        <v>1093</v>
      </c>
      <c r="AA49" t="s">
        <v>74</v>
      </c>
      <c r="AB49" t="s">
        <v>74</v>
      </c>
      <c r="AC49" t="s">
        <v>1094</v>
      </c>
      <c r="AD49" t="s">
        <v>1095</v>
      </c>
      <c r="AE49" t="s">
        <v>1096</v>
      </c>
      <c r="AF49" t="s">
        <v>74</v>
      </c>
      <c r="AG49">
        <v>50</v>
      </c>
      <c r="AH49">
        <v>0</v>
      </c>
      <c r="AI49">
        <v>0</v>
      </c>
      <c r="AJ49">
        <v>0</v>
      </c>
      <c r="AK49">
        <v>0</v>
      </c>
      <c r="AL49" t="s">
        <v>1032</v>
      </c>
      <c r="AM49" t="s">
        <v>1033</v>
      </c>
      <c r="AN49" t="s">
        <v>1034</v>
      </c>
      <c r="AO49" t="s">
        <v>1035</v>
      </c>
      <c r="AP49" t="s">
        <v>1036</v>
      </c>
      <c r="AQ49" t="s">
        <v>74</v>
      </c>
      <c r="AR49" t="s">
        <v>1037</v>
      </c>
      <c r="AS49" t="s">
        <v>1038</v>
      </c>
      <c r="AT49" t="s">
        <v>74</v>
      </c>
      <c r="AU49">
        <v>2023</v>
      </c>
      <c r="AV49">
        <v>13</v>
      </c>
      <c r="AW49">
        <v>2</v>
      </c>
      <c r="AX49" t="s">
        <v>74</v>
      </c>
      <c r="AY49" t="s">
        <v>74</v>
      </c>
      <c r="AZ49" t="s">
        <v>74</v>
      </c>
      <c r="BA49" t="s">
        <v>74</v>
      </c>
      <c r="BB49">
        <v>271</v>
      </c>
      <c r="BC49">
        <v>288</v>
      </c>
      <c r="BD49" t="s">
        <v>74</v>
      </c>
      <c r="BE49" t="s">
        <v>1097</v>
      </c>
      <c r="BF49" t="str">
        <f>HYPERLINK("http://dx.doi.org/10.5817/CPR2023-2-21","http://dx.doi.org/10.5817/CPR2023-2-21")</f>
        <v>http://dx.doi.org/10.5817/CPR2023-2-21</v>
      </c>
      <c r="BG49" t="s">
        <v>74</v>
      </c>
      <c r="BH49" t="s">
        <v>74</v>
      </c>
      <c r="BI49">
        <v>18</v>
      </c>
      <c r="BJ49" t="s">
        <v>734</v>
      </c>
      <c r="BK49" t="s">
        <v>757</v>
      </c>
      <c r="BL49" t="s">
        <v>735</v>
      </c>
      <c r="BM49" t="s">
        <v>1040</v>
      </c>
      <c r="BN49" t="s">
        <v>74</v>
      </c>
      <c r="BO49" t="s">
        <v>165</v>
      </c>
      <c r="BP49" t="s">
        <v>74</v>
      </c>
      <c r="BQ49" t="s">
        <v>74</v>
      </c>
      <c r="BR49" t="s">
        <v>108</v>
      </c>
      <c r="BS49" t="s">
        <v>1098</v>
      </c>
      <c r="BT49" t="str">
        <f>HYPERLINK("https%3A%2F%2Fwww.webofscience.com%2Fwos%2Fwoscc%2Ffull-record%2FWOS:001187386900004","View Full Record in Web of Science")</f>
        <v>View Full Record in Web of Science</v>
      </c>
    </row>
    <row r="50" spans="1:72" x14ac:dyDescent="0.15">
      <c r="A50" t="s">
        <v>72</v>
      </c>
      <c r="B50" t="s">
        <v>1099</v>
      </c>
      <c r="C50" t="s">
        <v>74</v>
      </c>
      <c r="D50" t="s">
        <v>74</v>
      </c>
      <c r="E50" t="s">
        <v>74</v>
      </c>
      <c r="F50" t="s">
        <v>1100</v>
      </c>
      <c r="G50" t="s">
        <v>74</v>
      </c>
      <c r="H50" t="s">
        <v>74</v>
      </c>
      <c r="I50" t="s">
        <v>1101</v>
      </c>
      <c r="J50" t="s">
        <v>1102</v>
      </c>
      <c r="K50" t="s">
        <v>74</v>
      </c>
      <c r="L50" t="s">
        <v>74</v>
      </c>
      <c r="M50" t="s">
        <v>78</v>
      </c>
      <c r="N50" t="s">
        <v>79</v>
      </c>
      <c r="O50" t="s">
        <v>74</v>
      </c>
      <c r="P50" t="s">
        <v>74</v>
      </c>
      <c r="Q50" t="s">
        <v>74</v>
      </c>
      <c r="R50" t="s">
        <v>74</v>
      </c>
      <c r="S50" t="s">
        <v>74</v>
      </c>
      <c r="T50" t="s">
        <v>1103</v>
      </c>
      <c r="U50" t="s">
        <v>1104</v>
      </c>
      <c r="V50" t="s">
        <v>1105</v>
      </c>
      <c r="W50" t="s">
        <v>1106</v>
      </c>
      <c r="X50" t="s">
        <v>74</v>
      </c>
      <c r="Y50" t="s">
        <v>1107</v>
      </c>
      <c r="Z50" t="s">
        <v>1108</v>
      </c>
      <c r="AA50" t="s">
        <v>74</v>
      </c>
      <c r="AB50" t="s">
        <v>74</v>
      </c>
      <c r="AC50" t="s">
        <v>1109</v>
      </c>
      <c r="AD50" t="s">
        <v>74</v>
      </c>
      <c r="AE50" t="s">
        <v>1110</v>
      </c>
      <c r="AF50" t="s">
        <v>74</v>
      </c>
      <c r="AG50">
        <v>46</v>
      </c>
      <c r="AH50">
        <v>0</v>
      </c>
      <c r="AI50">
        <v>0</v>
      </c>
      <c r="AJ50">
        <v>0</v>
      </c>
      <c r="AK50">
        <v>0</v>
      </c>
      <c r="AL50" t="s">
        <v>1111</v>
      </c>
      <c r="AM50" t="s">
        <v>1112</v>
      </c>
      <c r="AN50" t="s">
        <v>1113</v>
      </c>
      <c r="AO50" t="s">
        <v>1114</v>
      </c>
      <c r="AP50" t="s">
        <v>1115</v>
      </c>
      <c r="AQ50" t="s">
        <v>74</v>
      </c>
      <c r="AR50" t="s">
        <v>1116</v>
      </c>
      <c r="AS50" t="s">
        <v>1117</v>
      </c>
      <c r="AT50" t="s">
        <v>74</v>
      </c>
      <c r="AU50">
        <v>2023</v>
      </c>
      <c r="AV50">
        <v>263</v>
      </c>
      <c r="AW50" t="s">
        <v>74</v>
      </c>
      <c r="AX50" t="s">
        <v>74</v>
      </c>
      <c r="AY50" t="s">
        <v>74</v>
      </c>
      <c r="AZ50" t="s">
        <v>74</v>
      </c>
      <c r="BA50" t="s">
        <v>74</v>
      </c>
      <c r="BB50">
        <v>724</v>
      </c>
      <c r="BC50">
        <v>741</v>
      </c>
      <c r="BD50" t="s">
        <v>74</v>
      </c>
      <c r="BE50" t="s">
        <v>74</v>
      </c>
      <c r="BF50" t="s">
        <v>74</v>
      </c>
      <c r="BG50" t="s">
        <v>74</v>
      </c>
      <c r="BH50" t="s">
        <v>74</v>
      </c>
      <c r="BI50">
        <v>18</v>
      </c>
      <c r="BJ50" t="s">
        <v>1118</v>
      </c>
      <c r="BK50" t="s">
        <v>757</v>
      </c>
      <c r="BL50" t="s">
        <v>1118</v>
      </c>
      <c r="BM50" t="s">
        <v>1119</v>
      </c>
      <c r="BN50" t="s">
        <v>74</v>
      </c>
      <c r="BO50" t="s">
        <v>74</v>
      </c>
      <c r="BP50" t="s">
        <v>74</v>
      </c>
      <c r="BQ50" t="s">
        <v>74</v>
      </c>
      <c r="BR50" t="s">
        <v>108</v>
      </c>
      <c r="BS50" t="s">
        <v>1120</v>
      </c>
      <c r="BT50" t="str">
        <f>HYPERLINK("https%3A%2F%2Fwww.webofscience.com%2Fwos%2Fwoscc%2Ffull-record%2FWOS:001169653200007","View Full Record in Web of Science")</f>
        <v>View Full Record in Web of Science</v>
      </c>
    </row>
    <row r="51" spans="1:72" x14ac:dyDescent="0.15">
      <c r="A51" t="s">
        <v>72</v>
      </c>
      <c r="B51" t="s">
        <v>1121</v>
      </c>
      <c r="C51" t="s">
        <v>74</v>
      </c>
      <c r="D51" t="s">
        <v>74</v>
      </c>
      <c r="E51" t="s">
        <v>74</v>
      </c>
      <c r="F51" t="s">
        <v>1122</v>
      </c>
      <c r="G51" t="s">
        <v>74</v>
      </c>
      <c r="H51" t="s">
        <v>74</v>
      </c>
      <c r="I51" t="s">
        <v>1123</v>
      </c>
      <c r="J51" t="s">
        <v>1124</v>
      </c>
      <c r="K51" t="s">
        <v>74</v>
      </c>
      <c r="L51" t="s">
        <v>74</v>
      </c>
      <c r="M51" t="s">
        <v>1125</v>
      </c>
      <c r="N51" t="s">
        <v>79</v>
      </c>
      <c r="O51" t="s">
        <v>74</v>
      </c>
      <c r="P51" t="s">
        <v>74</v>
      </c>
      <c r="Q51" t="s">
        <v>74</v>
      </c>
      <c r="R51" t="s">
        <v>74</v>
      </c>
      <c r="S51" t="s">
        <v>74</v>
      </c>
      <c r="T51" t="s">
        <v>74</v>
      </c>
      <c r="U51" t="s">
        <v>74</v>
      </c>
      <c r="V51" t="s">
        <v>1126</v>
      </c>
      <c r="W51" t="s">
        <v>1127</v>
      </c>
      <c r="X51" t="s">
        <v>1128</v>
      </c>
      <c r="Y51" t="s">
        <v>1129</v>
      </c>
      <c r="Z51" t="s">
        <v>1130</v>
      </c>
      <c r="AA51" t="s">
        <v>74</v>
      </c>
      <c r="AB51" t="s">
        <v>74</v>
      </c>
      <c r="AC51" t="s">
        <v>74</v>
      </c>
      <c r="AD51" t="s">
        <v>74</v>
      </c>
      <c r="AE51" t="s">
        <v>74</v>
      </c>
      <c r="AF51" t="s">
        <v>74</v>
      </c>
      <c r="AG51">
        <v>16</v>
      </c>
      <c r="AH51">
        <v>0</v>
      </c>
      <c r="AI51">
        <v>0</v>
      </c>
      <c r="AJ51">
        <v>0</v>
      </c>
      <c r="AK51">
        <v>0</v>
      </c>
      <c r="AL51" t="s">
        <v>1131</v>
      </c>
      <c r="AM51" t="s">
        <v>1132</v>
      </c>
      <c r="AN51" t="s">
        <v>1133</v>
      </c>
      <c r="AO51" t="s">
        <v>1134</v>
      </c>
      <c r="AP51" t="s">
        <v>74</v>
      </c>
      <c r="AQ51" t="s">
        <v>74</v>
      </c>
      <c r="AR51" t="s">
        <v>1135</v>
      </c>
      <c r="AS51" t="s">
        <v>1136</v>
      </c>
      <c r="AT51" t="s">
        <v>74</v>
      </c>
      <c r="AU51">
        <v>2023</v>
      </c>
      <c r="AV51" t="s">
        <v>74</v>
      </c>
      <c r="AW51">
        <v>30</v>
      </c>
      <c r="AX51" t="s">
        <v>74</v>
      </c>
      <c r="AY51" t="s">
        <v>74</v>
      </c>
      <c r="AZ51" t="s">
        <v>74</v>
      </c>
      <c r="BA51" t="s">
        <v>74</v>
      </c>
      <c r="BB51">
        <v>37</v>
      </c>
      <c r="BC51">
        <v>53</v>
      </c>
      <c r="BD51" t="s">
        <v>74</v>
      </c>
      <c r="BE51" t="s">
        <v>74</v>
      </c>
      <c r="BF51" t="s">
        <v>74</v>
      </c>
      <c r="BG51" t="s">
        <v>74</v>
      </c>
      <c r="BH51" t="s">
        <v>74</v>
      </c>
      <c r="BI51">
        <v>17</v>
      </c>
      <c r="BJ51" t="s">
        <v>1137</v>
      </c>
      <c r="BK51" t="s">
        <v>757</v>
      </c>
      <c r="BL51" t="s">
        <v>1138</v>
      </c>
      <c r="BM51" t="s">
        <v>1139</v>
      </c>
      <c r="BN51" t="s">
        <v>74</v>
      </c>
      <c r="BO51" t="s">
        <v>74</v>
      </c>
      <c r="BP51" t="s">
        <v>74</v>
      </c>
      <c r="BQ51" t="s">
        <v>74</v>
      </c>
      <c r="BR51" t="s">
        <v>108</v>
      </c>
      <c r="BS51" t="s">
        <v>1140</v>
      </c>
      <c r="BT51" t="str">
        <f>HYPERLINK("https%3A%2F%2Fwww.webofscience.com%2Fwos%2Fwoscc%2Ffull-record%2FWOS:001167685300004","View Full Record in Web of Science")</f>
        <v>View Full Record in Web of Science</v>
      </c>
    </row>
    <row r="52" spans="1:72" x14ac:dyDescent="0.15">
      <c r="A52" t="s">
        <v>72</v>
      </c>
      <c r="B52" t="s">
        <v>1141</v>
      </c>
      <c r="C52" t="s">
        <v>74</v>
      </c>
      <c r="D52" t="s">
        <v>74</v>
      </c>
      <c r="E52" t="s">
        <v>74</v>
      </c>
      <c r="F52" t="s">
        <v>1142</v>
      </c>
      <c r="G52" t="s">
        <v>74</v>
      </c>
      <c r="H52" t="s">
        <v>74</v>
      </c>
      <c r="I52" t="s">
        <v>1143</v>
      </c>
      <c r="J52" t="s">
        <v>1144</v>
      </c>
      <c r="K52" t="s">
        <v>74</v>
      </c>
      <c r="L52" t="s">
        <v>74</v>
      </c>
      <c r="M52" t="s">
        <v>78</v>
      </c>
      <c r="N52" t="s">
        <v>79</v>
      </c>
      <c r="O52" t="s">
        <v>74</v>
      </c>
      <c r="P52" t="s">
        <v>74</v>
      </c>
      <c r="Q52" t="s">
        <v>74</v>
      </c>
      <c r="R52" t="s">
        <v>74</v>
      </c>
      <c r="S52" t="s">
        <v>74</v>
      </c>
      <c r="T52" t="s">
        <v>1145</v>
      </c>
      <c r="U52" t="s">
        <v>1146</v>
      </c>
      <c r="V52" t="s">
        <v>1147</v>
      </c>
      <c r="W52" t="s">
        <v>1148</v>
      </c>
      <c r="X52" t="s">
        <v>1149</v>
      </c>
      <c r="Y52" t="s">
        <v>1150</v>
      </c>
      <c r="Z52" t="s">
        <v>1151</v>
      </c>
      <c r="AA52" t="s">
        <v>1152</v>
      </c>
      <c r="AB52" t="s">
        <v>1153</v>
      </c>
      <c r="AC52" t="s">
        <v>1154</v>
      </c>
      <c r="AD52" t="s">
        <v>1154</v>
      </c>
      <c r="AE52" t="s">
        <v>1155</v>
      </c>
      <c r="AF52" t="s">
        <v>74</v>
      </c>
      <c r="AG52">
        <v>56</v>
      </c>
      <c r="AH52">
        <v>0</v>
      </c>
      <c r="AI52">
        <v>0</v>
      </c>
      <c r="AJ52">
        <v>1</v>
      </c>
      <c r="AK52">
        <v>1</v>
      </c>
      <c r="AL52" t="s">
        <v>1156</v>
      </c>
      <c r="AM52" t="s">
        <v>1157</v>
      </c>
      <c r="AN52" t="s">
        <v>1158</v>
      </c>
      <c r="AO52" t="s">
        <v>1159</v>
      </c>
      <c r="AP52" t="s">
        <v>1160</v>
      </c>
      <c r="AQ52" t="s">
        <v>74</v>
      </c>
      <c r="AR52" t="s">
        <v>1161</v>
      </c>
      <c r="AS52" t="s">
        <v>1162</v>
      </c>
      <c r="AT52" t="s">
        <v>74</v>
      </c>
      <c r="AU52">
        <v>2023</v>
      </c>
      <c r="AV52">
        <v>51</v>
      </c>
      <c r="AW52">
        <v>4</v>
      </c>
      <c r="AX52" t="s">
        <v>74</v>
      </c>
      <c r="AY52" t="s">
        <v>74</v>
      </c>
      <c r="AZ52" t="s">
        <v>74</v>
      </c>
      <c r="BA52" t="s">
        <v>74</v>
      </c>
      <c r="BB52" t="s">
        <v>74</v>
      </c>
      <c r="BC52" t="s">
        <v>74</v>
      </c>
      <c r="BD52">
        <v>13290</v>
      </c>
      <c r="BE52" t="s">
        <v>1163</v>
      </c>
      <c r="BF52" t="str">
        <f>HYPERLINK("http://dx.doi.org/10.15835/nbha51413290","http://dx.doi.org/10.15835/nbha51413290")</f>
        <v>http://dx.doi.org/10.15835/nbha51413290</v>
      </c>
      <c r="BG52" t="s">
        <v>74</v>
      </c>
      <c r="BH52" t="s">
        <v>74</v>
      </c>
      <c r="BI52">
        <v>14</v>
      </c>
      <c r="BJ52" t="s">
        <v>507</v>
      </c>
      <c r="BK52" t="s">
        <v>104</v>
      </c>
      <c r="BL52" t="s">
        <v>507</v>
      </c>
      <c r="BM52" t="s">
        <v>1164</v>
      </c>
      <c r="BN52" t="s">
        <v>74</v>
      </c>
      <c r="BO52" t="s">
        <v>165</v>
      </c>
      <c r="BP52" t="s">
        <v>74</v>
      </c>
      <c r="BQ52" t="s">
        <v>74</v>
      </c>
      <c r="BR52" t="s">
        <v>108</v>
      </c>
      <c r="BS52" t="s">
        <v>1165</v>
      </c>
      <c r="BT52" t="str">
        <f>HYPERLINK("https%3A%2F%2Fwww.webofscience.com%2Fwos%2Fwoscc%2Ffull-record%2FWOS:001166423300014","View Full Record in Web of Science")</f>
        <v>View Full Record in Web of Science</v>
      </c>
    </row>
    <row r="53" spans="1:72" x14ac:dyDescent="0.15">
      <c r="A53" t="s">
        <v>894</v>
      </c>
      <c r="B53" t="s">
        <v>1166</v>
      </c>
      <c r="C53" t="s">
        <v>74</v>
      </c>
      <c r="D53" t="s">
        <v>74</v>
      </c>
      <c r="E53" t="s">
        <v>1167</v>
      </c>
      <c r="F53" t="s">
        <v>1168</v>
      </c>
      <c r="G53" t="s">
        <v>74</v>
      </c>
      <c r="H53" t="s">
        <v>74</v>
      </c>
      <c r="I53" t="s">
        <v>1169</v>
      </c>
      <c r="J53" t="s">
        <v>1170</v>
      </c>
      <c r="K53" t="s">
        <v>1171</v>
      </c>
      <c r="L53" t="s">
        <v>74</v>
      </c>
      <c r="M53" t="s">
        <v>78</v>
      </c>
      <c r="N53" t="s">
        <v>901</v>
      </c>
      <c r="O53" t="s">
        <v>1172</v>
      </c>
      <c r="P53" t="s">
        <v>1173</v>
      </c>
      <c r="Q53" t="s">
        <v>1174</v>
      </c>
      <c r="R53" t="s">
        <v>74</v>
      </c>
      <c r="S53" t="s">
        <v>74</v>
      </c>
      <c r="T53" t="s">
        <v>1175</v>
      </c>
      <c r="U53" t="s">
        <v>74</v>
      </c>
      <c r="V53" t="s">
        <v>1176</v>
      </c>
      <c r="W53" t="s">
        <v>1177</v>
      </c>
      <c r="X53" t="s">
        <v>1178</v>
      </c>
      <c r="Y53" t="s">
        <v>1179</v>
      </c>
      <c r="Z53" t="s">
        <v>74</v>
      </c>
      <c r="AA53" t="s">
        <v>74</v>
      </c>
      <c r="AB53" t="s">
        <v>74</v>
      </c>
      <c r="AC53" t="s">
        <v>74</v>
      </c>
      <c r="AD53" t="s">
        <v>74</v>
      </c>
      <c r="AE53" t="s">
        <v>74</v>
      </c>
      <c r="AF53" t="s">
        <v>74</v>
      </c>
      <c r="AG53">
        <v>6</v>
      </c>
      <c r="AH53">
        <v>0</v>
      </c>
      <c r="AI53">
        <v>0</v>
      </c>
      <c r="AJ53">
        <v>1</v>
      </c>
      <c r="AK53">
        <v>1</v>
      </c>
      <c r="AL53" t="s">
        <v>1167</v>
      </c>
      <c r="AM53" t="s">
        <v>93</v>
      </c>
      <c r="AN53" t="s">
        <v>1180</v>
      </c>
      <c r="AO53" t="s">
        <v>1181</v>
      </c>
      <c r="AP53" t="s">
        <v>74</v>
      </c>
      <c r="AQ53" t="s">
        <v>1182</v>
      </c>
      <c r="AR53" t="s">
        <v>1183</v>
      </c>
      <c r="AS53" t="s">
        <v>74</v>
      </c>
      <c r="AT53" t="s">
        <v>74</v>
      </c>
      <c r="AU53">
        <v>2023</v>
      </c>
      <c r="AV53" t="s">
        <v>74</v>
      </c>
      <c r="AW53" t="s">
        <v>74</v>
      </c>
      <c r="AX53" t="s">
        <v>74</v>
      </c>
      <c r="AY53" t="s">
        <v>74</v>
      </c>
      <c r="AZ53" t="s">
        <v>74</v>
      </c>
      <c r="BA53" t="s">
        <v>74</v>
      </c>
      <c r="BB53">
        <v>48</v>
      </c>
      <c r="BC53">
        <v>51</v>
      </c>
      <c r="BD53" t="s">
        <v>74</v>
      </c>
      <c r="BE53" t="s">
        <v>1184</v>
      </c>
      <c r="BF53" t="str">
        <f>HYPERLINK("http://dx.doi.org/10.1109/IGARSS52108.2023.10282578","http://dx.doi.org/10.1109/IGARSS52108.2023.10282578")</f>
        <v>http://dx.doi.org/10.1109/IGARSS52108.2023.10282578</v>
      </c>
      <c r="BG53" t="s">
        <v>74</v>
      </c>
      <c r="BH53" t="s">
        <v>74</v>
      </c>
      <c r="BI53">
        <v>4</v>
      </c>
      <c r="BJ53" t="s">
        <v>1185</v>
      </c>
      <c r="BK53" t="s">
        <v>1186</v>
      </c>
      <c r="BL53" t="s">
        <v>1187</v>
      </c>
      <c r="BM53" t="s">
        <v>1188</v>
      </c>
      <c r="BN53" t="s">
        <v>74</v>
      </c>
      <c r="BO53" t="s">
        <v>74</v>
      </c>
      <c r="BP53" t="s">
        <v>74</v>
      </c>
      <c r="BQ53" t="s">
        <v>74</v>
      </c>
      <c r="BR53" t="s">
        <v>108</v>
      </c>
      <c r="BS53" t="s">
        <v>1189</v>
      </c>
      <c r="BT53" t="str">
        <f>HYPERLINK("https%3A%2F%2Fwww.webofscience.com%2Fwos%2Fwoscc%2Ffull-record%2FWOS:001098971600014","View Full Record in Web of Science")</f>
        <v>View Full Record in Web of Science</v>
      </c>
    </row>
    <row r="54" spans="1:72" x14ac:dyDescent="0.15">
      <c r="A54" t="s">
        <v>894</v>
      </c>
      <c r="B54" t="s">
        <v>1190</v>
      </c>
      <c r="C54" t="s">
        <v>74</v>
      </c>
      <c r="D54" t="s">
        <v>74</v>
      </c>
      <c r="E54" t="s">
        <v>1167</v>
      </c>
      <c r="F54" t="s">
        <v>1191</v>
      </c>
      <c r="G54" t="s">
        <v>74</v>
      </c>
      <c r="H54" t="s">
        <v>74</v>
      </c>
      <c r="I54" t="s">
        <v>1192</v>
      </c>
      <c r="J54" t="s">
        <v>1170</v>
      </c>
      <c r="K54" t="s">
        <v>1171</v>
      </c>
      <c r="L54" t="s">
        <v>74</v>
      </c>
      <c r="M54" t="s">
        <v>78</v>
      </c>
      <c r="N54" t="s">
        <v>901</v>
      </c>
      <c r="O54" t="s">
        <v>1172</v>
      </c>
      <c r="P54" t="s">
        <v>1173</v>
      </c>
      <c r="Q54" t="s">
        <v>1174</v>
      </c>
      <c r="R54" t="s">
        <v>74</v>
      </c>
      <c r="S54" t="s">
        <v>74</v>
      </c>
      <c r="T54" t="s">
        <v>1193</v>
      </c>
      <c r="U54" t="s">
        <v>1194</v>
      </c>
      <c r="V54" t="s">
        <v>1195</v>
      </c>
      <c r="W54" t="s">
        <v>1196</v>
      </c>
      <c r="X54" t="s">
        <v>1197</v>
      </c>
      <c r="Y54" t="s">
        <v>1198</v>
      </c>
      <c r="Z54" t="s">
        <v>74</v>
      </c>
      <c r="AA54" t="s">
        <v>74</v>
      </c>
      <c r="AB54" t="s">
        <v>74</v>
      </c>
      <c r="AC54" t="s">
        <v>1199</v>
      </c>
      <c r="AD54" t="s">
        <v>1200</v>
      </c>
      <c r="AE54" t="s">
        <v>1201</v>
      </c>
      <c r="AF54" t="s">
        <v>74</v>
      </c>
      <c r="AG54">
        <v>17</v>
      </c>
      <c r="AH54">
        <v>0</v>
      </c>
      <c r="AI54">
        <v>0</v>
      </c>
      <c r="AJ54">
        <v>0</v>
      </c>
      <c r="AK54">
        <v>0</v>
      </c>
      <c r="AL54" t="s">
        <v>1167</v>
      </c>
      <c r="AM54" t="s">
        <v>93</v>
      </c>
      <c r="AN54" t="s">
        <v>1180</v>
      </c>
      <c r="AO54" t="s">
        <v>1181</v>
      </c>
      <c r="AP54" t="s">
        <v>74</v>
      </c>
      <c r="AQ54" t="s">
        <v>1182</v>
      </c>
      <c r="AR54" t="s">
        <v>1183</v>
      </c>
      <c r="AS54" t="s">
        <v>74</v>
      </c>
      <c r="AT54" t="s">
        <v>74</v>
      </c>
      <c r="AU54">
        <v>2023</v>
      </c>
      <c r="AV54" t="s">
        <v>74</v>
      </c>
      <c r="AW54" t="s">
        <v>74</v>
      </c>
      <c r="AX54" t="s">
        <v>74</v>
      </c>
      <c r="AY54" t="s">
        <v>74</v>
      </c>
      <c r="AZ54" t="s">
        <v>74</v>
      </c>
      <c r="BA54" t="s">
        <v>74</v>
      </c>
      <c r="BB54">
        <v>60</v>
      </c>
      <c r="BC54">
        <v>63</v>
      </c>
      <c r="BD54" t="s">
        <v>74</v>
      </c>
      <c r="BE54" t="s">
        <v>1202</v>
      </c>
      <c r="BF54" t="str">
        <f>HYPERLINK("http://dx.doi.org/10.1109/IGARSS52108.2023.10282250","http://dx.doi.org/10.1109/IGARSS52108.2023.10282250")</f>
        <v>http://dx.doi.org/10.1109/IGARSS52108.2023.10282250</v>
      </c>
      <c r="BG54" t="s">
        <v>74</v>
      </c>
      <c r="BH54" t="s">
        <v>74</v>
      </c>
      <c r="BI54">
        <v>4</v>
      </c>
      <c r="BJ54" t="s">
        <v>1185</v>
      </c>
      <c r="BK54" t="s">
        <v>1186</v>
      </c>
      <c r="BL54" t="s">
        <v>1187</v>
      </c>
      <c r="BM54" t="s">
        <v>1188</v>
      </c>
      <c r="BN54" t="s">
        <v>74</v>
      </c>
      <c r="BO54" t="s">
        <v>74</v>
      </c>
      <c r="BP54" t="s">
        <v>74</v>
      </c>
      <c r="BQ54" t="s">
        <v>74</v>
      </c>
      <c r="BR54" t="s">
        <v>108</v>
      </c>
      <c r="BS54" t="s">
        <v>1203</v>
      </c>
      <c r="BT54" t="str">
        <f>HYPERLINK("https%3A%2F%2Fwww.webofscience.com%2Fwos%2Fwoscc%2Ffull-record%2FWOS:001098971600017","View Full Record in Web of Science")</f>
        <v>View Full Record in Web of Science</v>
      </c>
    </row>
    <row r="55" spans="1:72" x14ac:dyDescent="0.15">
      <c r="A55" t="s">
        <v>894</v>
      </c>
      <c r="B55" t="s">
        <v>1204</v>
      </c>
      <c r="C55" t="s">
        <v>74</v>
      </c>
      <c r="D55" t="s">
        <v>74</v>
      </c>
      <c r="E55" t="s">
        <v>1167</v>
      </c>
      <c r="F55" t="s">
        <v>1205</v>
      </c>
      <c r="G55" t="s">
        <v>74</v>
      </c>
      <c r="H55" t="s">
        <v>74</v>
      </c>
      <c r="I55" t="s">
        <v>1206</v>
      </c>
      <c r="J55" t="s">
        <v>1170</v>
      </c>
      <c r="K55" t="s">
        <v>1171</v>
      </c>
      <c r="L55" t="s">
        <v>74</v>
      </c>
      <c r="M55" t="s">
        <v>78</v>
      </c>
      <c r="N55" t="s">
        <v>901</v>
      </c>
      <c r="O55" t="s">
        <v>1172</v>
      </c>
      <c r="P55" t="s">
        <v>1173</v>
      </c>
      <c r="Q55" t="s">
        <v>1174</v>
      </c>
      <c r="R55" t="s">
        <v>74</v>
      </c>
      <c r="S55" t="s">
        <v>74</v>
      </c>
      <c r="T55" t="s">
        <v>1207</v>
      </c>
      <c r="U55" t="s">
        <v>1208</v>
      </c>
      <c r="V55" t="s">
        <v>1209</v>
      </c>
      <c r="W55" t="s">
        <v>1210</v>
      </c>
      <c r="X55" t="s">
        <v>1211</v>
      </c>
      <c r="Y55" t="s">
        <v>1212</v>
      </c>
      <c r="Z55" t="s">
        <v>74</v>
      </c>
      <c r="AA55" t="s">
        <v>1213</v>
      </c>
      <c r="AB55" t="s">
        <v>1214</v>
      </c>
      <c r="AC55" t="s">
        <v>1215</v>
      </c>
      <c r="AD55" t="s">
        <v>1216</v>
      </c>
      <c r="AE55" t="s">
        <v>1217</v>
      </c>
      <c r="AF55" t="s">
        <v>74</v>
      </c>
      <c r="AG55">
        <v>22</v>
      </c>
      <c r="AH55">
        <v>0</v>
      </c>
      <c r="AI55">
        <v>0</v>
      </c>
      <c r="AJ55">
        <v>1</v>
      </c>
      <c r="AK55">
        <v>1</v>
      </c>
      <c r="AL55" t="s">
        <v>1167</v>
      </c>
      <c r="AM55" t="s">
        <v>93</v>
      </c>
      <c r="AN55" t="s">
        <v>1180</v>
      </c>
      <c r="AO55" t="s">
        <v>1181</v>
      </c>
      <c r="AP55" t="s">
        <v>74</v>
      </c>
      <c r="AQ55" t="s">
        <v>1182</v>
      </c>
      <c r="AR55" t="s">
        <v>1183</v>
      </c>
      <c r="AS55" t="s">
        <v>74</v>
      </c>
      <c r="AT55" t="s">
        <v>74</v>
      </c>
      <c r="AU55">
        <v>2023</v>
      </c>
      <c r="AV55" t="s">
        <v>74</v>
      </c>
      <c r="AW55" t="s">
        <v>74</v>
      </c>
      <c r="AX55" t="s">
        <v>74</v>
      </c>
      <c r="AY55" t="s">
        <v>74</v>
      </c>
      <c r="AZ55" t="s">
        <v>74</v>
      </c>
      <c r="BA55" t="s">
        <v>74</v>
      </c>
      <c r="BB55">
        <v>67</v>
      </c>
      <c r="BC55">
        <v>70</v>
      </c>
      <c r="BD55" t="s">
        <v>74</v>
      </c>
      <c r="BE55" t="s">
        <v>1218</v>
      </c>
      <c r="BF55" t="str">
        <f>HYPERLINK("http://dx.doi.org/10.1109/IGARSS52108.2023.10282889","http://dx.doi.org/10.1109/IGARSS52108.2023.10282889")</f>
        <v>http://dx.doi.org/10.1109/IGARSS52108.2023.10282889</v>
      </c>
      <c r="BG55" t="s">
        <v>74</v>
      </c>
      <c r="BH55" t="s">
        <v>74</v>
      </c>
      <c r="BI55">
        <v>4</v>
      </c>
      <c r="BJ55" t="s">
        <v>1185</v>
      </c>
      <c r="BK55" t="s">
        <v>1186</v>
      </c>
      <c r="BL55" t="s">
        <v>1187</v>
      </c>
      <c r="BM55" t="s">
        <v>1188</v>
      </c>
      <c r="BN55" t="s">
        <v>74</v>
      </c>
      <c r="BO55" t="s">
        <v>74</v>
      </c>
      <c r="BP55" t="s">
        <v>74</v>
      </c>
      <c r="BQ55" t="s">
        <v>74</v>
      </c>
      <c r="BR55" t="s">
        <v>108</v>
      </c>
      <c r="BS55" t="s">
        <v>1219</v>
      </c>
      <c r="BT55" t="str">
        <f>HYPERLINK("https%3A%2F%2Fwww.webofscience.com%2Fwos%2Fwoscc%2Ffull-record%2FWOS:001098971600019","View Full Record in Web of Science")</f>
        <v>View Full Record in Web of Science</v>
      </c>
    </row>
    <row r="56" spans="1:72" x14ac:dyDescent="0.15">
      <c r="A56" t="s">
        <v>894</v>
      </c>
      <c r="B56" t="s">
        <v>1220</v>
      </c>
      <c r="C56" t="s">
        <v>74</v>
      </c>
      <c r="D56" t="s">
        <v>74</v>
      </c>
      <c r="E56" t="s">
        <v>1167</v>
      </c>
      <c r="F56" t="s">
        <v>1221</v>
      </c>
      <c r="G56" t="s">
        <v>74</v>
      </c>
      <c r="H56" t="s">
        <v>74</v>
      </c>
      <c r="I56" t="s">
        <v>1222</v>
      </c>
      <c r="J56" t="s">
        <v>1170</v>
      </c>
      <c r="K56" t="s">
        <v>1171</v>
      </c>
      <c r="L56" t="s">
        <v>74</v>
      </c>
      <c r="M56" t="s">
        <v>78</v>
      </c>
      <c r="N56" t="s">
        <v>901</v>
      </c>
      <c r="O56" t="s">
        <v>1172</v>
      </c>
      <c r="P56" t="s">
        <v>1173</v>
      </c>
      <c r="Q56" t="s">
        <v>1174</v>
      </c>
      <c r="R56" t="s">
        <v>74</v>
      </c>
      <c r="S56" t="s">
        <v>74</v>
      </c>
      <c r="T56" t="s">
        <v>1223</v>
      </c>
      <c r="U56" t="s">
        <v>1224</v>
      </c>
      <c r="V56" t="s">
        <v>1225</v>
      </c>
      <c r="W56" t="s">
        <v>1226</v>
      </c>
      <c r="X56" t="s">
        <v>1227</v>
      </c>
      <c r="Y56" t="s">
        <v>1228</v>
      </c>
      <c r="Z56" t="s">
        <v>74</v>
      </c>
      <c r="AA56" t="s">
        <v>1213</v>
      </c>
      <c r="AB56" t="s">
        <v>1214</v>
      </c>
      <c r="AC56" t="s">
        <v>1215</v>
      </c>
      <c r="AD56" t="s">
        <v>1216</v>
      </c>
      <c r="AE56" t="s">
        <v>1217</v>
      </c>
      <c r="AF56" t="s">
        <v>74</v>
      </c>
      <c r="AG56">
        <v>18</v>
      </c>
      <c r="AH56">
        <v>0</v>
      </c>
      <c r="AI56">
        <v>0</v>
      </c>
      <c r="AJ56">
        <v>0</v>
      </c>
      <c r="AK56">
        <v>0</v>
      </c>
      <c r="AL56" t="s">
        <v>1167</v>
      </c>
      <c r="AM56" t="s">
        <v>93</v>
      </c>
      <c r="AN56" t="s">
        <v>1180</v>
      </c>
      <c r="AO56" t="s">
        <v>1181</v>
      </c>
      <c r="AP56" t="s">
        <v>74</v>
      </c>
      <c r="AQ56" t="s">
        <v>1182</v>
      </c>
      <c r="AR56" t="s">
        <v>1183</v>
      </c>
      <c r="AS56" t="s">
        <v>74</v>
      </c>
      <c r="AT56" t="s">
        <v>74</v>
      </c>
      <c r="AU56">
        <v>2023</v>
      </c>
      <c r="AV56" t="s">
        <v>74</v>
      </c>
      <c r="AW56" t="s">
        <v>74</v>
      </c>
      <c r="AX56" t="s">
        <v>74</v>
      </c>
      <c r="AY56" t="s">
        <v>74</v>
      </c>
      <c r="AZ56" t="s">
        <v>74</v>
      </c>
      <c r="BA56" t="s">
        <v>74</v>
      </c>
      <c r="BB56">
        <v>79</v>
      </c>
      <c r="BC56">
        <v>82</v>
      </c>
      <c r="BD56" t="s">
        <v>74</v>
      </c>
      <c r="BE56" t="s">
        <v>1229</v>
      </c>
      <c r="BF56" t="str">
        <f>HYPERLINK("http://dx.doi.org/10.1109/IGARSS52108.2023.10283195","http://dx.doi.org/10.1109/IGARSS52108.2023.10283195")</f>
        <v>http://dx.doi.org/10.1109/IGARSS52108.2023.10283195</v>
      </c>
      <c r="BG56" t="s">
        <v>74</v>
      </c>
      <c r="BH56" t="s">
        <v>74</v>
      </c>
      <c r="BI56">
        <v>4</v>
      </c>
      <c r="BJ56" t="s">
        <v>1185</v>
      </c>
      <c r="BK56" t="s">
        <v>1186</v>
      </c>
      <c r="BL56" t="s">
        <v>1187</v>
      </c>
      <c r="BM56" t="s">
        <v>1188</v>
      </c>
      <c r="BN56" t="s">
        <v>74</v>
      </c>
      <c r="BO56" t="s">
        <v>74</v>
      </c>
      <c r="BP56" t="s">
        <v>74</v>
      </c>
      <c r="BQ56" t="s">
        <v>74</v>
      </c>
      <c r="BR56" t="s">
        <v>108</v>
      </c>
      <c r="BS56" t="s">
        <v>1230</v>
      </c>
      <c r="BT56" t="str">
        <f>HYPERLINK("https%3A%2F%2Fwww.webofscience.com%2Fwos%2Fwoscc%2Ffull-record%2FWOS:001098971600022","View Full Record in Web of Science")</f>
        <v>View Full Record in Web of Science</v>
      </c>
    </row>
    <row r="57" spans="1:72" x14ac:dyDescent="0.15">
      <c r="A57" t="s">
        <v>894</v>
      </c>
      <c r="B57" t="s">
        <v>1231</v>
      </c>
      <c r="C57" t="s">
        <v>74</v>
      </c>
      <c r="D57" t="s">
        <v>74</v>
      </c>
      <c r="E57" t="s">
        <v>1167</v>
      </c>
      <c r="F57" t="s">
        <v>1232</v>
      </c>
      <c r="G57" t="s">
        <v>74</v>
      </c>
      <c r="H57" t="s">
        <v>74</v>
      </c>
      <c r="I57" t="s">
        <v>1233</v>
      </c>
      <c r="J57" t="s">
        <v>1170</v>
      </c>
      <c r="K57" t="s">
        <v>1171</v>
      </c>
      <c r="L57" t="s">
        <v>74</v>
      </c>
      <c r="M57" t="s">
        <v>78</v>
      </c>
      <c r="N57" t="s">
        <v>901</v>
      </c>
      <c r="O57" t="s">
        <v>1172</v>
      </c>
      <c r="P57" t="s">
        <v>1173</v>
      </c>
      <c r="Q57" t="s">
        <v>1174</v>
      </c>
      <c r="R57" t="s">
        <v>74</v>
      </c>
      <c r="S57" t="s">
        <v>74</v>
      </c>
      <c r="T57" t="s">
        <v>1234</v>
      </c>
      <c r="U57" t="s">
        <v>1235</v>
      </c>
      <c r="V57" t="s">
        <v>1236</v>
      </c>
      <c r="W57" t="s">
        <v>1237</v>
      </c>
      <c r="X57" t="s">
        <v>1238</v>
      </c>
      <c r="Y57" t="s">
        <v>1239</v>
      </c>
      <c r="Z57" t="s">
        <v>74</v>
      </c>
      <c r="AA57" t="s">
        <v>74</v>
      </c>
      <c r="AB57" t="s">
        <v>74</v>
      </c>
      <c r="AC57" t="s">
        <v>74</v>
      </c>
      <c r="AD57" t="s">
        <v>74</v>
      </c>
      <c r="AE57" t="s">
        <v>74</v>
      </c>
      <c r="AF57" t="s">
        <v>74</v>
      </c>
      <c r="AG57">
        <v>14</v>
      </c>
      <c r="AH57">
        <v>0</v>
      </c>
      <c r="AI57">
        <v>0</v>
      </c>
      <c r="AJ57">
        <v>0</v>
      </c>
      <c r="AK57">
        <v>0</v>
      </c>
      <c r="AL57" t="s">
        <v>1167</v>
      </c>
      <c r="AM57" t="s">
        <v>93</v>
      </c>
      <c r="AN57" t="s">
        <v>1180</v>
      </c>
      <c r="AO57" t="s">
        <v>1181</v>
      </c>
      <c r="AP57" t="s">
        <v>74</v>
      </c>
      <c r="AQ57" t="s">
        <v>1182</v>
      </c>
      <c r="AR57" t="s">
        <v>1183</v>
      </c>
      <c r="AS57" t="s">
        <v>74</v>
      </c>
      <c r="AT57" t="s">
        <v>74</v>
      </c>
      <c r="AU57">
        <v>2023</v>
      </c>
      <c r="AV57" t="s">
        <v>74</v>
      </c>
      <c r="AW57" t="s">
        <v>74</v>
      </c>
      <c r="AX57" t="s">
        <v>74</v>
      </c>
      <c r="AY57" t="s">
        <v>74</v>
      </c>
      <c r="AZ57" t="s">
        <v>74</v>
      </c>
      <c r="BA57" t="s">
        <v>74</v>
      </c>
      <c r="BB57">
        <v>102</v>
      </c>
      <c r="BC57">
        <v>105</v>
      </c>
      <c r="BD57" t="s">
        <v>74</v>
      </c>
      <c r="BE57" t="s">
        <v>1240</v>
      </c>
      <c r="BF57" t="str">
        <f>HYPERLINK("http://dx.doi.org/10.1109/IGARSS52108.2023.10283400","http://dx.doi.org/10.1109/IGARSS52108.2023.10283400")</f>
        <v>http://dx.doi.org/10.1109/IGARSS52108.2023.10283400</v>
      </c>
      <c r="BG57" t="s">
        <v>74</v>
      </c>
      <c r="BH57" t="s">
        <v>74</v>
      </c>
      <c r="BI57">
        <v>4</v>
      </c>
      <c r="BJ57" t="s">
        <v>1185</v>
      </c>
      <c r="BK57" t="s">
        <v>1186</v>
      </c>
      <c r="BL57" t="s">
        <v>1187</v>
      </c>
      <c r="BM57" t="s">
        <v>1188</v>
      </c>
      <c r="BN57" t="s">
        <v>74</v>
      </c>
      <c r="BO57" t="s">
        <v>74</v>
      </c>
      <c r="BP57" t="s">
        <v>74</v>
      </c>
      <c r="BQ57" t="s">
        <v>74</v>
      </c>
      <c r="BR57" t="s">
        <v>108</v>
      </c>
      <c r="BS57" t="s">
        <v>1241</v>
      </c>
      <c r="BT57" t="str">
        <f>HYPERLINK("https%3A%2F%2Fwww.webofscience.com%2Fwos%2Fwoscc%2Ffull-record%2FWOS:001098971600027","View Full Record in Web of Science")</f>
        <v>View Full Record in Web of Science</v>
      </c>
    </row>
    <row r="58" spans="1:72" x14ac:dyDescent="0.15">
      <c r="A58" t="s">
        <v>894</v>
      </c>
      <c r="B58" t="s">
        <v>1242</v>
      </c>
      <c r="C58" t="s">
        <v>74</v>
      </c>
      <c r="D58" t="s">
        <v>74</v>
      </c>
      <c r="E58" t="s">
        <v>1167</v>
      </c>
      <c r="F58" t="s">
        <v>1243</v>
      </c>
      <c r="G58" t="s">
        <v>74</v>
      </c>
      <c r="H58" t="s">
        <v>74</v>
      </c>
      <c r="I58" t="s">
        <v>1244</v>
      </c>
      <c r="J58" t="s">
        <v>1170</v>
      </c>
      <c r="K58" t="s">
        <v>1171</v>
      </c>
      <c r="L58" t="s">
        <v>74</v>
      </c>
      <c r="M58" t="s">
        <v>78</v>
      </c>
      <c r="N58" t="s">
        <v>901</v>
      </c>
      <c r="O58" t="s">
        <v>1172</v>
      </c>
      <c r="P58" t="s">
        <v>1173</v>
      </c>
      <c r="Q58" t="s">
        <v>1174</v>
      </c>
      <c r="R58" t="s">
        <v>74</v>
      </c>
      <c r="S58" t="s">
        <v>74</v>
      </c>
      <c r="T58" t="s">
        <v>1245</v>
      </c>
      <c r="U58" t="s">
        <v>1246</v>
      </c>
      <c r="V58" t="s">
        <v>1247</v>
      </c>
      <c r="W58" t="s">
        <v>1248</v>
      </c>
      <c r="X58" t="s">
        <v>1197</v>
      </c>
      <c r="Y58" t="s">
        <v>1249</v>
      </c>
      <c r="Z58" t="s">
        <v>74</v>
      </c>
      <c r="AA58" t="s">
        <v>1250</v>
      </c>
      <c r="AB58" t="s">
        <v>1251</v>
      </c>
      <c r="AC58" t="s">
        <v>1199</v>
      </c>
      <c r="AD58" t="s">
        <v>1200</v>
      </c>
      <c r="AE58" t="s">
        <v>1201</v>
      </c>
      <c r="AF58" t="s">
        <v>74</v>
      </c>
      <c r="AG58">
        <v>14</v>
      </c>
      <c r="AH58">
        <v>0</v>
      </c>
      <c r="AI58">
        <v>0</v>
      </c>
      <c r="AJ58">
        <v>0</v>
      </c>
      <c r="AK58">
        <v>0</v>
      </c>
      <c r="AL58" t="s">
        <v>1167</v>
      </c>
      <c r="AM58" t="s">
        <v>93</v>
      </c>
      <c r="AN58" t="s">
        <v>1180</v>
      </c>
      <c r="AO58" t="s">
        <v>1181</v>
      </c>
      <c r="AP58" t="s">
        <v>74</v>
      </c>
      <c r="AQ58" t="s">
        <v>1182</v>
      </c>
      <c r="AR58" t="s">
        <v>1183</v>
      </c>
      <c r="AS58" t="s">
        <v>74</v>
      </c>
      <c r="AT58" t="s">
        <v>74</v>
      </c>
      <c r="AU58">
        <v>2023</v>
      </c>
      <c r="AV58" t="s">
        <v>74</v>
      </c>
      <c r="AW58" t="s">
        <v>74</v>
      </c>
      <c r="AX58" t="s">
        <v>74</v>
      </c>
      <c r="AY58" t="s">
        <v>74</v>
      </c>
      <c r="AZ58" t="s">
        <v>74</v>
      </c>
      <c r="BA58" t="s">
        <v>74</v>
      </c>
      <c r="BB58">
        <v>149</v>
      </c>
      <c r="BC58">
        <v>152</v>
      </c>
      <c r="BD58" t="s">
        <v>74</v>
      </c>
      <c r="BE58" t="s">
        <v>1252</v>
      </c>
      <c r="BF58" t="str">
        <f>HYPERLINK("http://dx.doi.org/10.1109/IGARSS52108.2023.10281906","http://dx.doi.org/10.1109/IGARSS52108.2023.10281906")</f>
        <v>http://dx.doi.org/10.1109/IGARSS52108.2023.10281906</v>
      </c>
      <c r="BG58" t="s">
        <v>74</v>
      </c>
      <c r="BH58" t="s">
        <v>74</v>
      </c>
      <c r="BI58">
        <v>4</v>
      </c>
      <c r="BJ58" t="s">
        <v>1185</v>
      </c>
      <c r="BK58" t="s">
        <v>1186</v>
      </c>
      <c r="BL58" t="s">
        <v>1187</v>
      </c>
      <c r="BM58" t="s">
        <v>1188</v>
      </c>
      <c r="BN58" t="s">
        <v>74</v>
      </c>
      <c r="BO58" t="s">
        <v>74</v>
      </c>
      <c r="BP58" t="s">
        <v>74</v>
      </c>
      <c r="BQ58" t="s">
        <v>74</v>
      </c>
      <c r="BR58" t="s">
        <v>108</v>
      </c>
      <c r="BS58" t="s">
        <v>1253</v>
      </c>
      <c r="BT58" t="str">
        <f>HYPERLINK("https%3A%2F%2Fwww.webofscience.com%2Fwos%2Fwoscc%2Ffull-record%2FWOS:001098971600039","View Full Record in Web of Science")</f>
        <v>View Full Record in Web of Science</v>
      </c>
    </row>
    <row r="59" spans="1:72" x14ac:dyDescent="0.15">
      <c r="A59" t="s">
        <v>894</v>
      </c>
      <c r="B59" t="s">
        <v>1254</v>
      </c>
      <c r="C59" t="s">
        <v>74</v>
      </c>
      <c r="D59" t="s">
        <v>74</v>
      </c>
      <c r="E59" t="s">
        <v>1167</v>
      </c>
      <c r="F59" t="s">
        <v>1255</v>
      </c>
      <c r="G59" t="s">
        <v>74</v>
      </c>
      <c r="H59" t="s">
        <v>74</v>
      </c>
      <c r="I59" t="s">
        <v>1256</v>
      </c>
      <c r="J59" t="s">
        <v>1170</v>
      </c>
      <c r="K59" t="s">
        <v>1171</v>
      </c>
      <c r="L59" t="s">
        <v>74</v>
      </c>
      <c r="M59" t="s">
        <v>78</v>
      </c>
      <c r="N59" t="s">
        <v>901</v>
      </c>
      <c r="O59" t="s">
        <v>1172</v>
      </c>
      <c r="P59" t="s">
        <v>1173</v>
      </c>
      <c r="Q59" t="s">
        <v>1174</v>
      </c>
      <c r="R59" t="s">
        <v>74</v>
      </c>
      <c r="S59" t="s">
        <v>74</v>
      </c>
      <c r="T59" t="s">
        <v>1257</v>
      </c>
      <c r="U59" t="s">
        <v>74</v>
      </c>
      <c r="V59" t="s">
        <v>1258</v>
      </c>
      <c r="W59" t="s">
        <v>1259</v>
      </c>
      <c r="X59" t="s">
        <v>1260</v>
      </c>
      <c r="Y59" t="s">
        <v>1261</v>
      </c>
      <c r="Z59" t="s">
        <v>74</v>
      </c>
      <c r="AA59" t="s">
        <v>74</v>
      </c>
      <c r="AB59" t="s">
        <v>74</v>
      </c>
      <c r="AC59" t="s">
        <v>1262</v>
      </c>
      <c r="AD59" t="s">
        <v>1263</v>
      </c>
      <c r="AE59" t="s">
        <v>1264</v>
      </c>
      <c r="AF59" t="s">
        <v>74</v>
      </c>
      <c r="AG59">
        <v>6</v>
      </c>
      <c r="AH59">
        <v>0</v>
      </c>
      <c r="AI59">
        <v>0</v>
      </c>
      <c r="AJ59">
        <v>1</v>
      </c>
      <c r="AK59">
        <v>1</v>
      </c>
      <c r="AL59" t="s">
        <v>1167</v>
      </c>
      <c r="AM59" t="s">
        <v>93</v>
      </c>
      <c r="AN59" t="s">
        <v>1180</v>
      </c>
      <c r="AO59" t="s">
        <v>1181</v>
      </c>
      <c r="AP59" t="s">
        <v>74</v>
      </c>
      <c r="AQ59" t="s">
        <v>1182</v>
      </c>
      <c r="AR59" t="s">
        <v>1183</v>
      </c>
      <c r="AS59" t="s">
        <v>74</v>
      </c>
      <c r="AT59" t="s">
        <v>74</v>
      </c>
      <c r="AU59">
        <v>2023</v>
      </c>
      <c r="AV59" t="s">
        <v>74</v>
      </c>
      <c r="AW59" t="s">
        <v>74</v>
      </c>
      <c r="AX59" t="s">
        <v>74</v>
      </c>
      <c r="AY59" t="s">
        <v>74</v>
      </c>
      <c r="AZ59" t="s">
        <v>74</v>
      </c>
      <c r="BA59" t="s">
        <v>74</v>
      </c>
      <c r="BB59">
        <v>179</v>
      </c>
      <c r="BC59">
        <v>182</v>
      </c>
      <c r="BD59" t="s">
        <v>74</v>
      </c>
      <c r="BE59" t="s">
        <v>1265</v>
      </c>
      <c r="BF59" t="str">
        <f>HYPERLINK("http://dx.doi.org/10.1109/IGARSS52108.2023.10281606","http://dx.doi.org/10.1109/IGARSS52108.2023.10281606")</f>
        <v>http://dx.doi.org/10.1109/IGARSS52108.2023.10281606</v>
      </c>
      <c r="BG59" t="s">
        <v>74</v>
      </c>
      <c r="BH59" t="s">
        <v>74</v>
      </c>
      <c r="BI59">
        <v>4</v>
      </c>
      <c r="BJ59" t="s">
        <v>1185</v>
      </c>
      <c r="BK59" t="s">
        <v>1186</v>
      </c>
      <c r="BL59" t="s">
        <v>1187</v>
      </c>
      <c r="BM59" t="s">
        <v>1188</v>
      </c>
      <c r="BN59" t="s">
        <v>74</v>
      </c>
      <c r="BO59" t="s">
        <v>74</v>
      </c>
      <c r="BP59" t="s">
        <v>74</v>
      </c>
      <c r="BQ59" t="s">
        <v>74</v>
      </c>
      <c r="BR59" t="s">
        <v>108</v>
      </c>
      <c r="BS59" t="s">
        <v>1266</v>
      </c>
      <c r="BT59" t="str">
        <f>HYPERLINK("https%3A%2F%2Fwww.webofscience.com%2Fwos%2Fwoscc%2Ffull-record%2FWOS:001098971600046","View Full Record in Web of Science")</f>
        <v>View Full Record in Web of Science</v>
      </c>
    </row>
    <row r="60" spans="1:72" x14ac:dyDescent="0.15">
      <c r="A60" t="s">
        <v>894</v>
      </c>
      <c r="B60" t="s">
        <v>1267</v>
      </c>
      <c r="C60" t="s">
        <v>74</v>
      </c>
      <c r="D60" t="s">
        <v>74</v>
      </c>
      <c r="E60" t="s">
        <v>1167</v>
      </c>
      <c r="F60" t="s">
        <v>1268</v>
      </c>
      <c r="G60" t="s">
        <v>74</v>
      </c>
      <c r="H60" t="s">
        <v>74</v>
      </c>
      <c r="I60" t="s">
        <v>1269</v>
      </c>
      <c r="J60" t="s">
        <v>1170</v>
      </c>
      <c r="K60" t="s">
        <v>1171</v>
      </c>
      <c r="L60" t="s">
        <v>74</v>
      </c>
      <c r="M60" t="s">
        <v>78</v>
      </c>
      <c r="N60" t="s">
        <v>901</v>
      </c>
      <c r="O60" t="s">
        <v>1172</v>
      </c>
      <c r="P60" t="s">
        <v>1173</v>
      </c>
      <c r="Q60" t="s">
        <v>1174</v>
      </c>
      <c r="R60" t="s">
        <v>74</v>
      </c>
      <c r="S60" t="s">
        <v>74</v>
      </c>
      <c r="T60" t="s">
        <v>1270</v>
      </c>
      <c r="U60" t="s">
        <v>1271</v>
      </c>
      <c r="V60" t="s">
        <v>1272</v>
      </c>
      <c r="W60" t="s">
        <v>1273</v>
      </c>
      <c r="X60" t="s">
        <v>1274</v>
      </c>
      <c r="Y60" t="s">
        <v>1275</v>
      </c>
      <c r="Z60" t="s">
        <v>1276</v>
      </c>
      <c r="AA60" t="s">
        <v>74</v>
      </c>
      <c r="AB60" t="s">
        <v>1277</v>
      </c>
      <c r="AC60" t="s">
        <v>74</v>
      </c>
      <c r="AD60" t="s">
        <v>74</v>
      </c>
      <c r="AE60" t="s">
        <v>74</v>
      </c>
      <c r="AF60" t="s">
        <v>74</v>
      </c>
      <c r="AG60">
        <v>16</v>
      </c>
      <c r="AH60">
        <v>0</v>
      </c>
      <c r="AI60">
        <v>0</v>
      </c>
      <c r="AJ60">
        <v>1</v>
      </c>
      <c r="AK60">
        <v>1</v>
      </c>
      <c r="AL60" t="s">
        <v>1167</v>
      </c>
      <c r="AM60" t="s">
        <v>93</v>
      </c>
      <c r="AN60" t="s">
        <v>1180</v>
      </c>
      <c r="AO60" t="s">
        <v>1181</v>
      </c>
      <c r="AP60" t="s">
        <v>74</v>
      </c>
      <c r="AQ60" t="s">
        <v>1182</v>
      </c>
      <c r="AR60" t="s">
        <v>1183</v>
      </c>
      <c r="AS60" t="s">
        <v>74</v>
      </c>
      <c r="AT60" t="s">
        <v>74</v>
      </c>
      <c r="AU60">
        <v>2023</v>
      </c>
      <c r="AV60" t="s">
        <v>74</v>
      </c>
      <c r="AW60" t="s">
        <v>74</v>
      </c>
      <c r="AX60" t="s">
        <v>74</v>
      </c>
      <c r="AY60" t="s">
        <v>74</v>
      </c>
      <c r="AZ60" t="s">
        <v>74</v>
      </c>
      <c r="BA60" t="s">
        <v>74</v>
      </c>
      <c r="BB60">
        <v>183</v>
      </c>
      <c r="BC60">
        <v>186</v>
      </c>
      <c r="BD60" t="s">
        <v>74</v>
      </c>
      <c r="BE60" t="s">
        <v>1278</v>
      </c>
      <c r="BF60" t="str">
        <f>HYPERLINK("http://dx.doi.org/10.1109/IGARSS52108.2023.10282372","http://dx.doi.org/10.1109/IGARSS52108.2023.10282372")</f>
        <v>http://dx.doi.org/10.1109/IGARSS52108.2023.10282372</v>
      </c>
      <c r="BG60" t="s">
        <v>74</v>
      </c>
      <c r="BH60" t="s">
        <v>74</v>
      </c>
      <c r="BI60">
        <v>4</v>
      </c>
      <c r="BJ60" t="s">
        <v>1185</v>
      </c>
      <c r="BK60" t="s">
        <v>1186</v>
      </c>
      <c r="BL60" t="s">
        <v>1187</v>
      </c>
      <c r="BM60" t="s">
        <v>1188</v>
      </c>
      <c r="BN60" t="s">
        <v>74</v>
      </c>
      <c r="BO60" t="s">
        <v>1279</v>
      </c>
      <c r="BP60" t="s">
        <v>74</v>
      </c>
      <c r="BQ60" t="s">
        <v>74</v>
      </c>
      <c r="BR60" t="s">
        <v>108</v>
      </c>
      <c r="BS60" t="s">
        <v>1280</v>
      </c>
      <c r="BT60" t="str">
        <f>HYPERLINK("https%3A%2F%2Fwww.webofscience.com%2Fwos%2Fwoscc%2Ffull-record%2FWOS:001098971600047","View Full Record in Web of Science")</f>
        <v>View Full Record in Web of Science</v>
      </c>
    </row>
    <row r="61" spans="1:72" x14ac:dyDescent="0.15">
      <c r="A61" t="s">
        <v>894</v>
      </c>
      <c r="B61" t="s">
        <v>1281</v>
      </c>
      <c r="C61" t="s">
        <v>74</v>
      </c>
      <c r="D61" t="s">
        <v>74</v>
      </c>
      <c r="E61" t="s">
        <v>1167</v>
      </c>
      <c r="F61" t="s">
        <v>1282</v>
      </c>
      <c r="G61" t="s">
        <v>74</v>
      </c>
      <c r="H61" t="s">
        <v>74</v>
      </c>
      <c r="I61" t="s">
        <v>1283</v>
      </c>
      <c r="J61" t="s">
        <v>1170</v>
      </c>
      <c r="K61" t="s">
        <v>1171</v>
      </c>
      <c r="L61" t="s">
        <v>74</v>
      </c>
      <c r="M61" t="s">
        <v>78</v>
      </c>
      <c r="N61" t="s">
        <v>901</v>
      </c>
      <c r="O61" t="s">
        <v>1172</v>
      </c>
      <c r="P61" t="s">
        <v>1173</v>
      </c>
      <c r="Q61" t="s">
        <v>1174</v>
      </c>
      <c r="R61" t="s">
        <v>74</v>
      </c>
      <c r="S61" t="s">
        <v>74</v>
      </c>
      <c r="T61" t="s">
        <v>1284</v>
      </c>
      <c r="U61" t="s">
        <v>74</v>
      </c>
      <c r="V61" t="s">
        <v>1285</v>
      </c>
      <c r="W61" t="s">
        <v>1286</v>
      </c>
      <c r="X61" t="s">
        <v>1287</v>
      </c>
      <c r="Y61" t="s">
        <v>1288</v>
      </c>
      <c r="Z61" t="s">
        <v>74</v>
      </c>
      <c r="AA61" t="s">
        <v>74</v>
      </c>
      <c r="AB61" t="s">
        <v>74</v>
      </c>
      <c r="AC61" t="s">
        <v>1289</v>
      </c>
      <c r="AD61" t="s">
        <v>1290</v>
      </c>
      <c r="AE61" t="s">
        <v>1291</v>
      </c>
      <c r="AF61" t="s">
        <v>74</v>
      </c>
      <c r="AG61">
        <v>15</v>
      </c>
      <c r="AH61">
        <v>0</v>
      </c>
      <c r="AI61">
        <v>0</v>
      </c>
      <c r="AJ61">
        <v>0</v>
      </c>
      <c r="AK61">
        <v>0</v>
      </c>
      <c r="AL61" t="s">
        <v>1167</v>
      </c>
      <c r="AM61" t="s">
        <v>93</v>
      </c>
      <c r="AN61" t="s">
        <v>1180</v>
      </c>
      <c r="AO61" t="s">
        <v>1181</v>
      </c>
      <c r="AP61" t="s">
        <v>74</v>
      </c>
      <c r="AQ61" t="s">
        <v>1182</v>
      </c>
      <c r="AR61" t="s">
        <v>1183</v>
      </c>
      <c r="AS61" t="s">
        <v>74</v>
      </c>
      <c r="AT61" t="s">
        <v>74</v>
      </c>
      <c r="AU61">
        <v>2023</v>
      </c>
      <c r="AV61" t="s">
        <v>74</v>
      </c>
      <c r="AW61" t="s">
        <v>74</v>
      </c>
      <c r="AX61" t="s">
        <v>74</v>
      </c>
      <c r="AY61" t="s">
        <v>74</v>
      </c>
      <c r="AZ61" t="s">
        <v>74</v>
      </c>
      <c r="BA61" t="s">
        <v>74</v>
      </c>
      <c r="BB61">
        <v>199</v>
      </c>
      <c r="BC61">
        <v>202</v>
      </c>
      <c r="BD61" t="s">
        <v>74</v>
      </c>
      <c r="BE61" t="s">
        <v>1292</v>
      </c>
      <c r="BF61" t="str">
        <f>HYPERLINK("http://dx.doi.org/10.1109/IGARSS52108.2023.10281976","http://dx.doi.org/10.1109/IGARSS52108.2023.10281976")</f>
        <v>http://dx.doi.org/10.1109/IGARSS52108.2023.10281976</v>
      </c>
      <c r="BG61" t="s">
        <v>74</v>
      </c>
      <c r="BH61" t="s">
        <v>74</v>
      </c>
      <c r="BI61">
        <v>4</v>
      </c>
      <c r="BJ61" t="s">
        <v>1185</v>
      </c>
      <c r="BK61" t="s">
        <v>1186</v>
      </c>
      <c r="BL61" t="s">
        <v>1187</v>
      </c>
      <c r="BM61" t="s">
        <v>1188</v>
      </c>
      <c r="BN61" t="s">
        <v>74</v>
      </c>
      <c r="BO61" t="s">
        <v>74</v>
      </c>
      <c r="BP61" t="s">
        <v>74</v>
      </c>
      <c r="BQ61" t="s">
        <v>74</v>
      </c>
      <c r="BR61" t="s">
        <v>108</v>
      </c>
      <c r="BS61" t="s">
        <v>1293</v>
      </c>
      <c r="BT61" t="str">
        <f>HYPERLINK("https%3A%2F%2Fwww.webofscience.com%2Fwos%2Fwoscc%2Ffull-record%2FWOS:001098971600051","View Full Record in Web of Science")</f>
        <v>View Full Record in Web of Science</v>
      </c>
    </row>
    <row r="62" spans="1:72" x14ac:dyDescent="0.15">
      <c r="A62" t="s">
        <v>894</v>
      </c>
      <c r="B62" t="s">
        <v>1294</v>
      </c>
      <c r="C62" t="s">
        <v>74</v>
      </c>
      <c r="D62" t="s">
        <v>74</v>
      </c>
      <c r="E62" t="s">
        <v>1167</v>
      </c>
      <c r="F62" t="s">
        <v>1295</v>
      </c>
      <c r="G62" t="s">
        <v>74</v>
      </c>
      <c r="H62" t="s">
        <v>74</v>
      </c>
      <c r="I62" t="s">
        <v>1296</v>
      </c>
      <c r="J62" t="s">
        <v>1170</v>
      </c>
      <c r="K62" t="s">
        <v>1171</v>
      </c>
      <c r="L62" t="s">
        <v>74</v>
      </c>
      <c r="M62" t="s">
        <v>78</v>
      </c>
      <c r="N62" t="s">
        <v>901</v>
      </c>
      <c r="O62" t="s">
        <v>1172</v>
      </c>
      <c r="P62" t="s">
        <v>1173</v>
      </c>
      <c r="Q62" t="s">
        <v>1174</v>
      </c>
      <c r="R62" t="s">
        <v>74</v>
      </c>
      <c r="S62" t="s">
        <v>74</v>
      </c>
      <c r="T62" t="s">
        <v>1297</v>
      </c>
      <c r="U62" t="s">
        <v>74</v>
      </c>
      <c r="V62" t="s">
        <v>1298</v>
      </c>
      <c r="W62" t="s">
        <v>1299</v>
      </c>
      <c r="X62" t="s">
        <v>1300</v>
      </c>
      <c r="Y62" t="s">
        <v>1301</v>
      </c>
      <c r="Z62" t="s">
        <v>74</v>
      </c>
      <c r="AA62" t="s">
        <v>74</v>
      </c>
      <c r="AB62" t="s">
        <v>74</v>
      </c>
      <c r="AC62" t="s">
        <v>74</v>
      </c>
      <c r="AD62" t="s">
        <v>74</v>
      </c>
      <c r="AE62" t="s">
        <v>74</v>
      </c>
      <c r="AF62" t="s">
        <v>74</v>
      </c>
      <c r="AG62">
        <v>7</v>
      </c>
      <c r="AH62">
        <v>0</v>
      </c>
      <c r="AI62">
        <v>0</v>
      </c>
      <c r="AJ62">
        <v>0</v>
      </c>
      <c r="AK62">
        <v>0</v>
      </c>
      <c r="AL62" t="s">
        <v>1167</v>
      </c>
      <c r="AM62" t="s">
        <v>93</v>
      </c>
      <c r="AN62" t="s">
        <v>1180</v>
      </c>
      <c r="AO62" t="s">
        <v>1181</v>
      </c>
      <c r="AP62" t="s">
        <v>74</v>
      </c>
      <c r="AQ62" t="s">
        <v>1182</v>
      </c>
      <c r="AR62" t="s">
        <v>1183</v>
      </c>
      <c r="AS62" t="s">
        <v>74</v>
      </c>
      <c r="AT62" t="s">
        <v>74</v>
      </c>
      <c r="AU62">
        <v>2023</v>
      </c>
      <c r="AV62" t="s">
        <v>74</v>
      </c>
      <c r="AW62" t="s">
        <v>74</v>
      </c>
      <c r="AX62" t="s">
        <v>74</v>
      </c>
      <c r="AY62" t="s">
        <v>74</v>
      </c>
      <c r="AZ62" t="s">
        <v>74</v>
      </c>
      <c r="BA62" t="s">
        <v>74</v>
      </c>
      <c r="BB62">
        <v>211</v>
      </c>
      <c r="BC62">
        <v>214</v>
      </c>
      <c r="BD62" t="s">
        <v>74</v>
      </c>
      <c r="BE62" t="s">
        <v>1302</v>
      </c>
      <c r="BF62" t="str">
        <f>HYPERLINK("http://dx.doi.org/10.1109/IGARSS52108.2023.10282590","http://dx.doi.org/10.1109/IGARSS52108.2023.10282590")</f>
        <v>http://dx.doi.org/10.1109/IGARSS52108.2023.10282590</v>
      </c>
      <c r="BG62" t="s">
        <v>74</v>
      </c>
      <c r="BH62" t="s">
        <v>74</v>
      </c>
      <c r="BI62">
        <v>4</v>
      </c>
      <c r="BJ62" t="s">
        <v>1185</v>
      </c>
      <c r="BK62" t="s">
        <v>1186</v>
      </c>
      <c r="BL62" t="s">
        <v>1187</v>
      </c>
      <c r="BM62" t="s">
        <v>1188</v>
      </c>
      <c r="BN62" t="s">
        <v>74</v>
      </c>
      <c r="BO62" t="s">
        <v>74</v>
      </c>
      <c r="BP62" t="s">
        <v>74</v>
      </c>
      <c r="BQ62" t="s">
        <v>74</v>
      </c>
      <c r="BR62" t="s">
        <v>108</v>
      </c>
      <c r="BS62" t="s">
        <v>1303</v>
      </c>
      <c r="BT62" t="str">
        <f>HYPERLINK("https%3A%2F%2Fwww.webofscience.com%2Fwos%2Fwoscc%2Ffull-record%2FWOS:001098971600054","View Full Record in Web of Science")</f>
        <v>View Full Record in Web of Science</v>
      </c>
    </row>
    <row r="63" spans="1:72" x14ac:dyDescent="0.15">
      <c r="A63" t="s">
        <v>894</v>
      </c>
      <c r="B63" t="s">
        <v>1304</v>
      </c>
      <c r="C63" t="s">
        <v>74</v>
      </c>
      <c r="D63" t="s">
        <v>74</v>
      </c>
      <c r="E63" t="s">
        <v>1167</v>
      </c>
      <c r="F63" t="s">
        <v>1305</v>
      </c>
      <c r="G63" t="s">
        <v>74</v>
      </c>
      <c r="H63" t="s">
        <v>74</v>
      </c>
      <c r="I63" t="s">
        <v>1306</v>
      </c>
      <c r="J63" t="s">
        <v>1170</v>
      </c>
      <c r="K63" t="s">
        <v>1171</v>
      </c>
      <c r="L63" t="s">
        <v>74</v>
      </c>
      <c r="M63" t="s">
        <v>78</v>
      </c>
      <c r="N63" t="s">
        <v>901</v>
      </c>
      <c r="O63" t="s">
        <v>1172</v>
      </c>
      <c r="P63" t="s">
        <v>1173</v>
      </c>
      <c r="Q63" t="s">
        <v>1174</v>
      </c>
      <c r="R63" t="s">
        <v>74</v>
      </c>
      <c r="S63" t="s">
        <v>74</v>
      </c>
      <c r="T63" t="s">
        <v>1307</v>
      </c>
      <c r="U63" t="s">
        <v>74</v>
      </c>
      <c r="V63" t="s">
        <v>1308</v>
      </c>
      <c r="W63" t="s">
        <v>1309</v>
      </c>
      <c r="X63" t="s">
        <v>1310</v>
      </c>
      <c r="Y63" t="s">
        <v>1311</v>
      </c>
      <c r="Z63" t="s">
        <v>74</v>
      </c>
      <c r="AA63" t="s">
        <v>74</v>
      </c>
      <c r="AB63" t="s">
        <v>1312</v>
      </c>
      <c r="AC63" t="s">
        <v>1313</v>
      </c>
      <c r="AD63" t="s">
        <v>1314</v>
      </c>
      <c r="AE63" t="s">
        <v>1315</v>
      </c>
      <c r="AF63" t="s">
        <v>74</v>
      </c>
      <c r="AG63">
        <v>20</v>
      </c>
      <c r="AH63">
        <v>0</v>
      </c>
      <c r="AI63">
        <v>0</v>
      </c>
      <c r="AJ63">
        <v>0</v>
      </c>
      <c r="AK63">
        <v>0</v>
      </c>
      <c r="AL63" t="s">
        <v>1167</v>
      </c>
      <c r="AM63" t="s">
        <v>93</v>
      </c>
      <c r="AN63" t="s">
        <v>1180</v>
      </c>
      <c r="AO63" t="s">
        <v>1181</v>
      </c>
      <c r="AP63" t="s">
        <v>74</v>
      </c>
      <c r="AQ63" t="s">
        <v>1182</v>
      </c>
      <c r="AR63" t="s">
        <v>1183</v>
      </c>
      <c r="AS63" t="s">
        <v>74</v>
      </c>
      <c r="AT63" t="s">
        <v>74</v>
      </c>
      <c r="AU63">
        <v>2023</v>
      </c>
      <c r="AV63" t="s">
        <v>74</v>
      </c>
      <c r="AW63" t="s">
        <v>74</v>
      </c>
      <c r="AX63" t="s">
        <v>74</v>
      </c>
      <c r="AY63" t="s">
        <v>74</v>
      </c>
      <c r="AZ63" t="s">
        <v>74</v>
      </c>
      <c r="BA63" t="s">
        <v>74</v>
      </c>
      <c r="BB63">
        <v>219</v>
      </c>
      <c r="BC63">
        <v>222</v>
      </c>
      <c r="BD63" t="s">
        <v>74</v>
      </c>
      <c r="BE63" t="s">
        <v>1316</v>
      </c>
      <c r="BF63" t="str">
        <f>HYPERLINK("http://dx.doi.org/10.1109/IGARSS52108.2023.10281647","http://dx.doi.org/10.1109/IGARSS52108.2023.10281647")</f>
        <v>http://dx.doi.org/10.1109/IGARSS52108.2023.10281647</v>
      </c>
      <c r="BG63" t="s">
        <v>74</v>
      </c>
      <c r="BH63" t="s">
        <v>74</v>
      </c>
      <c r="BI63">
        <v>4</v>
      </c>
      <c r="BJ63" t="s">
        <v>1185</v>
      </c>
      <c r="BK63" t="s">
        <v>1186</v>
      </c>
      <c r="BL63" t="s">
        <v>1187</v>
      </c>
      <c r="BM63" t="s">
        <v>1188</v>
      </c>
      <c r="BN63" t="s">
        <v>74</v>
      </c>
      <c r="BO63" t="s">
        <v>74</v>
      </c>
      <c r="BP63" t="s">
        <v>74</v>
      </c>
      <c r="BQ63" t="s">
        <v>74</v>
      </c>
      <c r="BR63" t="s">
        <v>108</v>
      </c>
      <c r="BS63" t="s">
        <v>1317</v>
      </c>
      <c r="BT63" t="str">
        <f>HYPERLINK("https%3A%2F%2Fwww.webofscience.com%2Fwos%2Fwoscc%2Ffull-record%2FWOS:001098971600056","View Full Record in Web of Science")</f>
        <v>View Full Record in Web of Science</v>
      </c>
    </row>
    <row r="64" spans="1:72" x14ac:dyDescent="0.15">
      <c r="A64" t="s">
        <v>894</v>
      </c>
      <c r="B64" t="s">
        <v>1318</v>
      </c>
      <c r="C64" t="s">
        <v>74</v>
      </c>
      <c r="D64" t="s">
        <v>74</v>
      </c>
      <c r="E64" t="s">
        <v>1167</v>
      </c>
      <c r="F64" t="s">
        <v>1319</v>
      </c>
      <c r="G64" t="s">
        <v>74</v>
      </c>
      <c r="H64" t="s">
        <v>74</v>
      </c>
      <c r="I64" t="s">
        <v>1320</v>
      </c>
      <c r="J64" t="s">
        <v>1170</v>
      </c>
      <c r="K64" t="s">
        <v>1171</v>
      </c>
      <c r="L64" t="s">
        <v>74</v>
      </c>
      <c r="M64" t="s">
        <v>78</v>
      </c>
      <c r="N64" t="s">
        <v>901</v>
      </c>
      <c r="O64" t="s">
        <v>1172</v>
      </c>
      <c r="P64" t="s">
        <v>1173</v>
      </c>
      <c r="Q64" t="s">
        <v>1174</v>
      </c>
      <c r="R64" t="s">
        <v>74</v>
      </c>
      <c r="S64" t="s">
        <v>74</v>
      </c>
      <c r="T64" t="s">
        <v>1321</v>
      </c>
      <c r="U64" t="s">
        <v>1322</v>
      </c>
      <c r="V64" t="s">
        <v>1323</v>
      </c>
      <c r="W64" t="s">
        <v>1324</v>
      </c>
      <c r="X64" t="s">
        <v>1325</v>
      </c>
      <c r="Y64" t="s">
        <v>1326</v>
      </c>
      <c r="Z64" t="s">
        <v>74</v>
      </c>
      <c r="AA64" t="s">
        <v>1327</v>
      </c>
      <c r="AB64" t="s">
        <v>74</v>
      </c>
      <c r="AC64" t="s">
        <v>1328</v>
      </c>
      <c r="AD64" t="s">
        <v>1329</v>
      </c>
      <c r="AE64" t="s">
        <v>1330</v>
      </c>
      <c r="AF64" t="s">
        <v>74</v>
      </c>
      <c r="AG64">
        <v>14</v>
      </c>
      <c r="AH64">
        <v>0</v>
      </c>
      <c r="AI64">
        <v>0</v>
      </c>
      <c r="AJ64">
        <v>0</v>
      </c>
      <c r="AK64">
        <v>0</v>
      </c>
      <c r="AL64" t="s">
        <v>1167</v>
      </c>
      <c r="AM64" t="s">
        <v>93</v>
      </c>
      <c r="AN64" t="s">
        <v>1180</v>
      </c>
      <c r="AO64" t="s">
        <v>1181</v>
      </c>
      <c r="AP64" t="s">
        <v>74</v>
      </c>
      <c r="AQ64" t="s">
        <v>1182</v>
      </c>
      <c r="AR64" t="s">
        <v>1183</v>
      </c>
      <c r="AS64" t="s">
        <v>74</v>
      </c>
      <c r="AT64" t="s">
        <v>74</v>
      </c>
      <c r="AU64">
        <v>2023</v>
      </c>
      <c r="AV64" t="s">
        <v>74</v>
      </c>
      <c r="AW64" t="s">
        <v>74</v>
      </c>
      <c r="AX64" t="s">
        <v>74</v>
      </c>
      <c r="AY64" t="s">
        <v>74</v>
      </c>
      <c r="AZ64" t="s">
        <v>74</v>
      </c>
      <c r="BA64" t="s">
        <v>74</v>
      </c>
      <c r="BB64">
        <v>352</v>
      </c>
      <c r="BC64">
        <v>355</v>
      </c>
      <c r="BD64" t="s">
        <v>74</v>
      </c>
      <c r="BE64" t="s">
        <v>1331</v>
      </c>
      <c r="BF64" t="str">
        <f>HYPERLINK("http://dx.doi.org/10.1109/IGARSS52108.2023.10282007","http://dx.doi.org/10.1109/IGARSS52108.2023.10282007")</f>
        <v>http://dx.doi.org/10.1109/IGARSS52108.2023.10282007</v>
      </c>
      <c r="BG64" t="s">
        <v>74</v>
      </c>
      <c r="BH64" t="s">
        <v>74</v>
      </c>
      <c r="BI64">
        <v>4</v>
      </c>
      <c r="BJ64" t="s">
        <v>1185</v>
      </c>
      <c r="BK64" t="s">
        <v>1186</v>
      </c>
      <c r="BL64" t="s">
        <v>1187</v>
      </c>
      <c r="BM64" t="s">
        <v>1188</v>
      </c>
      <c r="BN64" t="s">
        <v>74</v>
      </c>
      <c r="BO64" t="s">
        <v>74</v>
      </c>
      <c r="BP64" t="s">
        <v>74</v>
      </c>
      <c r="BQ64" t="s">
        <v>74</v>
      </c>
      <c r="BR64" t="s">
        <v>108</v>
      </c>
      <c r="BS64" t="s">
        <v>1332</v>
      </c>
      <c r="BT64" t="str">
        <f>HYPERLINK("https%3A%2F%2Fwww.webofscience.com%2Fwos%2Fwoscc%2Ffull-record%2FWOS:001098971600089","View Full Record in Web of Science")</f>
        <v>View Full Record in Web of Science</v>
      </c>
    </row>
    <row r="65" spans="1:72" x14ac:dyDescent="0.15">
      <c r="A65" t="s">
        <v>894</v>
      </c>
      <c r="B65" t="s">
        <v>1333</v>
      </c>
      <c r="C65" t="s">
        <v>74</v>
      </c>
      <c r="D65" t="s">
        <v>74</v>
      </c>
      <c r="E65" t="s">
        <v>1167</v>
      </c>
      <c r="F65" t="s">
        <v>1334</v>
      </c>
      <c r="G65" t="s">
        <v>74</v>
      </c>
      <c r="H65" t="s">
        <v>74</v>
      </c>
      <c r="I65" t="s">
        <v>1335</v>
      </c>
      <c r="J65" t="s">
        <v>1170</v>
      </c>
      <c r="K65" t="s">
        <v>1171</v>
      </c>
      <c r="L65" t="s">
        <v>74</v>
      </c>
      <c r="M65" t="s">
        <v>78</v>
      </c>
      <c r="N65" t="s">
        <v>901</v>
      </c>
      <c r="O65" t="s">
        <v>1172</v>
      </c>
      <c r="P65" t="s">
        <v>1173</v>
      </c>
      <c r="Q65" t="s">
        <v>1174</v>
      </c>
      <c r="R65" t="s">
        <v>74</v>
      </c>
      <c r="S65" t="s">
        <v>74</v>
      </c>
      <c r="T65" t="s">
        <v>1336</v>
      </c>
      <c r="U65" t="s">
        <v>1337</v>
      </c>
      <c r="V65" t="s">
        <v>1338</v>
      </c>
      <c r="W65" t="s">
        <v>1339</v>
      </c>
      <c r="X65" t="s">
        <v>1340</v>
      </c>
      <c r="Y65" t="s">
        <v>1341</v>
      </c>
      <c r="Z65" t="s">
        <v>74</v>
      </c>
      <c r="AA65" t="s">
        <v>74</v>
      </c>
      <c r="AB65" t="s">
        <v>74</v>
      </c>
      <c r="AC65" t="s">
        <v>1342</v>
      </c>
      <c r="AD65" t="s">
        <v>1343</v>
      </c>
      <c r="AE65" t="s">
        <v>1344</v>
      </c>
      <c r="AF65" t="s">
        <v>74</v>
      </c>
      <c r="AG65">
        <v>8</v>
      </c>
      <c r="AH65">
        <v>0</v>
      </c>
      <c r="AI65">
        <v>0</v>
      </c>
      <c r="AJ65">
        <v>0</v>
      </c>
      <c r="AK65">
        <v>0</v>
      </c>
      <c r="AL65" t="s">
        <v>1167</v>
      </c>
      <c r="AM65" t="s">
        <v>93</v>
      </c>
      <c r="AN65" t="s">
        <v>1180</v>
      </c>
      <c r="AO65" t="s">
        <v>1181</v>
      </c>
      <c r="AP65" t="s">
        <v>74</v>
      </c>
      <c r="AQ65" t="s">
        <v>1182</v>
      </c>
      <c r="AR65" t="s">
        <v>1183</v>
      </c>
      <c r="AS65" t="s">
        <v>74</v>
      </c>
      <c r="AT65" t="s">
        <v>74</v>
      </c>
      <c r="AU65">
        <v>2023</v>
      </c>
      <c r="AV65" t="s">
        <v>74</v>
      </c>
      <c r="AW65" t="s">
        <v>74</v>
      </c>
      <c r="AX65" t="s">
        <v>74</v>
      </c>
      <c r="AY65" t="s">
        <v>74</v>
      </c>
      <c r="AZ65" t="s">
        <v>74</v>
      </c>
      <c r="BA65" t="s">
        <v>74</v>
      </c>
      <c r="BB65">
        <v>2474</v>
      </c>
      <c r="BC65">
        <v>2476</v>
      </c>
      <c r="BD65" t="s">
        <v>74</v>
      </c>
      <c r="BE65" t="s">
        <v>1345</v>
      </c>
      <c r="BF65" t="str">
        <f>HYPERLINK("http://dx.doi.org/10.1109/IGARSS52108.2023.10282111","http://dx.doi.org/10.1109/IGARSS52108.2023.10282111")</f>
        <v>http://dx.doi.org/10.1109/IGARSS52108.2023.10282111</v>
      </c>
      <c r="BG65" t="s">
        <v>74</v>
      </c>
      <c r="BH65" t="s">
        <v>74</v>
      </c>
      <c r="BI65">
        <v>3</v>
      </c>
      <c r="BJ65" t="s">
        <v>1185</v>
      </c>
      <c r="BK65" t="s">
        <v>1186</v>
      </c>
      <c r="BL65" t="s">
        <v>1187</v>
      </c>
      <c r="BM65" t="s">
        <v>1188</v>
      </c>
      <c r="BN65" t="s">
        <v>74</v>
      </c>
      <c r="BO65" t="s">
        <v>74</v>
      </c>
      <c r="BP65" t="s">
        <v>74</v>
      </c>
      <c r="BQ65" t="s">
        <v>74</v>
      </c>
      <c r="BR65" t="s">
        <v>108</v>
      </c>
      <c r="BS65" t="s">
        <v>1346</v>
      </c>
      <c r="BT65" t="str">
        <f>HYPERLINK("https%3A%2F%2Fwww.webofscience.com%2Fwos%2Fwoscc%2Ffull-record%2FWOS:001098971602180","View Full Record in Web of Science")</f>
        <v>View Full Record in Web of Science</v>
      </c>
    </row>
    <row r="66" spans="1:72" x14ac:dyDescent="0.15">
      <c r="A66" t="s">
        <v>894</v>
      </c>
      <c r="B66" t="s">
        <v>1347</v>
      </c>
      <c r="C66" t="s">
        <v>74</v>
      </c>
      <c r="D66" t="s">
        <v>74</v>
      </c>
      <c r="E66" t="s">
        <v>1167</v>
      </c>
      <c r="F66" t="s">
        <v>1348</v>
      </c>
      <c r="G66" t="s">
        <v>74</v>
      </c>
      <c r="H66" t="s">
        <v>74</v>
      </c>
      <c r="I66" t="s">
        <v>1349</v>
      </c>
      <c r="J66" t="s">
        <v>1170</v>
      </c>
      <c r="K66" t="s">
        <v>1171</v>
      </c>
      <c r="L66" t="s">
        <v>74</v>
      </c>
      <c r="M66" t="s">
        <v>78</v>
      </c>
      <c r="N66" t="s">
        <v>901</v>
      </c>
      <c r="O66" t="s">
        <v>1172</v>
      </c>
      <c r="P66" t="s">
        <v>1173</v>
      </c>
      <c r="Q66" t="s">
        <v>1174</v>
      </c>
      <c r="R66" t="s">
        <v>74</v>
      </c>
      <c r="S66" t="s">
        <v>74</v>
      </c>
      <c r="T66" t="s">
        <v>1350</v>
      </c>
      <c r="U66" t="s">
        <v>74</v>
      </c>
      <c r="V66" t="s">
        <v>1351</v>
      </c>
      <c r="W66" t="s">
        <v>1352</v>
      </c>
      <c r="X66" t="s">
        <v>1353</v>
      </c>
      <c r="Y66" t="s">
        <v>1354</v>
      </c>
      <c r="Z66" t="s">
        <v>74</v>
      </c>
      <c r="AA66" t="s">
        <v>1355</v>
      </c>
      <c r="AB66" t="s">
        <v>1356</v>
      </c>
      <c r="AC66" t="s">
        <v>74</v>
      </c>
      <c r="AD66" t="s">
        <v>74</v>
      </c>
      <c r="AE66" t="s">
        <v>74</v>
      </c>
      <c r="AF66" t="s">
        <v>74</v>
      </c>
      <c r="AG66">
        <v>10</v>
      </c>
      <c r="AH66">
        <v>0</v>
      </c>
      <c r="AI66">
        <v>0</v>
      </c>
      <c r="AJ66">
        <v>0</v>
      </c>
      <c r="AK66">
        <v>0</v>
      </c>
      <c r="AL66" t="s">
        <v>1167</v>
      </c>
      <c r="AM66" t="s">
        <v>93</v>
      </c>
      <c r="AN66" t="s">
        <v>1180</v>
      </c>
      <c r="AO66" t="s">
        <v>1181</v>
      </c>
      <c r="AP66" t="s">
        <v>74</v>
      </c>
      <c r="AQ66" t="s">
        <v>1182</v>
      </c>
      <c r="AR66" t="s">
        <v>1183</v>
      </c>
      <c r="AS66" t="s">
        <v>74</v>
      </c>
      <c r="AT66" t="s">
        <v>74</v>
      </c>
      <c r="AU66">
        <v>2023</v>
      </c>
      <c r="AV66" t="s">
        <v>74</v>
      </c>
      <c r="AW66" t="s">
        <v>74</v>
      </c>
      <c r="AX66" t="s">
        <v>74</v>
      </c>
      <c r="AY66" t="s">
        <v>74</v>
      </c>
      <c r="AZ66" t="s">
        <v>74</v>
      </c>
      <c r="BA66" t="s">
        <v>74</v>
      </c>
      <c r="BB66">
        <v>7750</v>
      </c>
      <c r="BC66">
        <v>7753</v>
      </c>
      <c r="BD66" t="s">
        <v>74</v>
      </c>
      <c r="BE66" t="s">
        <v>1357</v>
      </c>
      <c r="BF66" t="str">
        <f>HYPERLINK("http://dx.doi.org/10.1109/IGARSS52108.2023.10281584","http://dx.doi.org/10.1109/IGARSS52108.2023.10281584")</f>
        <v>http://dx.doi.org/10.1109/IGARSS52108.2023.10281584</v>
      </c>
      <c r="BG66" t="s">
        <v>74</v>
      </c>
      <c r="BH66" t="s">
        <v>74</v>
      </c>
      <c r="BI66">
        <v>4</v>
      </c>
      <c r="BJ66" t="s">
        <v>1185</v>
      </c>
      <c r="BK66" t="s">
        <v>1186</v>
      </c>
      <c r="BL66" t="s">
        <v>1187</v>
      </c>
      <c r="BM66" t="s">
        <v>1188</v>
      </c>
      <c r="BN66" t="s">
        <v>74</v>
      </c>
      <c r="BO66" t="s">
        <v>74</v>
      </c>
      <c r="BP66" t="s">
        <v>74</v>
      </c>
      <c r="BQ66" t="s">
        <v>74</v>
      </c>
      <c r="BR66" t="s">
        <v>108</v>
      </c>
      <c r="BS66" t="s">
        <v>1358</v>
      </c>
      <c r="BT66" t="str">
        <f>HYPERLINK("https%3A%2F%2Fwww.webofscience.com%2Fwos%2Fwoscc%2Ffull-record%2FWOS:001098971607204","View Full Record in Web of Science")</f>
        <v>View Full Record in Web of Science</v>
      </c>
    </row>
    <row r="67" spans="1:72" x14ac:dyDescent="0.15">
      <c r="A67" t="s">
        <v>72</v>
      </c>
      <c r="B67" t="s">
        <v>1359</v>
      </c>
      <c r="C67" t="s">
        <v>74</v>
      </c>
      <c r="D67" t="s">
        <v>74</v>
      </c>
      <c r="E67" t="s">
        <v>74</v>
      </c>
      <c r="F67" t="s">
        <v>1360</v>
      </c>
      <c r="G67" t="s">
        <v>74</v>
      </c>
      <c r="H67" t="s">
        <v>74</v>
      </c>
      <c r="I67" t="s">
        <v>1361</v>
      </c>
      <c r="J67" t="s">
        <v>1362</v>
      </c>
      <c r="K67" t="s">
        <v>74</v>
      </c>
      <c r="L67" t="s">
        <v>74</v>
      </c>
      <c r="M67" t="s">
        <v>78</v>
      </c>
      <c r="N67" t="s">
        <v>79</v>
      </c>
      <c r="O67" t="s">
        <v>74</v>
      </c>
      <c r="P67" t="s">
        <v>74</v>
      </c>
      <c r="Q67" t="s">
        <v>74</v>
      </c>
      <c r="R67" t="s">
        <v>74</v>
      </c>
      <c r="S67" t="s">
        <v>74</v>
      </c>
      <c r="T67" t="s">
        <v>1363</v>
      </c>
      <c r="U67" t="s">
        <v>74</v>
      </c>
      <c r="V67" t="s">
        <v>1364</v>
      </c>
      <c r="W67" t="s">
        <v>1365</v>
      </c>
      <c r="X67" t="s">
        <v>1366</v>
      </c>
      <c r="Y67" t="s">
        <v>1367</v>
      </c>
      <c r="Z67" t="s">
        <v>1368</v>
      </c>
      <c r="AA67" t="s">
        <v>1369</v>
      </c>
      <c r="AB67" t="s">
        <v>1370</v>
      </c>
      <c r="AC67" t="s">
        <v>74</v>
      </c>
      <c r="AD67" t="s">
        <v>74</v>
      </c>
      <c r="AE67" t="s">
        <v>74</v>
      </c>
      <c r="AF67" t="s">
        <v>74</v>
      </c>
      <c r="AG67">
        <v>13</v>
      </c>
      <c r="AH67">
        <v>0</v>
      </c>
      <c r="AI67">
        <v>0</v>
      </c>
      <c r="AJ67">
        <v>0</v>
      </c>
      <c r="AK67">
        <v>0</v>
      </c>
      <c r="AL67" t="s">
        <v>1371</v>
      </c>
      <c r="AM67" t="s">
        <v>1372</v>
      </c>
      <c r="AN67" t="s">
        <v>1373</v>
      </c>
      <c r="AO67" t="s">
        <v>1374</v>
      </c>
      <c r="AP67" t="s">
        <v>74</v>
      </c>
      <c r="AQ67" t="s">
        <v>74</v>
      </c>
      <c r="AR67" t="s">
        <v>1375</v>
      </c>
      <c r="AS67" t="s">
        <v>1376</v>
      </c>
      <c r="AT67" t="s">
        <v>74</v>
      </c>
      <c r="AU67">
        <v>2023</v>
      </c>
      <c r="AV67">
        <v>76</v>
      </c>
      <c r="AW67">
        <v>12</v>
      </c>
      <c r="AX67" t="s">
        <v>74</v>
      </c>
      <c r="AY67" t="s">
        <v>74</v>
      </c>
      <c r="AZ67" t="s">
        <v>74</v>
      </c>
      <c r="BA67" t="s">
        <v>74</v>
      </c>
      <c r="BB67">
        <v>1851</v>
      </c>
      <c r="BC67">
        <v>1859</v>
      </c>
      <c r="BD67" t="s">
        <v>74</v>
      </c>
      <c r="BE67" t="s">
        <v>1377</v>
      </c>
      <c r="BF67" t="str">
        <f>HYPERLINK("http://dx.doi.org/10.7546/CRABS.2023.12.07","http://dx.doi.org/10.7546/CRABS.2023.12.07")</f>
        <v>http://dx.doi.org/10.7546/CRABS.2023.12.07</v>
      </c>
      <c r="BG67" t="s">
        <v>74</v>
      </c>
      <c r="BH67" t="s">
        <v>74</v>
      </c>
      <c r="BI67">
        <v>9</v>
      </c>
      <c r="BJ67" t="s">
        <v>189</v>
      </c>
      <c r="BK67" t="s">
        <v>104</v>
      </c>
      <c r="BL67" t="s">
        <v>190</v>
      </c>
      <c r="BM67" t="s">
        <v>1378</v>
      </c>
      <c r="BN67" t="s">
        <v>74</v>
      </c>
      <c r="BO67" t="s">
        <v>660</v>
      </c>
      <c r="BP67" t="s">
        <v>74</v>
      </c>
      <c r="BQ67" t="s">
        <v>74</v>
      </c>
      <c r="BR67" t="s">
        <v>108</v>
      </c>
      <c r="BS67" t="s">
        <v>1379</v>
      </c>
      <c r="BT67" t="str">
        <f>HYPERLINK("https%3A%2F%2Fwww.webofscience.com%2Fwos%2Fwoscc%2Ffull-record%2FWOS:001133117900002","View Full Record in Web of Science")</f>
        <v>View Full Record in Web of Science</v>
      </c>
    </row>
    <row r="68" spans="1:72" x14ac:dyDescent="0.15">
      <c r="A68" t="s">
        <v>72</v>
      </c>
      <c r="B68" t="s">
        <v>1380</v>
      </c>
      <c r="C68" t="s">
        <v>74</v>
      </c>
      <c r="D68" t="s">
        <v>74</v>
      </c>
      <c r="E68" t="s">
        <v>74</v>
      </c>
      <c r="F68" t="s">
        <v>1381</v>
      </c>
      <c r="G68" t="s">
        <v>74</v>
      </c>
      <c r="H68" t="s">
        <v>74</v>
      </c>
      <c r="I68" t="s">
        <v>1382</v>
      </c>
      <c r="J68" t="s">
        <v>1383</v>
      </c>
      <c r="K68" t="s">
        <v>74</v>
      </c>
      <c r="L68" t="s">
        <v>74</v>
      </c>
      <c r="M68" t="s">
        <v>1384</v>
      </c>
      <c r="N68" t="s">
        <v>79</v>
      </c>
      <c r="O68" t="s">
        <v>74</v>
      </c>
      <c r="P68" t="s">
        <v>74</v>
      </c>
      <c r="Q68" t="s">
        <v>74</v>
      </c>
      <c r="R68" t="s">
        <v>74</v>
      </c>
      <c r="S68" t="s">
        <v>74</v>
      </c>
      <c r="T68" t="s">
        <v>1385</v>
      </c>
      <c r="U68" t="s">
        <v>1386</v>
      </c>
      <c r="V68" t="s">
        <v>1387</v>
      </c>
      <c r="W68" t="s">
        <v>1388</v>
      </c>
      <c r="X68" t="s">
        <v>1389</v>
      </c>
      <c r="Y68" t="s">
        <v>1390</v>
      </c>
      <c r="Z68" t="s">
        <v>1391</v>
      </c>
      <c r="AA68" t="s">
        <v>74</v>
      </c>
      <c r="AB68" t="s">
        <v>74</v>
      </c>
      <c r="AC68" t="s">
        <v>74</v>
      </c>
      <c r="AD68" t="s">
        <v>74</v>
      </c>
      <c r="AE68" t="s">
        <v>74</v>
      </c>
      <c r="AF68" t="s">
        <v>74</v>
      </c>
      <c r="AG68">
        <v>35</v>
      </c>
      <c r="AH68">
        <v>0</v>
      </c>
      <c r="AI68">
        <v>0</v>
      </c>
      <c r="AJ68">
        <v>0</v>
      </c>
      <c r="AK68">
        <v>0</v>
      </c>
      <c r="AL68" t="s">
        <v>1392</v>
      </c>
      <c r="AM68" t="s">
        <v>1393</v>
      </c>
      <c r="AN68" t="s">
        <v>1394</v>
      </c>
      <c r="AO68" t="s">
        <v>1395</v>
      </c>
      <c r="AP68" t="s">
        <v>1396</v>
      </c>
      <c r="AQ68" t="s">
        <v>74</v>
      </c>
      <c r="AR68" t="s">
        <v>1397</v>
      </c>
      <c r="AS68" t="s">
        <v>1398</v>
      </c>
      <c r="AT68" t="s">
        <v>74</v>
      </c>
      <c r="AU68">
        <v>2023</v>
      </c>
      <c r="AV68">
        <v>63</v>
      </c>
      <c r="AW68">
        <v>4</v>
      </c>
      <c r="AX68" t="s">
        <v>74</v>
      </c>
      <c r="AY68" t="s">
        <v>74</v>
      </c>
      <c r="AZ68" t="s">
        <v>74</v>
      </c>
      <c r="BA68" t="s">
        <v>74</v>
      </c>
      <c r="BB68">
        <v>473</v>
      </c>
      <c r="BC68">
        <v>488</v>
      </c>
      <c r="BD68" t="s">
        <v>74</v>
      </c>
      <c r="BE68" t="s">
        <v>1399</v>
      </c>
      <c r="BF68" t="str">
        <f>HYPERLINK("http://dx.doi.org/10.31857/S2076673423040051","http://dx.doi.org/10.31857/S2076673423040051")</f>
        <v>http://dx.doi.org/10.31857/S2076673423040051</v>
      </c>
      <c r="BG68" t="s">
        <v>74</v>
      </c>
      <c r="BH68" t="s">
        <v>74</v>
      </c>
      <c r="BI68">
        <v>16</v>
      </c>
      <c r="BJ68" t="s">
        <v>455</v>
      </c>
      <c r="BK68" t="s">
        <v>757</v>
      </c>
      <c r="BL68" t="s">
        <v>456</v>
      </c>
      <c r="BM68" t="s">
        <v>1400</v>
      </c>
      <c r="BN68" t="s">
        <v>74</v>
      </c>
      <c r="BO68" t="s">
        <v>74</v>
      </c>
      <c r="BP68" t="s">
        <v>74</v>
      </c>
      <c r="BQ68" t="s">
        <v>74</v>
      </c>
      <c r="BR68" t="s">
        <v>108</v>
      </c>
      <c r="BS68" t="s">
        <v>1401</v>
      </c>
      <c r="BT68" t="str">
        <f>HYPERLINK("https%3A%2F%2Fwww.webofscience.com%2Fwos%2Fwoscc%2Ffull-record%2FWOS:001179421000004","View Full Record in Web of Science")</f>
        <v>View Full Record in Web of Science</v>
      </c>
    </row>
    <row r="69" spans="1:72" x14ac:dyDescent="0.15">
      <c r="A69" t="s">
        <v>72</v>
      </c>
      <c r="B69" t="s">
        <v>1402</v>
      </c>
      <c r="C69" t="s">
        <v>74</v>
      </c>
      <c r="D69" t="s">
        <v>74</v>
      </c>
      <c r="E69" t="s">
        <v>74</v>
      </c>
      <c r="F69" t="s">
        <v>1403</v>
      </c>
      <c r="G69" t="s">
        <v>74</v>
      </c>
      <c r="H69" t="s">
        <v>74</v>
      </c>
      <c r="I69" t="s">
        <v>1404</v>
      </c>
      <c r="J69" t="s">
        <v>1383</v>
      </c>
      <c r="K69" t="s">
        <v>74</v>
      </c>
      <c r="L69" t="s">
        <v>74</v>
      </c>
      <c r="M69" t="s">
        <v>1384</v>
      </c>
      <c r="N69" t="s">
        <v>79</v>
      </c>
      <c r="O69" t="s">
        <v>74</v>
      </c>
      <c r="P69" t="s">
        <v>74</v>
      </c>
      <c r="Q69" t="s">
        <v>74</v>
      </c>
      <c r="R69" t="s">
        <v>74</v>
      </c>
      <c r="S69" t="s">
        <v>74</v>
      </c>
      <c r="T69" t="s">
        <v>1405</v>
      </c>
      <c r="U69" t="s">
        <v>1406</v>
      </c>
      <c r="V69" t="s">
        <v>1407</v>
      </c>
      <c r="W69" t="s">
        <v>1408</v>
      </c>
      <c r="X69" t="s">
        <v>1409</v>
      </c>
      <c r="Y69" t="s">
        <v>1410</v>
      </c>
      <c r="Z69" t="s">
        <v>1411</v>
      </c>
      <c r="AA69" t="s">
        <v>74</v>
      </c>
      <c r="AB69" t="s">
        <v>74</v>
      </c>
      <c r="AC69" t="s">
        <v>1412</v>
      </c>
      <c r="AD69" t="s">
        <v>1413</v>
      </c>
      <c r="AE69" t="s">
        <v>1414</v>
      </c>
      <c r="AF69" t="s">
        <v>74</v>
      </c>
      <c r="AG69">
        <v>31</v>
      </c>
      <c r="AH69">
        <v>0</v>
      </c>
      <c r="AI69">
        <v>0</v>
      </c>
      <c r="AJ69">
        <v>0</v>
      </c>
      <c r="AK69">
        <v>0</v>
      </c>
      <c r="AL69" t="s">
        <v>1392</v>
      </c>
      <c r="AM69" t="s">
        <v>1393</v>
      </c>
      <c r="AN69" t="s">
        <v>1394</v>
      </c>
      <c r="AO69" t="s">
        <v>1395</v>
      </c>
      <c r="AP69" t="s">
        <v>1396</v>
      </c>
      <c r="AQ69" t="s">
        <v>74</v>
      </c>
      <c r="AR69" t="s">
        <v>1397</v>
      </c>
      <c r="AS69" t="s">
        <v>1398</v>
      </c>
      <c r="AT69" t="s">
        <v>74</v>
      </c>
      <c r="AU69">
        <v>2023</v>
      </c>
      <c r="AV69">
        <v>63</v>
      </c>
      <c r="AW69">
        <v>4</v>
      </c>
      <c r="AX69" t="s">
        <v>74</v>
      </c>
      <c r="AY69" t="s">
        <v>74</v>
      </c>
      <c r="AZ69" t="s">
        <v>74</v>
      </c>
      <c r="BA69" t="s">
        <v>74</v>
      </c>
      <c r="BB69">
        <v>513</v>
      </c>
      <c r="BC69">
        <v>524</v>
      </c>
      <c r="BD69" t="s">
        <v>74</v>
      </c>
      <c r="BE69" t="s">
        <v>1415</v>
      </c>
      <c r="BF69" t="str">
        <f>HYPERLINK("http://dx.doi.org/10.31857/S2076673423040038","http://dx.doi.org/10.31857/S2076673423040038")</f>
        <v>http://dx.doi.org/10.31857/S2076673423040038</v>
      </c>
      <c r="BG69" t="s">
        <v>74</v>
      </c>
      <c r="BH69" t="s">
        <v>74</v>
      </c>
      <c r="BI69">
        <v>12</v>
      </c>
      <c r="BJ69" t="s">
        <v>455</v>
      </c>
      <c r="BK69" t="s">
        <v>757</v>
      </c>
      <c r="BL69" t="s">
        <v>456</v>
      </c>
      <c r="BM69" t="s">
        <v>1400</v>
      </c>
      <c r="BN69" t="s">
        <v>74</v>
      </c>
      <c r="BO69" t="s">
        <v>74</v>
      </c>
      <c r="BP69" t="s">
        <v>74</v>
      </c>
      <c r="BQ69" t="s">
        <v>74</v>
      </c>
      <c r="BR69" t="s">
        <v>108</v>
      </c>
      <c r="BS69" t="s">
        <v>1416</v>
      </c>
      <c r="BT69" t="str">
        <f>HYPERLINK("https%3A%2F%2Fwww.webofscience.com%2Fwos%2Fwoscc%2Ffull-record%2FWOS:001179421000005","View Full Record in Web of Science")</f>
        <v>View Full Record in Web of Science</v>
      </c>
    </row>
    <row r="70" spans="1:72" x14ac:dyDescent="0.15">
      <c r="A70" t="s">
        <v>72</v>
      </c>
      <c r="B70" t="s">
        <v>1417</v>
      </c>
      <c r="C70" t="s">
        <v>74</v>
      </c>
      <c r="D70" t="s">
        <v>74</v>
      </c>
      <c r="E70" t="s">
        <v>74</v>
      </c>
      <c r="F70" t="s">
        <v>1418</v>
      </c>
      <c r="G70" t="s">
        <v>74</v>
      </c>
      <c r="H70" t="s">
        <v>74</v>
      </c>
      <c r="I70" t="s">
        <v>1419</v>
      </c>
      <c r="J70" t="s">
        <v>1383</v>
      </c>
      <c r="K70" t="s">
        <v>74</v>
      </c>
      <c r="L70" t="s">
        <v>74</v>
      </c>
      <c r="M70" t="s">
        <v>1384</v>
      </c>
      <c r="N70" t="s">
        <v>79</v>
      </c>
      <c r="O70" t="s">
        <v>74</v>
      </c>
      <c r="P70" t="s">
        <v>74</v>
      </c>
      <c r="Q70" t="s">
        <v>74</v>
      </c>
      <c r="R70" t="s">
        <v>74</v>
      </c>
      <c r="S70" t="s">
        <v>74</v>
      </c>
      <c r="T70" t="s">
        <v>1420</v>
      </c>
      <c r="U70" t="s">
        <v>1421</v>
      </c>
      <c r="V70" t="s">
        <v>1422</v>
      </c>
      <c r="W70" t="s">
        <v>1423</v>
      </c>
      <c r="X70" t="s">
        <v>1424</v>
      </c>
      <c r="Y70" t="s">
        <v>1425</v>
      </c>
      <c r="Z70" t="s">
        <v>1426</v>
      </c>
      <c r="AA70" t="s">
        <v>74</v>
      </c>
      <c r="AB70" t="s">
        <v>74</v>
      </c>
      <c r="AC70" t="s">
        <v>1427</v>
      </c>
      <c r="AD70" t="s">
        <v>1428</v>
      </c>
      <c r="AE70" t="s">
        <v>1429</v>
      </c>
      <c r="AF70" t="s">
        <v>74</v>
      </c>
      <c r="AG70">
        <v>24</v>
      </c>
      <c r="AH70">
        <v>0</v>
      </c>
      <c r="AI70">
        <v>0</v>
      </c>
      <c r="AJ70">
        <v>0</v>
      </c>
      <c r="AK70">
        <v>0</v>
      </c>
      <c r="AL70" t="s">
        <v>1392</v>
      </c>
      <c r="AM70" t="s">
        <v>1393</v>
      </c>
      <c r="AN70" t="s">
        <v>1394</v>
      </c>
      <c r="AO70" t="s">
        <v>1395</v>
      </c>
      <c r="AP70" t="s">
        <v>1396</v>
      </c>
      <c r="AQ70" t="s">
        <v>74</v>
      </c>
      <c r="AR70" t="s">
        <v>1397</v>
      </c>
      <c r="AS70" t="s">
        <v>1398</v>
      </c>
      <c r="AT70" t="s">
        <v>74</v>
      </c>
      <c r="AU70">
        <v>2023</v>
      </c>
      <c r="AV70">
        <v>63</v>
      </c>
      <c r="AW70">
        <v>4</v>
      </c>
      <c r="AX70" t="s">
        <v>74</v>
      </c>
      <c r="AY70" t="s">
        <v>74</v>
      </c>
      <c r="AZ70" t="s">
        <v>74</v>
      </c>
      <c r="BA70" t="s">
        <v>74</v>
      </c>
      <c r="BB70">
        <v>525</v>
      </c>
      <c r="BC70">
        <v>539</v>
      </c>
      <c r="BD70" t="s">
        <v>74</v>
      </c>
      <c r="BE70" t="s">
        <v>1430</v>
      </c>
      <c r="BF70" t="str">
        <f>HYPERLINK("http://dx.doi.org/10.31857/S207667342304004X","http://dx.doi.org/10.31857/S207667342304004X")</f>
        <v>http://dx.doi.org/10.31857/S207667342304004X</v>
      </c>
      <c r="BG70" t="s">
        <v>74</v>
      </c>
      <c r="BH70" t="s">
        <v>74</v>
      </c>
      <c r="BI70">
        <v>15</v>
      </c>
      <c r="BJ70" t="s">
        <v>455</v>
      </c>
      <c r="BK70" t="s">
        <v>757</v>
      </c>
      <c r="BL70" t="s">
        <v>456</v>
      </c>
      <c r="BM70" t="s">
        <v>1400</v>
      </c>
      <c r="BN70" t="s">
        <v>74</v>
      </c>
      <c r="BO70" t="s">
        <v>74</v>
      </c>
      <c r="BP70" t="s">
        <v>74</v>
      </c>
      <c r="BQ70" t="s">
        <v>74</v>
      </c>
      <c r="BR70" t="s">
        <v>108</v>
      </c>
      <c r="BS70" t="s">
        <v>1431</v>
      </c>
      <c r="BT70" t="str">
        <f>HYPERLINK("https%3A%2F%2Fwww.webofscience.com%2Fwos%2Fwoscc%2Ffull-record%2FWOS:001179421000001","View Full Record in Web of Science")</f>
        <v>View Full Record in Web of Science</v>
      </c>
    </row>
    <row r="71" spans="1:72" x14ac:dyDescent="0.15">
      <c r="A71" t="s">
        <v>72</v>
      </c>
      <c r="B71" t="s">
        <v>1432</v>
      </c>
      <c r="C71" t="s">
        <v>74</v>
      </c>
      <c r="D71" t="s">
        <v>74</v>
      </c>
      <c r="E71" t="s">
        <v>74</v>
      </c>
      <c r="F71" t="s">
        <v>1433</v>
      </c>
      <c r="G71" t="s">
        <v>74</v>
      </c>
      <c r="H71" t="s">
        <v>74</v>
      </c>
      <c r="I71" t="s">
        <v>1434</v>
      </c>
      <c r="J71" t="s">
        <v>1383</v>
      </c>
      <c r="K71" t="s">
        <v>74</v>
      </c>
      <c r="L71" t="s">
        <v>74</v>
      </c>
      <c r="M71" t="s">
        <v>1384</v>
      </c>
      <c r="N71" t="s">
        <v>79</v>
      </c>
      <c r="O71" t="s">
        <v>74</v>
      </c>
      <c r="P71" t="s">
        <v>74</v>
      </c>
      <c r="Q71" t="s">
        <v>74</v>
      </c>
      <c r="R71" t="s">
        <v>74</v>
      </c>
      <c r="S71" t="s">
        <v>74</v>
      </c>
      <c r="T71" t="s">
        <v>1435</v>
      </c>
      <c r="U71" t="s">
        <v>1436</v>
      </c>
      <c r="V71" t="s">
        <v>1437</v>
      </c>
      <c r="W71" t="s">
        <v>1438</v>
      </c>
      <c r="X71" t="s">
        <v>1439</v>
      </c>
      <c r="Y71" t="s">
        <v>1440</v>
      </c>
      <c r="Z71" t="s">
        <v>1441</v>
      </c>
      <c r="AA71" t="s">
        <v>74</v>
      </c>
      <c r="AB71" t="s">
        <v>74</v>
      </c>
      <c r="AC71" t="s">
        <v>74</v>
      </c>
      <c r="AD71" t="s">
        <v>74</v>
      </c>
      <c r="AE71" t="s">
        <v>74</v>
      </c>
      <c r="AF71" t="s">
        <v>74</v>
      </c>
      <c r="AG71">
        <v>28</v>
      </c>
      <c r="AH71">
        <v>0</v>
      </c>
      <c r="AI71">
        <v>0</v>
      </c>
      <c r="AJ71">
        <v>1</v>
      </c>
      <c r="AK71">
        <v>1</v>
      </c>
      <c r="AL71" t="s">
        <v>1392</v>
      </c>
      <c r="AM71" t="s">
        <v>1393</v>
      </c>
      <c r="AN71" t="s">
        <v>1394</v>
      </c>
      <c r="AO71" t="s">
        <v>1395</v>
      </c>
      <c r="AP71" t="s">
        <v>1396</v>
      </c>
      <c r="AQ71" t="s">
        <v>74</v>
      </c>
      <c r="AR71" t="s">
        <v>1397</v>
      </c>
      <c r="AS71" t="s">
        <v>1398</v>
      </c>
      <c r="AT71" t="s">
        <v>74</v>
      </c>
      <c r="AU71">
        <v>2023</v>
      </c>
      <c r="AV71">
        <v>63</v>
      </c>
      <c r="AW71">
        <v>4</v>
      </c>
      <c r="AX71" t="s">
        <v>74</v>
      </c>
      <c r="AY71" t="s">
        <v>74</v>
      </c>
      <c r="AZ71" t="s">
        <v>74</v>
      </c>
      <c r="BA71" t="s">
        <v>74</v>
      </c>
      <c r="BB71">
        <v>540</v>
      </c>
      <c r="BC71">
        <v>552</v>
      </c>
      <c r="BD71" t="s">
        <v>74</v>
      </c>
      <c r="BE71" t="s">
        <v>1442</v>
      </c>
      <c r="BF71" t="str">
        <f>HYPERLINK("http://dx.doi.org/10.31857/S2076673423040117","http://dx.doi.org/10.31857/S2076673423040117")</f>
        <v>http://dx.doi.org/10.31857/S2076673423040117</v>
      </c>
      <c r="BG71" t="s">
        <v>74</v>
      </c>
      <c r="BH71" t="s">
        <v>74</v>
      </c>
      <c r="BI71">
        <v>13</v>
      </c>
      <c r="BJ71" t="s">
        <v>455</v>
      </c>
      <c r="BK71" t="s">
        <v>757</v>
      </c>
      <c r="BL71" t="s">
        <v>456</v>
      </c>
      <c r="BM71" t="s">
        <v>1443</v>
      </c>
      <c r="BN71" t="s">
        <v>74</v>
      </c>
      <c r="BO71" t="s">
        <v>74</v>
      </c>
      <c r="BP71" t="s">
        <v>74</v>
      </c>
      <c r="BQ71" t="s">
        <v>74</v>
      </c>
      <c r="BR71" t="s">
        <v>108</v>
      </c>
      <c r="BS71" t="s">
        <v>1444</v>
      </c>
      <c r="BT71" t="str">
        <f>HYPERLINK("https%3A%2F%2Fwww.webofscience.com%2Fwos%2Fwoscc%2Ffull-record%2FWOS:001179505000001","View Full Record in Web of Science")</f>
        <v>View Full Record in Web of Science</v>
      </c>
    </row>
    <row r="72" spans="1:72" x14ac:dyDescent="0.15">
      <c r="A72" t="s">
        <v>72</v>
      </c>
      <c r="B72" t="s">
        <v>1445</v>
      </c>
      <c r="C72" t="s">
        <v>74</v>
      </c>
      <c r="D72" t="s">
        <v>74</v>
      </c>
      <c r="E72" t="s">
        <v>74</v>
      </c>
      <c r="F72" t="s">
        <v>1446</v>
      </c>
      <c r="G72" t="s">
        <v>74</v>
      </c>
      <c r="H72" t="s">
        <v>74</v>
      </c>
      <c r="I72" t="s">
        <v>1447</v>
      </c>
      <c r="J72" t="s">
        <v>1448</v>
      </c>
      <c r="K72" t="s">
        <v>74</v>
      </c>
      <c r="L72" t="s">
        <v>74</v>
      </c>
      <c r="M72" t="s">
        <v>1449</v>
      </c>
      <c r="N72" t="s">
        <v>79</v>
      </c>
      <c r="O72" t="s">
        <v>74</v>
      </c>
      <c r="P72" t="s">
        <v>74</v>
      </c>
      <c r="Q72" t="s">
        <v>74</v>
      </c>
      <c r="R72" t="s">
        <v>74</v>
      </c>
      <c r="S72" t="s">
        <v>74</v>
      </c>
      <c r="T72" t="s">
        <v>1450</v>
      </c>
      <c r="U72" t="s">
        <v>74</v>
      </c>
      <c r="V72" t="s">
        <v>1451</v>
      </c>
      <c r="W72" t="s">
        <v>1452</v>
      </c>
      <c r="X72" t="s">
        <v>1453</v>
      </c>
      <c r="Y72" t="s">
        <v>1454</v>
      </c>
      <c r="Z72" t="s">
        <v>1455</v>
      </c>
      <c r="AA72" t="s">
        <v>74</v>
      </c>
      <c r="AB72" t="s">
        <v>74</v>
      </c>
      <c r="AC72" t="s">
        <v>74</v>
      </c>
      <c r="AD72" t="s">
        <v>74</v>
      </c>
      <c r="AE72" t="s">
        <v>74</v>
      </c>
      <c r="AF72" t="s">
        <v>74</v>
      </c>
      <c r="AG72">
        <v>11</v>
      </c>
      <c r="AH72">
        <v>0</v>
      </c>
      <c r="AI72">
        <v>0</v>
      </c>
      <c r="AJ72">
        <v>0</v>
      </c>
      <c r="AK72">
        <v>0</v>
      </c>
      <c r="AL72" t="s">
        <v>1456</v>
      </c>
      <c r="AM72" t="s">
        <v>1457</v>
      </c>
      <c r="AN72" t="s">
        <v>1458</v>
      </c>
      <c r="AO72" t="s">
        <v>1459</v>
      </c>
      <c r="AP72" t="s">
        <v>74</v>
      </c>
      <c r="AQ72" t="s">
        <v>74</v>
      </c>
      <c r="AR72" t="s">
        <v>1460</v>
      </c>
      <c r="AS72" t="s">
        <v>1461</v>
      </c>
      <c r="AT72" t="s">
        <v>74</v>
      </c>
      <c r="AU72">
        <v>2023</v>
      </c>
      <c r="AV72">
        <v>15</v>
      </c>
      <c r="AW72">
        <v>3</v>
      </c>
      <c r="AX72" t="s">
        <v>74</v>
      </c>
      <c r="AY72" t="s">
        <v>74</v>
      </c>
      <c r="AZ72" t="s">
        <v>74</v>
      </c>
      <c r="BA72" t="s">
        <v>74</v>
      </c>
      <c r="BB72">
        <v>348</v>
      </c>
      <c r="BC72">
        <v>364</v>
      </c>
      <c r="BD72" t="s">
        <v>74</v>
      </c>
      <c r="BE72" t="s">
        <v>1462</v>
      </c>
      <c r="BF72" t="str">
        <f>HYPERLINK("http://dx.doi.org/10.22305/ict-unpa.v15.n3.993","http://dx.doi.org/10.22305/ict-unpa.v15.n3.993")</f>
        <v>http://dx.doi.org/10.22305/ict-unpa.v15.n3.993</v>
      </c>
      <c r="BG72" t="s">
        <v>74</v>
      </c>
      <c r="BH72" t="s">
        <v>74</v>
      </c>
      <c r="BI72">
        <v>17</v>
      </c>
      <c r="BJ72" t="s">
        <v>189</v>
      </c>
      <c r="BK72" t="s">
        <v>757</v>
      </c>
      <c r="BL72" t="s">
        <v>190</v>
      </c>
      <c r="BM72" t="s">
        <v>1463</v>
      </c>
      <c r="BN72" t="s">
        <v>74</v>
      </c>
      <c r="BO72" t="s">
        <v>1464</v>
      </c>
      <c r="BP72" t="s">
        <v>74</v>
      </c>
      <c r="BQ72" t="s">
        <v>74</v>
      </c>
      <c r="BR72" t="s">
        <v>108</v>
      </c>
      <c r="BS72" t="s">
        <v>1465</v>
      </c>
      <c r="BT72" t="str">
        <f>HYPERLINK("https%3A%2F%2Fwww.webofscience.com%2Fwos%2Fwoscc%2Ffull-record%2FWOS:001094862800016","View Full Record in Web of Science")</f>
        <v>View Full Record in Web of Science</v>
      </c>
    </row>
    <row r="73" spans="1:72" x14ac:dyDescent="0.15">
      <c r="A73" t="s">
        <v>72</v>
      </c>
      <c r="B73" t="s">
        <v>1466</v>
      </c>
      <c r="C73" t="s">
        <v>74</v>
      </c>
      <c r="D73" t="s">
        <v>74</v>
      </c>
      <c r="E73" t="s">
        <v>74</v>
      </c>
      <c r="F73" t="s">
        <v>1467</v>
      </c>
      <c r="G73" t="s">
        <v>74</v>
      </c>
      <c r="H73" t="s">
        <v>74</v>
      </c>
      <c r="I73" t="s">
        <v>1468</v>
      </c>
      <c r="J73" t="s">
        <v>1469</v>
      </c>
      <c r="K73" t="s">
        <v>74</v>
      </c>
      <c r="L73" t="s">
        <v>74</v>
      </c>
      <c r="M73" t="s">
        <v>78</v>
      </c>
      <c r="N73" t="s">
        <v>79</v>
      </c>
      <c r="O73" t="s">
        <v>74</v>
      </c>
      <c r="P73" t="s">
        <v>74</v>
      </c>
      <c r="Q73" t="s">
        <v>74</v>
      </c>
      <c r="R73" t="s">
        <v>74</v>
      </c>
      <c r="S73" t="s">
        <v>74</v>
      </c>
      <c r="T73" t="s">
        <v>74</v>
      </c>
      <c r="U73" t="s">
        <v>1470</v>
      </c>
      <c r="V73" t="s">
        <v>1471</v>
      </c>
      <c r="W73" t="s">
        <v>1472</v>
      </c>
      <c r="X73" t="s">
        <v>1473</v>
      </c>
      <c r="Y73" t="s">
        <v>1474</v>
      </c>
      <c r="Z73" t="s">
        <v>1475</v>
      </c>
      <c r="AA73" t="s">
        <v>74</v>
      </c>
      <c r="AB73" t="s">
        <v>74</v>
      </c>
      <c r="AC73" t="s">
        <v>1476</v>
      </c>
      <c r="AD73" t="s">
        <v>1477</v>
      </c>
      <c r="AE73" t="s">
        <v>1478</v>
      </c>
      <c r="AF73" t="s">
        <v>74</v>
      </c>
      <c r="AG73">
        <v>168</v>
      </c>
      <c r="AH73">
        <v>1</v>
      </c>
      <c r="AI73">
        <v>1</v>
      </c>
      <c r="AJ73">
        <v>2</v>
      </c>
      <c r="AK73">
        <v>2</v>
      </c>
      <c r="AL73" t="s">
        <v>1479</v>
      </c>
      <c r="AM73" t="s">
        <v>1480</v>
      </c>
      <c r="AN73" t="s">
        <v>1481</v>
      </c>
      <c r="AO73" t="s">
        <v>1482</v>
      </c>
      <c r="AP73" t="s">
        <v>1483</v>
      </c>
      <c r="AQ73" t="s">
        <v>74</v>
      </c>
      <c r="AR73" t="s">
        <v>1469</v>
      </c>
      <c r="AS73" t="s">
        <v>1484</v>
      </c>
      <c r="AT73" t="s">
        <v>74</v>
      </c>
      <c r="AU73">
        <v>2023</v>
      </c>
      <c r="AV73">
        <v>69</v>
      </c>
      <c r="AW73">
        <v>6</v>
      </c>
      <c r="AX73" t="s">
        <v>74</v>
      </c>
      <c r="AY73" t="s">
        <v>74</v>
      </c>
      <c r="AZ73" t="s">
        <v>74</v>
      </c>
      <c r="BA73" t="s">
        <v>74</v>
      </c>
      <c r="BB73">
        <v>555</v>
      </c>
      <c r="BC73">
        <v>634</v>
      </c>
      <c r="BD73" t="s">
        <v>74</v>
      </c>
      <c r="BE73" t="s">
        <v>1485</v>
      </c>
      <c r="BF73" t="str">
        <f>HYPERLINK("http://dx.doi.org/10.47894/mpal.69.6.01","http://dx.doi.org/10.47894/mpal.69.6.01")</f>
        <v>http://dx.doi.org/10.47894/mpal.69.6.01</v>
      </c>
      <c r="BG73" t="s">
        <v>74</v>
      </c>
      <c r="BH73" t="s">
        <v>74</v>
      </c>
      <c r="BI73">
        <v>80</v>
      </c>
      <c r="BJ73" t="s">
        <v>1486</v>
      </c>
      <c r="BK73" t="s">
        <v>104</v>
      </c>
      <c r="BL73" t="s">
        <v>1486</v>
      </c>
      <c r="BM73" t="s">
        <v>1487</v>
      </c>
      <c r="BN73" t="s">
        <v>74</v>
      </c>
      <c r="BO73" t="s">
        <v>74</v>
      </c>
      <c r="BP73" t="s">
        <v>74</v>
      </c>
      <c r="BQ73" t="s">
        <v>74</v>
      </c>
      <c r="BR73" t="s">
        <v>108</v>
      </c>
      <c r="BS73" t="s">
        <v>1488</v>
      </c>
      <c r="BT73" t="str">
        <f>HYPERLINK("https%3A%2F%2Fwww.webofscience.com%2Fwos%2Fwoscc%2Ffull-record%2FWOS:001159524500001","View Full Record in Web of Science")</f>
        <v>View Full Record in Web of Science</v>
      </c>
    </row>
    <row r="74" spans="1:72" x14ac:dyDescent="0.15">
      <c r="A74" t="s">
        <v>72</v>
      </c>
      <c r="B74" t="s">
        <v>1489</v>
      </c>
      <c r="C74" t="s">
        <v>74</v>
      </c>
      <c r="D74" t="s">
        <v>74</v>
      </c>
      <c r="E74" t="s">
        <v>74</v>
      </c>
      <c r="F74" t="s">
        <v>1490</v>
      </c>
      <c r="G74" t="s">
        <v>74</v>
      </c>
      <c r="H74" t="s">
        <v>74</v>
      </c>
      <c r="I74" t="s">
        <v>1491</v>
      </c>
      <c r="J74" t="s">
        <v>975</v>
      </c>
      <c r="K74" t="s">
        <v>74</v>
      </c>
      <c r="L74" t="s">
        <v>74</v>
      </c>
      <c r="M74" t="s">
        <v>78</v>
      </c>
      <c r="N74" t="s">
        <v>79</v>
      </c>
      <c r="O74" t="s">
        <v>74</v>
      </c>
      <c r="P74" t="s">
        <v>74</v>
      </c>
      <c r="Q74" t="s">
        <v>74</v>
      </c>
      <c r="R74" t="s">
        <v>74</v>
      </c>
      <c r="S74" t="s">
        <v>74</v>
      </c>
      <c r="T74" t="s">
        <v>1492</v>
      </c>
      <c r="U74" t="s">
        <v>1493</v>
      </c>
      <c r="V74" t="s">
        <v>1494</v>
      </c>
      <c r="W74" t="s">
        <v>1495</v>
      </c>
      <c r="X74" t="s">
        <v>1496</v>
      </c>
      <c r="Y74" t="s">
        <v>1497</v>
      </c>
      <c r="Z74" t="s">
        <v>1498</v>
      </c>
      <c r="AA74" t="s">
        <v>1499</v>
      </c>
      <c r="AB74" t="s">
        <v>1500</v>
      </c>
      <c r="AC74" t="s">
        <v>1501</v>
      </c>
      <c r="AD74" t="s">
        <v>1502</v>
      </c>
      <c r="AE74" t="s">
        <v>1503</v>
      </c>
      <c r="AF74" t="s">
        <v>74</v>
      </c>
      <c r="AG74">
        <v>70</v>
      </c>
      <c r="AH74">
        <v>0</v>
      </c>
      <c r="AI74">
        <v>0</v>
      </c>
      <c r="AJ74">
        <v>0</v>
      </c>
      <c r="AK74">
        <v>0</v>
      </c>
      <c r="AL74" t="s">
        <v>987</v>
      </c>
      <c r="AM74" t="s">
        <v>988</v>
      </c>
      <c r="AN74" t="s">
        <v>989</v>
      </c>
      <c r="AO74" t="s">
        <v>990</v>
      </c>
      <c r="AP74" t="s">
        <v>991</v>
      </c>
      <c r="AQ74" t="s">
        <v>74</v>
      </c>
      <c r="AR74" t="s">
        <v>992</v>
      </c>
      <c r="AS74" t="s">
        <v>993</v>
      </c>
      <c r="AT74" t="s">
        <v>74</v>
      </c>
      <c r="AU74">
        <v>2023</v>
      </c>
      <c r="AV74">
        <v>118</v>
      </c>
      <c r="AW74" t="s">
        <v>74</v>
      </c>
      <c r="AX74" t="s">
        <v>74</v>
      </c>
      <c r="AY74" t="s">
        <v>74</v>
      </c>
      <c r="AZ74" t="s">
        <v>74</v>
      </c>
      <c r="BA74" t="s">
        <v>74</v>
      </c>
      <c r="BB74" t="s">
        <v>74</v>
      </c>
      <c r="BC74" t="s">
        <v>74</v>
      </c>
      <c r="BD74">
        <v>230220</v>
      </c>
      <c r="BE74" t="s">
        <v>1504</v>
      </c>
      <c r="BF74" t="str">
        <f>HYPERLINK("http://dx.doi.org/10.2465/jmps.230220","http://dx.doi.org/10.2465/jmps.230220")</f>
        <v>http://dx.doi.org/10.2465/jmps.230220</v>
      </c>
      <c r="BG74" t="s">
        <v>74</v>
      </c>
      <c r="BH74" t="s">
        <v>74</v>
      </c>
      <c r="BI74">
        <v>23</v>
      </c>
      <c r="BJ74" t="s">
        <v>995</v>
      </c>
      <c r="BK74" t="s">
        <v>104</v>
      </c>
      <c r="BL74" t="s">
        <v>995</v>
      </c>
      <c r="BM74" t="s">
        <v>996</v>
      </c>
      <c r="BN74" t="s">
        <v>74</v>
      </c>
      <c r="BO74" t="s">
        <v>165</v>
      </c>
      <c r="BP74" t="s">
        <v>74</v>
      </c>
      <c r="BQ74" t="s">
        <v>74</v>
      </c>
      <c r="BR74" t="s">
        <v>108</v>
      </c>
      <c r="BS74" t="s">
        <v>1505</v>
      </c>
      <c r="BT74" t="str">
        <f>HYPERLINK("https%3A%2F%2Fwww.webofscience.com%2Fwos%2Fwoscc%2Ffull-record%2FWOS:001089014300013","View Full Record in Web of Science")</f>
        <v>View Full Record in Web of Science</v>
      </c>
    </row>
    <row r="75" spans="1:72" x14ac:dyDescent="0.15">
      <c r="A75" t="s">
        <v>72</v>
      </c>
      <c r="B75" t="s">
        <v>1506</v>
      </c>
      <c r="C75" t="s">
        <v>74</v>
      </c>
      <c r="D75" t="s">
        <v>74</v>
      </c>
      <c r="E75" t="s">
        <v>74</v>
      </c>
      <c r="F75" t="s">
        <v>1507</v>
      </c>
      <c r="G75" t="s">
        <v>74</v>
      </c>
      <c r="H75" t="s">
        <v>74</v>
      </c>
      <c r="I75" t="s">
        <v>1508</v>
      </c>
      <c r="J75" t="s">
        <v>975</v>
      </c>
      <c r="K75" t="s">
        <v>74</v>
      </c>
      <c r="L75" t="s">
        <v>74</v>
      </c>
      <c r="M75" t="s">
        <v>78</v>
      </c>
      <c r="N75" t="s">
        <v>79</v>
      </c>
      <c r="O75" t="s">
        <v>74</v>
      </c>
      <c r="P75" t="s">
        <v>74</v>
      </c>
      <c r="Q75" t="s">
        <v>74</v>
      </c>
      <c r="R75" t="s">
        <v>74</v>
      </c>
      <c r="S75" t="s">
        <v>74</v>
      </c>
      <c r="T75" t="s">
        <v>1509</v>
      </c>
      <c r="U75" t="s">
        <v>1510</v>
      </c>
      <c r="V75" t="s">
        <v>1511</v>
      </c>
      <c r="W75" t="s">
        <v>1512</v>
      </c>
      <c r="X75" t="s">
        <v>1513</v>
      </c>
      <c r="Y75" t="s">
        <v>1514</v>
      </c>
      <c r="Z75" t="s">
        <v>1515</v>
      </c>
      <c r="AA75" t="s">
        <v>74</v>
      </c>
      <c r="AB75" t="s">
        <v>74</v>
      </c>
      <c r="AC75" t="s">
        <v>1516</v>
      </c>
      <c r="AD75" t="s">
        <v>1517</v>
      </c>
      <c r="AE75" t="s">
        <v>1518</v>
      </c>
      <c r="AF75" t="s">
        <v>74</v>
      </c>
      <c r="AG75">
        <v>64</v>
      </c>
      <c r="AH75">
        <v>4</v>
      </c>
      <c r="AI75">
        <v>4</v>
      </c>
      <c r="AJ75">
        <v>1</v>
      </c>
      <c r="AK75">
        <v>1</v>
      </c>
      <c r="AL75" t="s">
        <v>987</v>
      </c>
      <c r="AM75" t="s">
        <v>988</v>
      </c>
      <c r="AN75" t="s">
        <v>989</v>
      </c>
      <c r="AO75" t="s">
        <v>990</v>
      </c>
      <c r="AP75" t="s">
        <v>991</v>
      </c>
      <c r="AQ75" t="s">
        <v>74</v>
      </c>
      <c r="AR75" t="s">
        <v>992</v>
      </c>
      <c r="AS75" t="s">
        <v>993</v>
      </c>
      <c r="AT75" t="s">
        <v>74</v>
      </c>
      <c r="AU75">
        <v>2023</v>
      </c>
      <c r="AV75">
        <v>118</v>
      </c>
      <c r="AW75" t="s">
        <v>74</v>
      </c>
      <c r="AX75" t="s">
        <v>74</v>
      </c>
      <c r="AY75" t="s">
        <v>74</v>
      </c>
      <c r="AZ75" t="s">
        <v>754</v>
      </c>
      <c r="BA75" t="s">
        <v>74</v>
      </c>
      <c r="BB75" t="s">
        <v>74</v>
      </c>
      <c r="BC75" t="s">
        <v>74</v>
      </c>
      <c r="BD75" t="s">
        <v>1519</v>
      </c>
      <c r="BE75" t="s">
        <v>1520</v>
      </c>
      <c r="BF75" t="str">
        <f>HYPERLINK("http://dx.doi.org/10.2465/jmps.221220","http://dx.doi.org/10.2465/jmps.221220")</f>
        <v>http://dx.doi.org/10.2465/jmps.221220</v>
      </c>
      <c r="BG75" t="s">
        <v>74</v>
      </c>
      <c r="BH75" t="s">
        <v>74</v>
      </c>
      <c r="BI75">
        <v>20</v>
      </c>
      <c r="BJ75" t="s">
        <v>995</v>
      </c>
      <c r="BK75" t="s">
        <v>104</v>
      </c>
      <c r="BL75" t="s">
        <v>995</v>
      </c>
      <c r="BM75" t="s">
        <v>1521</v>
      </c>
      <c r="BN75" t="s">
        <v>74</v>
      </c>
      <c r="BO75" t="s">
        <v>165</v>
      </c>
      <c r="BP75" t="s">
        <v>74</v>
      </c>
      <c r="BQ75" t="s">
        <v>74</v>
      </c>
      <c r="BR75" t="s">
        <v>108</v>
      </c>
      <c r="BS75" t="s">
        <v>1522</v>
      </c>
      <c r="BT75" t="str">
        <f>HYPERLINK("https%3A%2F%2Fwww.webofscience.com%2Fwos%2Fwoscc%2Ffull-record%2FWOS:001123660100001","View Full Record in Web of Science")</f>
        <v>View Full Record in Web of Science</v>
      </c>
    </row>
    <row r="76" spans="1:72" x14ac:dyDescent="0.15">
      <c r="A76" t="s">
        <v>72</v>
      </c>
      <c r="B76" t="s">
        <v>1523</v>
      </c>
      <c r="C76" t="s">
        <v>74</v>
      </c>
      <c r="D76" t="s">
        <v>74</v>
      </c>
      <c r="E76" t="s">
        <v>74</v>
      </c>
      <c r="F76" t="s">
        <v>1524</v>
      </c>
      <c r="G76" t="s">
        <v>74</v>
      </c>
      <c r="H76" t="s">
        <v>74</v>
      </c>
      <c r="I76" t="s">
        <v>1525</v>
      </c>
      <c r="J76" t="s">
        <v>975</v>
      </c>
      <c r="K76" t="s">
        <v>74</v>
      </c>
      <c r="L76" t="s">
        <v>74</v>
      </c>
      <c r="M76" t="s">
        <v>78</v>
      </c>
      <c r="N76" t="s">
        <v>79</v>
      </c>
      <c r="O76" t="s">
        <v>74</v>
      </c>
      <c r="P76" t="s">
        <v>74</v>
      </c>
      <c r="Q76" t="s">
        <v>74</v>
      </c>
      <c r="R76" t="s">
        <v>74</v>
      </c>
      <c r="S76" t="s">
        <v>74</v>
      </c>
      <c r="T76" t="s">
        <v>1526</v>
      </c>
      <c r="U76" t="s">
        <v>1527</v>
      </c>
      <c r="V76" t="s">
        <v>1528</v>
      </c>
      <c r="W76" t="s">
        <v>1529</v>
      </c>
      <c r="X76" t="s">
        <v>1530</v>
      </c>
      <c r="Y76" t="s">
        <v>1531</v>
      </c>
      <c r="Z76" t="s">
        <v>1532</v>
      </c>
      <c r="AA76" t="s">
        <v>74</v>
      </c>
      <c r="AB76" t="s">
        <v>74</v>
      </c>
      <c r="AC76" t="s">
        <v>1533</v>
      </c>
      <c r="AD76" t="s">
        <v>1534</v>
      </c>
      <c r="AE76" t="s">
        <v>1535</v>
      </c>
      <c r="AF76" t="s">
        <v>74</v>
      </c>
      <c r="AG76">
        <v>46</v>
      </c>
      <c r="AH76">
        <v>0</v>
      </c>
      <c r="AI76">
        <v>0</v>
      </c>
      <c r="AJ76">
        <v>0</v>
      </c>
      <c r="AK76">
        <v>0</v>
      </c>
      <c r="AL76" t="s">
        <v>987</v>
      </c>
      <c r="AM76" t="s">
        <v>988</v>
      </c>
      <c r="AN76" t="s">
        <v>989</v>
      </c>
      <c r="AO76" t="s">
        <v>990</v>
      </c>
      <c r="AP76" t="s">
        <v>991</v>
      </c>
      <c r="AQ76" t="s">
        <v>74</v>
      </c>
      <c r="AR76" t="s">
        <v>992</v>
      </c>
      <c r="AS76" t="s">
        <v>993</v>
      </c>
      <c r="AT76" t="s">
        <v>74</v>
      </c>
      <c r="AU76">
        <v>2023</v>
      </c>
      <c r="AV76">
        <v>118</v>
      </c>
      <c r="AW76" t="s">
        <v>74</v>
      </c>
      <c r="AX76" t="s">
        <v>74</v>
      </c>
      <c r="AY76" t="s">
        <v>74</v>
      </c>
      <c r="AZ76" t="s">
        <v>754</v>
      </c>
      <c r="BA76" t="s">
        <v>74</v>
      </c>
      <c r="BB76" t="s">
        <v>74</v>
      </c>
      <c r="BC76" t="s">
        <v>74</v>
      </c>
      <c r="BD76">
        <v>221124</v>
      </c>
      <c r="BE76" t="s">
        <v>1536</v>
      </c>
      <c r="BF76" t="str">
        <f>HYPERLINK("http://dx.doi.org/10.2465/jmps.221124","http://dx.doi.org/10.2465/jmps.221124")</f>
        <v>http://dx.doi.org/10.2465/jmps.221124</v>
      </c>
      <c r="BG76" t="s">
        <v>74</v>
      </c>
      <c r="BH76" t="s">
        <v>74</v>
      </c>
      <c r="BI76">
        <v>17</v>
      </c>
      <c r="BJ76" t="s">
        <v>995</v>
      </c>
      <c r="BK76" t="s">
        <v>104</v>
      </c>
      <c r="BL76" t="s">
        <v>995</v>
      </c>
      <c r="BM76" t="s">
        <v>1521</v>
      </c>
      <c r="BN76" t="s">
        <v>74</v>
      </c>
      <c r="BO76" t="s">
        <v>165</v>
      </c>
      <c r="BP76" t="s">
        <v>74</v>
      </c>
      <c r="BQ76" t="s">
        <v>74</v>
      </c>
      <c r="BR76" t="s">
        <v>108</v>
      </c>
      <c r="BS76" t="s">
        <v>1537</v>
      </c>
      <c r="BT76" t="str">
        <f>HYPERLINK("https%3A%2F%2Fwww.webofscience.com%2Fwos%2Fwoscc%2Ffull-record%2FWOS:001123660100003","View Full Record in Web of Science")</f>
        <v>View Full Record in Web of Science</v>
      </c>
    </row>
    <row r="77" spans="1:72" x14ac:dyDescent="0.15">
      <c r="A77" t="s">
        <v>72</v>
      </c>
      <c r="B77" t="s">
        <v>1538</v>
      </c>
      <c r="C77" t="s">
        <v>74</v>
      </c>
      <c r="D77" t="s">
        <v>74</v>
      </c>
      <c r="E77" t="s">
        <v>74</v>
      </c>
      <c r="F77" t="s">
        <v>1539</v>
      </c>
      <c r="G77" t="s">
        <v>74</v>
      </c>
      <c r="H77" t="s">
        <v>74</v>
      </c>
      <c r="I77" t="s">
        <v>1540</v>
      </c>
      <c r="J77" t="s">
        <v>975</v>
      </c>
      <c r="K77" t="s">
        <v>74</v>
      </c>
      <c r="L77" t="s">
        <v>74</v>
      </c>
      <c r="M77" t="s">
        <v>78</v>
      </c>
      <c r="N77" t="s">
        <v>79</v>
      </c>
      <c r="O77" t="s">
        <v>74</v>
      </c>
      <c r="P77" t="s">
        <v>74</v>
      </c>
      <c r="Q77" t="s">
        <v>74</v>
      </c>
      <c r="R77" t="s">
        <v>74</v>
      </c>
      <c r="S77" t="s">
        <v>74</v>
      </c>
      <c r="T77" t="s">
        <v>1541</v>
      </c>
      <c r="U77" t="s">
        <v>1542</v>
      </c>
      <c r="V77" t="s">
        <v>1543</v>
      </c>
      <c r="W77" t="s">
        <v>1544</v>
      </c>
      <c r="X77" t="s">
        <v>1545</v>
      </c>
      <c r="Y77" t="s">
        <v>1546</v>
      </c>
      <c r="Z77" t="s">
        <v>1547</v>
      </c>
      <c r="AA77" t="s">
        <v>74</v>
      </c>
      <c r="AB77" t="s">
        <v>74</v>
      </c>
      <c r="AC77" t="s">
        <v>1548</v>
      </c>
      <c r="AD77" t="s">
        <v>1549</v>
      </c>
      <c r="AE77" t="s">
        <v>1550</v>
      </c>
      <c r="AF77" t="s">
        <v>74</v>
      </c>
      <c r="AG77">
        <v>96</v>
      </c>
      <c r="AH77">
        <v>0</v>
      </c>
      <c r="AI77">
        <v>0</v>
      </c>
      <c r="AJ77">
        <v>1</v>
      </c>
      <c r="AK77">
        <v>1</v>
      </c>
      <c r="AL77" t="s">
        <v>987</v>
      </c>
      <c r="AM77" t="s">
        <v>988</v>
      </c>
      <c r="AN77" t="s">
        <v>989</v>
      </c>
      <c r="AO77" t="s">
        <v>990</v>
      </c>
      <c r="AP77" t="s">
        <v>991</v>
      </c>
      <c r="AQ77" t="s">
        <v>74</v>
      </c>
      <c r="AR77" t="s">
        <v>992</v>
      </c>
      <c r="AS77" t="s">
        <v>993</v>
      </c>
      <c r="AT77" t="s">
        <v>74</v>
      </c>
      <c r="AU77">
        <v>2023</v>
      </c>
      <c r="AV77">
        <v>118</v>
      </c>
      <c r="AW77" t="s">
        <v>74</v>
      </c>
      <c r="AX77" t="s">
        <v>74</v>
      </c>
      <c r="AY77" t="s">
        <v>74</v>
      </c>
      <c r="AZ77" t="s">
        <v>754</v>
      </c>
      <c r="BA77" t="s">
        <v>74</v>
      </c>
      <c r="BB77" t="s">
        <v>74</v>
      </c>
      <c r="BC77" t="s">
        <v>74</v>
      </c>
      <c r="BD77">
        <v>221130</v>
      </c>
      <c r="BE77" t="s">
        <v>1551</v>
      </c>
      <c r="BF77" t="str">
        <f>HYPERLINK("http://dx.doi.org/10.2465/jmps.221130","http://dx.doi.org/10.2465/jmps.221130")</f>
        <v>http://dx.doi.org/10.2465/jmps.221130</v>
      </c>
      <c r="BG77" t="s">
        <v>74</v>
      </c>
      <c r="BH77" t="s">
        <v>74</v>
      </c>
      <c r="BI77">
        <v>20</v>
      </c>
      <c r="BJ77" t="s">
        <v>995</v>
      </c>
      <c r="BK77" t="s">
        <v>104</v>
      </c>
      <c r="BL77" t="s">
        <v>995</v>
      </c>
      <c r="BM77" t="s">
        <v>1521</v>
      </c>
      <c r="BN77" t="s">
        <v>74</v>
      </c>
      <c r="BO77" t="s">
        <v>165</v>
      </c>
      <c r="BP77" t="s">
        <v>74</v>
      </c>
      <c r="BQ77" t="s">
        <v>74</v>
      </c>
      <c r="BR77" t="s">
        <v>108</v>
      </c>
      <c r="BS77" t="s">
        <v>1552</v>
      </c>
      <c r="BT77" t="str">
        <f>HYPERLINK("https%3A%2F%2Fwww.webofscience.com%2Fwos%2Fwoscc%2Ffull-record%2FWOS:001123660100014","View Full Record in Web of Science")</f>
        <v>View Full Record in Web of Science</v>
      </c>
    </row>
    <row r="78" spans="1:72" x14ac:dyDescent="0.15">
      <c r="A78" t="s">
        <v>72</v>
      </c>
      <c r="B78" t="s">
        <v>1538</v>
      </c>
      <c r="C78" t="s">
        <v>74</v>
      </c>
      <c r="D78" t="s">
        <v>74</v>
      </c>
      <c r="E78" t="s">
        <v>74</v>
      </c>
      <c r="F78" t="s">
        <v>1539</v>
      </c>
      <c r="G78" t="s">
        <v>74</v>
      </c>
      <c r="H78" t="s">
        <v>74</v>
      </c>
      <c r="I78" t="s">
        <v>1553</v>
      </c>
      <c r="J78" t="s">
        <v>975</v>
      </c>
      <c r="K78" t="s">
        <v>74</v>
      </c>
      <c r="L78" t="s">
        <v>74</v>
      </c>
      <c r="M78" t="s">
        <v>78</v>
      </c>
      <c r="N78" t="s">
        <v>79</v>
      </c>
      <c r="O78" t="s">
        <v>74</v>
      </c>
      <c r="P78" t="s">
        <v>74</v>
      </c>
      <c r="Q78" t="s">
        <v>74</v>
      </c>
      <c r="R78" t="s">
        <v>74</v>
      </c>
      <c r="S78" t="s">
        <v>74</v>
      </c>
      <c r="T78" t="s">
        <v>1541</v>
      </c>
      <c r="U78" t="s">
        <v>1554</v>
      </c>
      <c r="V78" t="s">
        <v>1555</v>
      </c>
      <c r="W78" t="s">
        <v>1556</v>
      </c>
      <c r="X78" t="s">
        <v>1545</v>
      </c>
      <c r="Y78" t="s">
        <v>1546</v>
      </c>
      <c r="Z78" t="s">
        <v>1547</v>
      </c>
      <c r="AA78" t="s">
        <v>74</v>
      </c>
      <c r="AB78" t="s">
        <v>74</v>
      </c>
      <c r="AC78" t="s">
        <v>1548</v>
      </c>
      <c r="AD78" t="s">
        <v>1549</v>
      </c>
      <c r="AE78" t="s">
        <v>1550</v>
      </c>
      <c r="AF78" t="s">
        <v>74</v>
      </c>
      <c r="AG78">
        <v>96</v>
      </c>
      <c r="AH78">
        <v>0</v>
      </c>
      <c r="AI78">
        <v>0</v>
      </c>
      <c r="AJ78">
        <v>0</v>
      </c>
      <c r="AK78">
        <v>0</v>
      </c>
      <c r="AL78" t="s">
        <v>987</v>
      </c>
      <c r="AM78" t="s">
        <v>988</v>
      </c>
      <c r="AN78" t="s">
        <v>989</v>
      </c>
      <c r="AO78" t="s">
        <v>990</v>
      </c>
      <c r="AP78" t="s">
        <v>991</v>
      </c>
      <c r="AQ78" t="s">
        <v>74</v>
      </c>
      <c r="AR78" t="s">
        <v>992</v>
      </c>
      <c r="AS78" t="s">
        <v>993</v>
      </c>
      <c r="AT78" t="s">
        <v>74</v>
      </c>
      <c r="AU78">
        <v>2023</v>
      </c>
      <c r="AV78">
        <v>118</v>
      </c>
      <c r="AW78" t="s">
        <v>74</v>
      </c>
      <c r="AX78" t="s">
        <v>74</v>
      </c>
      <c r="AY78" t="s">
        <v>74</v>
      </c>
      <c r="AZ78" t="s">
        <v>74</v>
      </c>
      <c r="BA78" t="s">
        <v>74</v>
      </c>
      <c r="BB78" t="s">
        <v>74</v>
      </c>
      <c r="BC78" t="s">
        <v>74</v>
      </c>
      <c r="BD78">
        <v>221130</v>
      </c>
      <c r="BE78" t="s">
        <v>1551</v>
      </c>
      <c r="BF78" t="str">
        <f>HYPERLINK("http://dx.doi.org/10.2465/jmps.221130","http://dx.doi.org/10.2465/jmps.221130")</f>
        <v>http://dx.doi.org/10.2465/jmps.221130</v>
      </c>
      <c r="BG78" t="s">
        <v>74</v>
      </c>
      <c r="BH78" t="s">
        <v>74</v>
      </c>
      <c r="BI78">
        <v>20</v>
      </c>
      <c r="BJ78" t="s">
        <v>995</v>
      </c>
      <c r="BK78" t="s">
        <v>104</v>
      </c>
      <c r="BL78" t="s">
        <v>995</v>
      </c>
      <c r="BM78" t="s">
        <v>996</v>
      </c>
      <c r="BN78" t="s">
        <v>74</v>
      </c>
      <c r="BO78" t="s">
        <v>165</v>
      </c>
      <c r="BP78" t="s">
        <v>74</v>
      </c>
      <c r="BQ78" t="s">
        <v>74</v>
      </c>
      <c r="BR78" t="s">
        <v>108</v>
      </c>
      <c r="BS78" t="s">
        <v>1557</v>
      </c>
      <c r="BT78" t="str">
        <f>HYPERLINK("https%3A%2F%2Fwww.webofscience.com%2Fwos%2Fwoscc%2Ffull-record%2FWOS:001089014300004","View Full Record in Web of Science")</f>
        <v>View Full Record in Web of Science</v>
      </c>
    </row>
    <row r="79" spans="1:72" x14ac:dyDescent="0.15">
      <c r="A79" t="s">
        <v>72</v>
      </c>
      <c r="B79" t="s">
        <v>1558</v>
      </c>
      <c r="C79" t="s">
        <v>74</v>
      </c>
      <c r="D79" t="s">
        <v>74</v>
      </c>
      <c r="E79" t="s">
        <v>74</v>
      </c>
      <c r="F79" t="s">
        <v>1559</v>
      </c>
      <c r="G79" t="s">
        <v>74</v>
      </c>
      <c r="H79" t="s">
        <v>74</v>
      </c>
      <c r="I79" t="s">
        <v>1560</v>
      </c>
      <c r="J79" t="s">
        <v>975</v>
      </c>
      <c r="K79" t="s">
        <v>74</v>
      </c>
      <c r="L79" t="s">
        <v>74</v>
      </c>
      <c r="M79" t="s">
        <v>78</v>
      </c>
      <c r="N79" t="s">
        <v>79</v>
      </c>
      <c r="O79" t="s">
        <v>74</v>
      </c>
      <c r="P79" t="s">
        <v>74</v>
      </c>
      <c r="Q79" t="s">
        <v>74</v>
      </c>
      <c r="R79" t="s">
        <v>74</v>
      </c>
      <c r="S79" t="s">
        <v>74</v>
      </c>
      <c r="T79" t="s">
        <v>1561</v>
      </c>
      <c r="U79" t="s">
        <v>1562</v>
      </c>
      <c r="V79" t="s">
        <v>1563</v>
      </c>
      <c r="W79" t="s">
        <v>1564</v>
      </c>
      <c r="X79" t="s">
        <v>1565</v>
      </c>
      <c r="Y79" t="s">
        <v>1566</v>
      </c>
      <c r="Z79" t="s">
        <v>1567</v>
      </c>
      <c r="AA79" t="s">
        <v>74</v>
      </c>
      <c r="AB79" t="s">
        <v>74</v>
      </c>
      <c r="AC79" t="s">
        <v>74</v>
      </c>
      <c r="AD79" t="s">
        <v>74</v>
      </c>
      <c r="AE79" t="s">
        <v>74</v>
      </c>
      <c r="AF79" t="s">
        <v>74</v>
      </c>
      <c r="AG79">
        <v>63</v>
      </c>
      <c r="AH79">
        <v>0</v>
      </c>
      <c r="AI79">
        <v>0</v>
      </c>
      <c r="AJ79">
        <v>0</v>
      </c>
      <c r="AK79">
        <v>0</v>
      </c>
      <c r="AL79" t="s">
        <v>987</v>
      </c>
      <c r="AM79" t="s">
        <v>988</v>
      </c>
      <c r="AN79" t="s">
        <v>989</v>
      </c>
      <c r="AO79" t="s">
        <v>990</v>
      </c>
      <c r="AP79" t="s">
        <v>991</v>
      </c>
      <c r="AQ79" t="s">
        <v>74</v>
      </c>
      <c r="AR79" t="s">
        <v>992</v>
      </c>
      <c r="AS79" t="s">
        <v>993</v>
      </c>
      <c r="AT79" t="s">
        <v>74</v>
      </c>
      <c r="AU79">
        <v>2023</v>
      </c>
      <c r="AV79">
        <v>118</v>
      </c>
      <c r="AW79" t="s">
        <v>74</v>
      </c>
      <c r="AX79" t="s">
        <v>74</v>
      </c>
      <c r="AY79" t="s">
        <v>74</v>
      </c>
      <c r="AZ79" t="s">
        <v>74</v>
      </c>
      <c r="BA79" t="s">
        <v>74</v>
      </c>
      <c r="BB79" t="s">
        <v>74</v>
      </c>
      <c r="BC79" t="s">
        <v>74</v>
      </c>
      <c r="BD79">
        <v>221203</v>
      </c>
      <c r="BE79" t="s">
        <v>1568</v>
      </c>
      <c r="BF79" t="str">
        <f>HYPERLINK("http://dx.doi.org/10.2465/jmps.221203","http://dx.doi.org/10.2465/jmps.221203")</f>
        <v>http://dx.doi.org/10.2465/jmps.221203</v>
      </c>
      <c r="BG79" t="s">
        <v>74</v>
      </c>
      <c r="BH79" t="s">
        <v>74</v>
      </c>
      <c r="BI79">
        <v>21</v>
      </c>
      <c r="BJ79" t="s">
        <v>995</v>
      </c>
      <c r="BK79" t="s">
        <v>104</v>
      </c>
      <c r="BL79" t="s">
        <v>995</v>
      </c>
      <c r="BM79" t="s">
        <v>996</v>
      </c>
      <c r="BN79" t="s">
        <v>74</v>
      </c>
      <c r="BO79" t="s">
        <v>165</v>
      </c>
      <c r="BP79" t="s">
        <v>74</v>
      </c>
      <c r="BQ79" t="s">
        <v>74</v>
      </c>
      <c r="BR79" t="s">
        <v>108</v>
      </c>
      <c r="BS79" t="s">
        <v>1569</v>
      </c>
      <c r="BT79" t="str">
        <f>HYPERLINK("https%3A%2F%2Fwww.webofscience.com%2Fwos%2Fwoscc%2Ffull-record%2FWOS:001089014300007","View Full Record in Web of Science")</f>
        <v>View Full Record in Web of Science</v>
      </c>
    </row>
    <row r="80" spans="1:72" x14ac:dyDescent="0.15">
      <c r="A80" t="s">
        <v>72</v>
      </c>
      <c r="B80" t="s">
        <v>1570</v>
      </c>
      <c r="C80" t="s">
        <v>74</v>
      </c>
      <c r="D80" t="s">
        <v>74</v>
      </c>
      <c r="E80" t="s">
        <v>74</v>
      </c>
      <c r="F80" t="s">
        <v>1571</v>
      </c>
      <c r="G80" t="s">
        <v>74</v>
      </c>
      <c r="H80" t="s">
        <v>74</v>
      </c>
      <c r="I80" t="s">
        <v>1572</v>
      </c>
      <c r="J80" t="s">
        <v>975</v>
      </c>
      <c r="K80" t="s">
        <v>74</v>
      </c>
      <c r="L80" t="s">
        <v>74</v>
      </c>
      <c r="M80" t="s">
        <v>78</v>
      </c>
      <c r="N80" t="s">
        <v>79</v>
      </c>
      <c r="O80" t="s">
        <v>74</v>
      </c>
      <c r="P80" t="s">
        <v>74</v>
      </c>
      <c r="Q80" t="s">
        <v>74</v>
      </c>
      <c r="R80" t="s">
        <v>74</v>
      </c>
      <c r="S80" t="s">
        <v>74</v>
      </c>
      <c r="T80" t="s">
        <v>1573</v>
      </c>
      <c r="U80" t="s">
        <v>1574</v>
      </c>
      <c r="V80" t="s">
        <v>1575</v>
      </c>
      <c r="W80" t="s">
        <v>1576</v>
      </c>
      <c r="X80" t="s">
        <v>1577</v>
      </c>
      <c r="Y80" t="s">
        <v>1578</v>
      </c>
      <c r="Z80" t="s">
        <v>1579</v>
      </c>
      <c r="AA80" t="s">
        <v>74</v>
      </c>
      <c r="AB80" t="s">
        <v>74</v>
      </c>
      <c r="AC80" t="s">
        <v>1580</v>
      </c>
      <c r="AD80" t="s">
        <v>1549</v>
      </c>
      <c r="AE80" t="s">
        <v>1581</v>
      </c>
      <c r="AF80" t="s">
        <v>74</v>
      </c>
      <c r="AG80">
        <v>51</v>
      </c>
      <c r="AH80">
        <v>0</v>
      </c>
      <c r="AI80">
        <v>0</v>
      </c>
      <c r="AJ80">
        <v>1</v>
      </c>
      <c r="AK80">
        <v>1</v>
      </c>
      <c r="AL80" t="s">
        <v>987</v>
      </c>
      <c r="AM80" t="s">
        <v>988</v>
      </c>
      <c r="AN80" t="s">
        <v>989</v>
      </c>
      <c r="AO80" t="s">
        <v>990</v>
      </c>
      <c r="AP80" t="s">
        <v>991</v>
      </c>
      <c r="AQ80" t="s">
        <v>74</v>
      </c>
      <c r="AR80" t="s">
        <v>992</v>
      </c>
      <c r="AS80" t="s">
        <v>993</v>
      </c>
      <c r="AT80" t="s">
        <v>74</v>
      </c>
      <c r="AU80">
        <v>2023</v>
      </c>
      <c r="AV80">
        <v>118</v>
      </c>
      <c r="AW80" t="s">
        <v>74</v>
      </c>
      <c r="AX80" t="s">
        <v>74</v>
      </c>
      <c r="AY80" t="s">
        <v>74</v>
      </c>
      <c r="AZ80" t="s">
        <v>754</v>
      </c>
      <c r="BA80" t="s">
        <v>74</v>
      </c>
      <c r="BB80" t="s">
        <v>74</v>
      </c>
      <c r="BC80" t="s">
        <v>74</v>
      </c>
      <c r="BD80" t="s">
        <v>1582</v>
      </c>
      <c r="BE80" t="s">
        <v>1583</v>
      </c>
      <c r="BF80" t="str">
        <f>HYPERLINK("http://dx.doi.org/10.2465/jmps.221117","http://dx.doi.org/10.2465/jmps.221117")</f>
        <v>http://dx.doi.org/10.2465/jmps.221117</v>
      </c>
      <c r="BG80" t="s">
        <v>74</v>
      </c>
      <c r="BH80" t="s">
        <v>74</v>
      </c>
      <c r="BI80">
        <v>15</v>
      </c>
      <c r="BJ80" t="s">
        <v>995</v>
      </c>
      <c r="BK80" t="s">
        <v>104</v>
      </c>
      <c r="BL80" t="s">
        <v>995</v>
      </c>
      <c r="BM80" t="s">
        <v>1521</v>
      </c>
      <c r="BN80" t="s">
        <v>74</v>
      </c>
      <c r="BO80" t="s">
        <v>165</v>
      </c>
      <c r="BP80" t="s">
        <v>74</v>
      </c>
      <c r="BQ80" t="s">
        <v>74</v>
      </c>
      <c r="BR80" t="s">
        <v>108</v>
      </c>
      <c r="BS80" t="s">
        <v>1584</v>
      </c>
      <c r="BT80" t="str">
        <f>HYPERLINK("https%3A%2F%2Fwww.webofscience.com%2Fwos%2Fwoscc%2Ffull-record%2FWOS:001123660100012","View Full Record in Web of Science")</f>
        <v>View Full Record in Web of Science</v>
      </c>
    </row>
    <row r="81" spans="1:72" x14ac:dyDescent="0.15">
      <c r="A81" t="s">
        <v>72</v>
      </c>
      <c r="B81" t="s">
        <v>1489</v>
      </c>
      <c r="C81" t="s">
        <v>74</v>
      </c>
      <c r="D81" t="s">
        <v>74</v>
      </c>
      <c r="E81" t="s">
        <v>74</v>
      </c>
      <c r="F81" t="s">
        <v>1490</v>
      </c>
      <c r="G81" t="s">
        <v>74</v>
      </c>
      <c r="H81" t="s">
        <v>74</v>
      </c>
      <c r="I81" t="s">
        <v>1585</v>
      </c>
      <c r="J81" t="s">
        <v>975</v>
      </c>
      <c r="K81" t="s">
        <v>74</v>
      </c>
      <c r="L81" t="s">
        <v>74</v>
      </c>
      <c r="M81" t="s">
        <v>78</v>
      </c>
      <c r="N81" t="s">
        <v>79</v>
      </c>
      <c r="O81" t="s">
        <v>74</v>
      </c>
      <c r="P81" t="s">
        <v>74</v>
      </c>
      <c r="Q81" t="s">
        <v>74</v>
      </c>
      <c r="R81" t="s">
        <v>74</v>
      </c>
      <c r="S81" t="s">
        <v>74</v>
      </c>
      <c r="T81" t="s">
        <v>1492</v>
      </c>
      <c r="U81" t="s">
        <v>1586</v>
      </c>
      <c r="V81" t="s">
        <v>1587</v>
      </c>
      <c r="W81" t="s">
        <v>1588</v>
      </c>
      <c r="X81" t="s">
        <v>1496</v>
      </c>
      <c r="Y81" t="s">
        <v>1497</v>
      </c>
      <c r="Z81" t="s">
        <v>1498</v>
      </c>
      <c r="AA81" t="s">
        <v>74</v>
      </c>
      <c r="AB81" t="s">
        <v>74</v>
      </c>
      <c r="AC81" t="s">
        <v>1589</v>
      </c>
      <c r="AD81" t="s">
        <v>1502</v>
      </c>
      <c r="AE81" t="s">
        <v>1590</v>
      </c>
      <c r="AF81" t="s">
        <v>74</v>
      </c>
      <c r="AG81">
        <v>70</v>
      </c>
      <c r="AH81">
        <v>1</v>
      </c>
      <c r="AI81">
        <v>1</v>
      </c>
      <c r="AJ81">
        <v>0</v>
      </c>
      <c r="AK81">
        <v>0</v>
      </c>
      <c r="AL81" t="s">
        <v>987</v>
      </c>
      <c r="AM81" t="s">
        <v>988</v>
      </c>
      <c r="AN81" t="s">
        <v>989</v>
      </c>
      <c r="AO81" t="s">
        <v>990</v>
      </c>
      <c r="AP81" t="s">
        <v>991</v>
      </c>
      <c r="AQ81" t="s">
        <v>74</v>
      </c>
      <c r="AR81" t="s">
        <v>992</v>
      </c>
      <c r="AS81" t="s">
        <v>993</v>
      </c>
      <c r="AT81" t="s">
        <v>74</v>
      </c>
      <c r="AU81">
        <v>2023</v>
      </c>
      <c r="AV81">
        <v>118</v>
      </c>
      <c r="AW81" t="s">
        <v>74</v>
      </c>
      <c r="AX81" t="s">
        <v>74</v>
      </c>
      <c r="AY81" t="s">
        <v>74</v>
      </c>
      <c r="AZ81" t="s">
        <v>754</v>
      </c>
      <c r="BA81" t="s">
        <v>74</v>
      </c>
      <c r="BB81" t="s">
        <v>74</v>
      </c>
      <c r="BC81" t="s">
        <v>74</v>
      </c>
      <c r="BD81" t="s">
        <v>1591</v>
      </c>
      <c r="BE81" t="s">
        <v>1504</v>
      </c>
      <c r="BF81" t="str">
        <f>HYPERLINK("http://dx.doi.org/10.2465/jmps.230220","http://dx.doi.org/10.2465/jmps.230220")</f>
        <v>http://dx.doi.org/10.2465/jmps.230220</v>
      </c>
      <c r="BG81" t="s">
        <v>74</v>
      </c>
      <c r="BH81" t="s">
        <v>74</v>
      </c>
      <c r="BI81">
        <v>23</v>
      </c>
      <c r="BJ81" t="s">
        <v>995</v>
      </c>
      <c r="BK81" t="s">
        <v>104</v>
      </c>
      <c r="BL81" t="s">
        <v>995</v>
      </c>
      <c r="BM81" t="s">
        <v>1521</v>
      </c>
      <c r="BN81" t="s">
        <v>74</v>
      </c>
      <c r="BO81" t="s">
        <v>165</v>
      </c>
      <c r="BP81" t="s">
        <v>74</v>
      </c>
      <c r="BQ81" t="s">
        <v>74</v>
      </c>
      <c r="BR81" t="s">
        <v>108</v>
      </c>
      <c r="BS81" t="s">
        <v>1592</v>
      </c>
      <c r="BT81" t="str">
        <f>HYPERLINK("https%3A%2F%2Fwww.webofscience.com%2Fwos%2Fwoscc%2Ffull-record%2FWOS:001123660100007","View Full Record in Web of Science")</f>
        <v>View Full Record in Web of Science</v>
      </c>
    </row>
    <row r="82" spans="1:72" x14ac:dyDescent="0.15">
      <c r="A82" t="s">
        <v>72</v>
      </c>
      <c r="B82" t="s">
        <v>1593</v>
      </c>
      <c r="C82" t="s">
        <v>74</v>
      </c>
      <c r="D82" t="s">
        <v>74</v>
      </c>
      <c r="E82" t="s">
        <v>74</v>
      </c>
      <c r="F82" t="s">
        <v>1594</v>
      </c>
      <c r="G82" t="s">
        <v>74</v>
      </c>
      <c r="H82" t="s">
        <v>74</v>
      </c>
      <c r="I82" t="s">
        <v>1595</v>
      </c>
      <c r="J82" t="s">
        <v>975</v>
      </c>
      <c r="K82" t="s">
        <v>74</v>
      </c>
      <c r="L82" t="s">
        <v>74</v>
      </c>
      <c r="M82" t="s">
        <v>78</v>
      </c>
      <c r="N82" t="s">
        <v>79</v>
      </c>
      <c r="O82" t="s">
        <v>74</v>
      </c>
      <c r="P82" t="s">
        <v>74</v>
      </c>
      <c r="Q82" t="s">
        <v>74</v>
      </c>
      <c r="R82" t="s">
        <v>74</v>
      </c>
      <c r="S82" t="s">
        <v>74</v>
      </c>
      <c r="T82" t="s">
        <v>1596</v>
      </c>
      <c r="U82" t="s">
        <v>1597</v>
      </c>
      <c r="V82" t="s">
        <v>1598</v>
      </c>
      <c r="W82" t="s">
        <v>1599</v>
      </c>
      <c r="X82" t="s">
        <v>1600</v>
      </c>
      <c r="Y82" t="s">
        <v>1601</v>
      </c>
      <c r="Z82" t="s">
        <v>1602</v>
      </c>
      <c r="AA82" t="s">
        <v>74</v>
      </c>
      <c r="AB82" t="s">
        <v>74</v>
      </c>
      <c r="AC82" t="s">
        <v>1603</v>
      </c>
      <c r="AD82" t="s">
        <v>1604</v>
      </c>
      <c r="AE82" t="s">
        <v>1605</v>
      </c>
      <c r="AF82" t="s">
        <v>74</v>
      </c>
      <c r="AG82">
        <v>50</v>
      </c>
      <c r="AH82">
        <v>5</v>
      </c>
      <c r="AI82">
        <v>5</v>
      </c>
      <c r="AJ82">
        <v>0</v>
      </c>
      <c r="AK82">
        <v>0</v>
      </c>
      <c r="AL82" t="s">
        <v>987</v>
      </c>
      <c r="AM82" t="s">
        <v>988</v>
      </c>
      <c r="AN82" t="s">
        <v>989</v>
      </c>
      <c r="AO82" t="s">
        <v>990</v>
      </c>
      <c r="AP82" t="s">
        <v>991</v>
      </c>
      <c r="AQ82" t="s">
        <v>74</v>
      </c>
      <c r="AR82" t="s">
        <v>992</v>
      </c>
      <c r="AS82" t="s">
        <v>993</v>
      </c>
      <c r="AT82" t="s">
        <v>74</v>
      </c>
      <c r="AU82">
        <v>2023</v>
      </c>
      <c r="AV82">
        <v>118</v>
      </c>
      <c r="AW82" t="s">
        <v>74</v>
      </c>
      <c r="AX82" t="s">
        <v>74</v>
      </c>
      <c r="AY82" t="s">
        <v>74</v>
      </c>
      <c r="AZ82" t="s">
        <v>754</v>
      </c>
      <c r="BA82" t="s">
        <v>74</v>
      </c>
      <c r="BB82" t="s">
        <v>74</v>
      </c>
      <c r="BC82" t="s">
        <v>74</v>
      </c>
      <c r="BD82" t="s">
        <v>1606</v>
      </c>
      <c r="BE82" t="s">
        <v>1607</v>
      </c>
      <c r="BF82" t="str">
        <f>HYPERLINK("http://dx.doi.org/10.2465/jmps.221202","http://dx.doi.org/10.2465/jmps.221202")</f>
        <v>http://dx.doi.org/10.2465/jmps.221202</v>
      </c>
      <c r="BG82" t="s">
        <v>74</v>
      </c>
      <c r="BH82" t="s">
        <v>74</v>
      </c>
      <c r="BI82">
        <v>11</v>
      </c>
      <c r="BJ82" t="s">
        <v>995</v>
      </c>
      <c r="BK82" t="s">
        <v>104</v>
      </c>
      <c r="BL82" t="s">
        <v>995</v>
      </c>
      <c r="BM82" t="s">
        <v>1521</v>
      </c>
      <c r="BN82" t="s">
        <v>74</v>
      </c>
      <c r="BO82" t="s">
        <v>165</v>
      </c>
      <c r="BP82" t="s">
        <v>74</v>
      </c>
      <c r="BQ82" t="s">
        <v>74</v>
      </c>
      <c r="BR82" t="s">
        <v>108</v>
      </c>
      <c r="BS82" t="s">
        <v>1608</v>
      </c>
      <c r="BT82" t="str">
        <f>HYPERLINK("https%3A%2F%2Fwww.webofscience.com%2Fwos%2Fwoscc%2Ffull-record%2FWOS:001123660100011","View Full Record in Web of Science")</f>
        <v>View Full Record in Web of Science</v>
      </c>
    </row>
    <row r="83" spans="1:72" x14ac:dyDescent="0.15">
      <c r="A83" t="s">
        <v>72</v>
      </c>
      <c r="B83" t="s">
        <v>1609</v>
      </c>
      <c r="C83" t="s">
        <v>74</v>
      </c>
      <c r="D83" t="s">
        <v>74</v>
      </c>
      <c r="E83" t="s">
        <v>74</v>
      </c>
      <c r="F83" t="s">
        <v>1610</v>
      </c>
      <c r="G83" t="s">
        <v>74</v>
      </c>
      <c r="H83" t="s">
        <v>74</v>
      </c>
      <c r="I83" t="s">
        <v>1611</v>
      </c>
      <c r="J83" t="s">
        <v>975</v>
      </c>
      <c r="K83" t="s">
        <v>74</v>
      </c>
      <c r="L83" t="s">
        <v>74</v>
      </c>
      <c r="M83" t="s">
        <v>78</v>
      </c>
      <c r="N83" t="s">
        <v>79</v>
      </c>
      <c r="O83" t="s">
        <v>74</v>
      </c>
      <c r="P83" t="s">
        <v>74</v>
      </c>
      <c r="Q83" t="s">
        <v>74</v>
      </c>
      <c r="R83" t="s">
        <v>74</v>
      </c>
      <c r="S83" t="s">
        <v>74</v>
      </c>
      <c r="T83" t="s">
        <v>1612</v>
      </c>
      <c r="U83" t="s">
        <v>1613</v>
      </c>
      <c r="V83" t="s">
        <v>1614</v>
      </c>
      <c r="W83" t="s">
        <v>1615</v>
      </c>
      <c r="X83" t="s">
        <v>1616</v>
      </c>
      <c r="Y83" t="s">
        <v>1617</v>
      </c>
      <c r="Z83" t="s">
        <v>1618</v>
      </c>
      <c r="AA83" t="s">
        <v>74</v>
      </c>
      <c r="AB83" t="s">
        <v>74</v>
      </c>
      <c r="AC83" t="s">
        <v>1619</v>
      </c>
      <c r="AD83" t="s">
        <v>1620</v>
      </c>
      <c r="AE83" t="s">
        <v>1621</v>
      </c>
      <c r="AF83" t="s">
        <v>74</v>
      </c>
      <c r="AG83">
        <v>56</v>
      </c>
      <c r="AH83">
        <v>1</v>
      </c>
      <c r="AI83">
        <v>1</v>
      </c>
      <c r="AJ83">
        <v>0</v>
      </c>
      <c r="AK83">
        <v>0</v>
      </c>
      <c r="AL83" t="s">
        <v>987</v>
      </c>
      <c r="AM83" t="s">
        <v>988</v>
      </c>
      <c r="AN83" t="s">
        <v>989</v>
      </c>
      <c r="AO83" t="s">
        <v>990</v>
      </c>
      <c r="AP83" t="s">
        <v>991</v>
      </c>
      <c r="AQ83" t="s">
        <v>74</v>
      </c>
      <c r="AR83" t="s">
        <v>992</v>
      </c>
      <c r="AS83" t="s">
        <v>993</v>
      </c>
      <c r="AT83" t="s">
        <v>74</v>
      </c>
      <c r="AU83">
        <v>2023</v>
      </c>
      <c r="AV83">
        <v>118</v>
      </c>
      <c r="AW83" t="s">
        <v>74</v>
      </c>
      <c r="AX83" t="s">
        <v>74</v>
      </c>
      <c r="AY83" t="s">
        <v>74</v>
      </c>
      <c r="AZ83" t="s">
        <v>754</v>
      </c>
      <c r="BA83" t="s">
        <v>74</v>
      </c>
      <c r="BB83" t="s">
        <v>74</v>
      </c>
      <c r="BC83" t="s">
        <v>74</v>
      </c>
      <c r="BD83" t="s">
        <v>1622</v>
      </c>
      <c r="BE83" t="s">
        <v>1623</v>
      </c>
      <c r="BF83" t="str">
        <f>HYPERLINK("http://dx.doi.org/10.2465/jmps.221201","http://dx.doi.org/10.2465/jmps.221201")</f>
        <v>http://dx.doi.org/10.2465/jmps.221201</v>
      </c>
      <c r="BG83" t="s">
        <v>74</v>
      </c>
      <c r="BH83" t="s">
        <v>74</v>
      </c>
      <c r="BI83">
        <v>23</v>
      </c>
      <c r="BJ83" t="s">
        <v>995</v>
      </c>
      <c r="BK83" t="s">
        <v>104</v>
      </c>
      <c r="BL83" t="s">
        <v>995</v>
      </c>
      <c r="BM83" t="s">
        <v>1521</v>
      </c>
      <c r="BN83" t="s">
        <v>74</v>
      </c>
      <c r="BO83" t="s">
        <v>165</v>
      </c>
      <c r="BP83" t="s">
        <v>74</v>
      </c>
      <c r="BQ83" t="s">
        <v>74</v>
      </c>
      <c r="BR83" t="s">
        <v>108</v>
      </c>
      <c r="BS83" t="s">
        <v>1624</v>
      </c>
      <c r="BT83" t="str">
        <f>HYPERLINK("https%3A%2F%2Fwww.webofscience.com%2Fwos%2Fwoscc%2Ffull-record%2FWOS:001123660100013","View Full Record in Web of Science")</f>
        <v>View Full Record in Web of Science</v>
      </c>
    </row>
    <row r="84" spans="1:72" x14ac:dyDescent="0.15">
      <c r="A84" t="s">
        <v>72</v>
      </c>
      <c r="B84" t="s">
        <v>1625</v>
      </c>
      <c r="C84" t="s">
        <v>74</v>
      </c>
      <c r="D84" t="s">
        <v>74</v>
      </c>
      <c r="E84" t="s">
        <v>74</v>
      </c>
      <c r="F84" t="s">
        <v>1626</v>
      </c>
      <c r="G84" t="s">
        <v>74</v>
      </c>
      <c r="H84" t="s">
        <v>74</v>
      </c>
      <c r="I84" t="s">
        <v>1627</v>
      </c>
      <c r="J84" t="s">
        <v>975</v>
      </c>
      <c r="K84" t="s">
        <v>74</v>
      </c>
      <c r="L84" t="s">
        <v>74</v>
      </c>
      <c r="M84" t="s">
        <v>78</v>
      </c>
      <c r="N84" t="s">
        <v>79</v>
      </c>
      <c r="O84" t="s">
        <v>74</v>
      </c>
      <c r="P84" t="s">
        <v>74</v>
      </c>
      <c r="Q84" t="s">
        <v>74</v>
      </c>
      <c r="R84" t="s">
        <v>74</v>
      </c>
      <c r="S84" t="s">
        <v>74</v>
      </c>
      <c r="T84" t="s">
        <v>1561</v>
      </c>
      <c r="U84" t="s">
        <v>1628</v>
      </c>
      <c r="V84" t="s">
        <v>1629</v>
      </c>
      <c r="W84" t="s">
        <v>1630</v>
      </c>
      <c r="X84" t="s">
        <v>1565</v>
      </c>
      <c r="Y84" t="s">
        <v>1631</v>
      </c>
      <c r="Z84" t="s">
        <v>1567</v>
      </c>
      <c r="AA84" t="s">
        <v>74</v>
      </c>
      <c r="AB84" t="s">
        <v>74</v>
      </c>
      <c r="AC84" t="s">
        <v>74</v>
      </c>
      <c r="AD84" t="s">
        <v>74</v>
      </c>
      <c r="AE84" t="s">
        <v>74</v>
      </c>
      <c r="AF84" t="s">
        <v>74</v>
      </c>
      <c r="AG84">
        <v>62</v>
      </c>
      <c r="AH84">
        <v>1</v>
      </c>
      <c r="AI84">
        <v>1</v>
      </c>
      <c r="AJ84">
        <v>0</v>
      </c>
      <c r="AK84">
        <v>0</v>
      </c>
      <c r="AL84" t="s">
        <v>987</v>
      </c>
      <c r="AM84" t="s">
        <v>988</v>
      </c>
      <c r="AN84" t="s">
        <v>989</v>
      </c>
      <c r="AO84" t="s">
        <v>990</v>
      </c>
      <c r="AP84" t="s">
        <v>991</v>
      </c>
      <c r="AQ84" t="s">
        <v>74</v>
      </c>
      <c r="AR84" t="s">
        <v>992</v>
      </c>
      <c r="AS84" t="s">
        <v>993</v>
      </c>
      <c r="AT84" t="s">
        <v>74</v>
      </c>
      <c r="AU84">
        <v>2023</v>
      </c>
      <c r="AV84">
        <v>118</v>
      </c>
      <c r="AW84" t="s">
        <v>74</v>
      </c>
      <c r="AX84" t="s">
        <v>74</v>
      </c>
      <c r="AY84" t="s">
        <v>74</v>
      </c>
      <c r="AZ84" t="s">
        <v>754</v>
      </c>
      <c r="BA84" t="s">
        <v>74</v>
      </c>
      <c r="BB84" t="s">
        <v>74</v>
      </c>
      <c r="BC84" t="s">
        <v>74</v>
      </c>
      <c r="BD84" t="s">
        <v>1632</v>
      </c>
      <c r="BE84" t="s">
        <v>1568</v>
      </c>
      <c r="BF84" t="str">
        <f>HYPERLINK("http://dx.doi.org/10.2465/jmps.221203","http://dx.doi.org/10.2465/jmps.221203")</f>
        <v>http://dx.doi.org/10.2465/jmps.221203</v>
      </c>
      <c r="BG84" t="s">
        <v>74</v>
      </c>
      <c r="BH84" t="s">
        <v>74</v>
      </c>
      <c r="BI84">
        <v>21</v>
      </c>
      <c r="BJ84" t="s">
        <v>995</v>
      </c>
      <c r="BK84" t="s">
        <v>104</v>
      </c>
      <c r="BL84" t="s">
        <v>995</v>
      </c>
      <c r="BM84" t="s">
        <v>1521</v>
      </c>
      <c r="BN84" t="s">
        <v>74</v>
      </c>
      <c r="BO84" t="s">
        <v>165</v>
      </c>
      <c r="BP84" t="s">
        <v>74</v>
      </c>
      <c r="BQ84" t="s">
        <v>74</v>
      </c>
      <c r="BR84" t="s">
        <v>108</v>
      </c>
      <c r="BS84" t="s">
        <v>1633</v>
      </c>
      <c r="BT84" t="str">
        <f>HYPERLINK("https%3A%2F%2Fwww.webofscience.com%2Fwos%2Fwoscc%2Ffull-record%2FWOS:001123660100004","View Full Record in Web of Science")</f>
        <v>View Full Record in Web of Science</v>
      </c>
    </row>
    <row r="85" spans="1:72" x14ac:dyDescent="0.15">
      <c r="A85" t="s">
        <v>72</v>
      </c>
      <c r="B85" t="s">
        <v>1634</v>
      </c>
      <c r="C85" t="s">
        <v>74</v>
      </c>
      <c r="D85" t="s">
        <v>74</v>
      </c>
      <c r="E85" t="s">
        <v>74</v>
      </c>
      <c r="F85" t="s">
        <v>1635</v>
      </c>
      <c r="G85" t="s">
        <v>74</v>
      </c>
      <c r="H85" t="s">
        <v>74</v>
      </c>
      <c r="I85" t="s">
        <v>1636</v>
      </c>
      <c r="J85" t="s">
        <v>1637</v>
      </c>
      <c r="K85" t="s">
        <v>74</v>
      </c>
      <c r="L85" t="s">
        <v>74</v>
      </c>
      <c r="M85" t="s">
        <v>78</v>
      </c>
      <c r="N85" t="s">
        <v>79</v>
      </c>
      <c r="O85" t="s">
        <v>74</v>
      </c>
      <c r="P85" t="s">
        <v>74</v>
      </c>
      <c r="Q85" t="s">
        <v>74</v>
      </c>
      <c r="R85" t="s">
        <v>74</v>
      </c>
      <c r="S85" t="s">
        <v>74</v>
      </c>
      <c r="T85" t="s">
        <v>1638</v>
      </c>
      <c r="U85" t="s">
        <v>1639</v>
      </c>
      <c r="V85" t="s">
        <v>1640</v>
      </c>
      <c r="W85" t="s">
        <v>1641</v>
      </c>
      <c r="X85" t="s">
        <v>1642</v>
      </c>
      <c r="Y85" t="s">
        <v>1643</v>
      </c>
      <c r="Z85" t="s">
        <v>1644</v>
      </c>
      <c r="AA85" t="s">
        <v>74</v>
      </c>
      <c r="AB85" t="s">
        <v>74</v>
      </c>
      <c r="AC85" t="s">
        <v>1645</v>
      </c>
      <c r="AD85" t="s">
        <v>1646</v>
      </c>
      <c r="AE85" t="s">
        <v>1647</v>
      </c>
      <c r="AF85" t="s">
        <v>74</v>
      </c>
      <c r="AG85">
        <v>9</v>
      </c>
      <c r="AH85">
        <v>0</v>
      </c>
      <c r="AI85">
        <v>0</v>
      </c>
      <c r="AJ85">
        <v>1</v>
      </c>
      <c r="AK85">
        <v>1</v>
      </c>
      <c r="AL85" t="s">
        <v>1648</v>
      </c>
      <c r="AM85" t="s">
        <v>1372</v>
      </c>
      <c r="AN85" t="s">
        <v>1649</v>
      </c>
      <c r="AO85" t="s">
        <v>1650</v>
      </c>
      <c r="AP85" t="s">
        <v>1651</v>
      </c>
      <c r="AQ85" t="s">
        <v>74</v>
      </c>
      <c r="AR85" t="s">
        <v>1652</v>
      </c>
      <c r="AS85" t="s">
        <v>1653</v>
      </c>
      <c r="AT85" t="s">
        <v>74</v>
      </c>
      <c r="AU85">
        <v>2023</v>
      </c>
      <c r="AV85">
        <v>84</v>
      </c>
      <c r="AW85" t="s">
        <v>74</v>
      </c>
      <c r="AX85">
        <v>3</v>
      </c>
      <c r="AY85" t="s">
        <v>74</v>
      </c>
      <c r="AZ85" t="s">
        <v>74</v>
      </c>
      <c r="BA85" t="s">
        <v>74</v>
      </c>
      <c r="BB85">
        <v>89</v>
      </c>
      <c r="BC85">
        <v>92</v>
      </c>
      <c r="BD85" t="s">
        <v>74</v>
      </c>
      <c r="BE85" t="s">
        <v>1654</v>
      </c>
      <c r="BF85" t="str">
        <f>HYPERLINK("http://dx.doi.org/10.52215/rev.bgs.2023.84.3.89","http://dx.doi.org/10.52215/rev.bgs.2023.84.3.89")</f>
        <v>http://dx.doi.org/10.52215/rev.bgs.2023.84.3.89</v>
      </c>
      <c r="BG85" t="s">
        <v>74</v>
      </c>
      <c r="BH85" t="s">
        <v>74</v>
      </c>
      <c r="BI85">
        <v>4</v>
      </c>
      <c r="BJ85" t="s">
        <v>455</v>
      </c>
      <c r="BK85" t="s">
        <v>757</v>
      </c>
      <c r="BL85" t="s">
        <v>456</v>
      </c>
      <c r="BM85" t="s">
        <v>1655</v>
      </c>
      <c r="BN85" t="s">
        <v>74</v>
      </c>
      <c r="BO85" t="s">
        <v>660</v>
      </c>
      <c r="BP85" t="s">
        <v>74</v>
      </c>
      <c r="BQ85" t="s">
        <v>74</v>
      </c>
      <c r="BR85" t="s">
        <v>108</v>
      </c>
      <c r="BS85" t="s">
        <v>1656</v>
      </c>
      <c r="BT85" t="str">
        <f>HYPERLINK("https%3A%2F%2Fwww.webofscience.com%2Fwos%2Fwoscc%2Ffull-record%2FWOS:001158159300004","View Full Record in Web of Science")</f>
        <v>View Full Record in Web of Science</v>
      </c>
    </row>
    <row r="86" spans="1:72" x14ac:dyDescent="0.15">
      <c r="A86" t="s">
        <v>72</v>
      </c>
      <c r="B86" t="s">
        <v>1657</v>
      </c>
      <c r="C86" t="s">
        <v>74</v>
      </c>
      <c r="D86" t="s">
        <v>74</v>
      </c>
      <c r="E86" t="s">
        <v>74</v>
      </c>
      <c r="F86" t="s">
        <v>1658</v>
      </c>
      <c r="G86" t="s">
        <v>74</v>
      </c>
      <c r="H86" t="s">
        <v>74</v>
      </c>
      <c r="I86" t="s">
        <v>1659</v>
      </c>
      <c r="J86" t="s">
        <v>1660</v>
      </c>
      <c r="K86" t="s">
        <v>74</v>
      </c>
      <c r="L86" t="s">
        <v>74</v>
      </c>
      <c r="M86" t="s">
        <v>78</v>
      </c>
      <c r="N86" t="s">
        <v>79</v>
      </c>
      <c r="O86" t="s">
        <v>74</v>
      </c>
      <c r="P86" t="s">
        <v>74</v>
      </c>
      <c r="Q86" t="s">
        <v>74</v>
      </c>
      <c r="R86" t="s">
        <v>74</v>
      </c>
      <c r="S86" t="s">
        <v>74</v>
      </c>
      <c r="T86" t="s">
        <v>1661</v>
      </c>
      <c r="U86" t="s">
        <v>1662</v>
      </c>
      <c r="V86" t="s">
        <v>1663</v>
      </c>
      <c r="W86" t="s">
        <v>1664</v>
      </c>
      <c r="X86" t="s">
        <v>1665</v>
      </c>
      <c r="Y86" t="s">
        <v>1666</v>
      </c>
      <c r="Z86" t="s">
        <v>74</v>
      </c>
      <c r="AA86" t="s">
        <v>74</v>
      </c>
      <c r="AB86" t="s">
        <v>74</v>
      </c>
      <c r="AC86" t="s">
        <v>74</v>
      </c>
      <c r="AD86" t="s">
        <v>74</v>
      </c>
      <c r="AE86" t="s">
        <v>74</v>
      </c>
      <c r="AF86" t="s">
        <v>74</v>
      </c>
      <c r="AG86">
        <v>39</v>
      </c>
      <c r="AH86">
        <v>0</v>
      </c>
      <c r="AI86">
        <v>0</v>
      </c>
      <c r="AJ86">
        <v>0</v>
      </c>
      <c r="AK86">
        <v>0</v>
      </c>
      <c r="AL86" t="s">
        <v>1667</v>
      </c>
      <c r="AM86" t="s">
        <v>1668</v>
      </c>
      <c r="AN86" t="s">
        <v>1669</v>
      </c>
      <c r="AO86" t="s">
        <v>1670</v>
      </c>
      <c r="AP86" t="s">
        <v>1671</v>
      </c>
      <c r="AQ86" t="s">
        <v>74</v>
      </c>
      <c r="AR86" t="s">
        <v>1672</v>
      </c>
      <c r="AS86" t="s">
        <v>1673</v>
      </c>
      <c r="AT86" t="s">
        <v>74</v>
      </c>
      <c r="AU86">
        <v>2023</v>
      </c>
      <c r="AV86">
        <v>45</v>
      </c>
      <c r="AW86">
        <v>5</v>
      </c>
      <c r="AX86" t="s">
        <v>74</v>
      </c>
      <c r="AY86" t="s">
        <v>74</v>
      </c>
      <c r="AZ86" t="s">
        <v>74</v>
      </c>
      <c r="BA86" t="s">
        <v>74</v>
      </c>
      <c r="BB86">
        <v>44</v>
      </c>
      <c r="BC86">
        <v>61</v>
      </c>
      <c r="BD86" t="s">
        <v>74</v>
      </c>
      <c r="BE86" t="s">
        <v>1674</v>
      </c>
      <c r="BF86" t="str">
        <f>HYPERLINK("http://dx.doi.org/10.24028/gj.v45i5.289106","http://dx.doi.org/10.24028/gj.v45i5.289106")</f>
        <v>http://dx.doi.org/10.24028/gj.v45i5.289106</v>
      </c>
      <c r="BG86" t="s">
        <v>74</v>
      </c>
      <c r="BH86" t="s">
        <v>74</v>
      </c>
      <c r="BI86">
        <v>18</v>
      </c>
      <c r="BJ86" t="s">
        <v>430</v>
      </c>
      <c r="BK86" t="s">
        <v>757</v>
      </c>
      <c r="BL86" t="s">
        <v>430</v>
      </c>
      <c r="BM86" t="s">
        <v>1675</v>
      </c>
      <c r="BN86" t="s">
        <v>74</v>
      </c>
      <c r="BO86" t="s">
        <v>165</v>
      </c>
      <c r="BP86" t="s">
        <v>74</v>
      </c>
      <c r="BQ86" t="s">
        <v>74</v>
      </c>
      <c r="BR86" t="s">
        <v>108</v>
      </c>
      <c r="BS86" t="s">
        <v>1676</v>
      </c>
      <c r="BT86" t="str">
        <f>HYPERLINK("https%3A%2F%2Fwww.webofscience.com%2Fwos%2Fwoscc%2Ffull-record%2FWOS:001103888600001","View Full Record in Web of Science")</f>
        <v>View Full Record in Web of Science</v>
      </c>
    </row>
    <row r="87" spans="1:72" x14ac:dyDescent="0.15">
      <c r="A87" t="s">
        <v>72</v>
      </c>
      <c r="B87" t="s">
        <v>1677</v>
      </c>
      <c r="C87" t="s">
        <v>74</v>
      </c>
      <c r="D87" t="s">
        <v>74</v>
      </c>
      <c r="E87" t="s">
        <v>74</v>
      </c>
      <c r="F87" t="s">
        <v>1678</v>
      </c>
      <c r="G87" t="s">
        <v>74</v>
      </c>
      <c r="H87" t="s">
        <v>74</v>
      </c>
      <c r="I87" t="s">
        <v>1679</v>
      </c>
      <c r="J87" t="s">
        <v>1680</v>
      </c>
      <c r="K87" t="s">
        <v>74</v>
      </c>
      <c r="L87" t="s">
        <v>74</v>
      </c>
      <c r="M87" t="s">
        <v>78</v>
      </c>
      <c r="N87" t="s">
        <v>79</v>
      </c>
      <c r="O87" t="s">
        <v>74</v>
      </c>
      <c r="P87" t="s">
        <v>74</v>
      </c>
      <c r="Q87" t="s">
        <v>74</v>
      </c>
      <c r="R87" t="s">
        <v>74</v>
      </c>
      <c r="S87" t="s">
        <v>74</v>
      </c>
      <c r="T87" t="s">
        <v>1681</v>
      </c>
      <c r="U87" t="s">
        <v>1682</v>
      </c>
      <c r="V87" t="s">
        <v>1683</v>
      </c>
      <c r="W87" t="s">
        <v>1684</v>
      </c>
      <c r="X87" t="s">
        <v>1685</v>
      </c>
      <c r="Y87" t="s">
        <v>1686</v>
      </c>
      <c r="Z87" t="s">
        <v>1687</v>
      </c>
      <c r="AA87" t="s">
        <v>74</v>
      </c>
      <c r="AB87" t="s">
        <v>1688</v>
      </c>
      <c r="AC87" t="s">
        <v>1689</v>
      </c>
      <c r="AD87" t="s">
        <v>1690</v>
      </c>
      <c r="AE87" t="s">
        <v>1691</v>
      </c>
      <c r="AF87" t="s">
        <v>74</v>
      </c>
      <c r="AG87">
        <v>55</v>
      </c>
      <c r="AH87">
        <v>0</v>
      </c>
      <c r="AI87">
        <v>0</v>
      </c>
      <c r="AJ87">
        <v>2</v>
      </c>
      <c r="AK87">
        <v>2</v>
      </c>
      <c r="AL87" t="s">
        <v>1692</v>
      </c>
      <c r="AM87" t="s">
        <v>375</v>
      </c>
      <c r="AN87" t="s">
        <v>1693</v>
      </c>
      <c r="AO87" t="s">
        <v>1694</v>
      </c>
      <c r="AP87" t="s">
        <v>1695</v>
      </c>
      <c r="AQ87" t="s">
        <v>74</v>
      </c>
      <c r="AR87" t="s">
        <v>1696</v>
      </c>
      <c r="AS87" t="s">
        <v>1697</v>
      </c>
      <c r="AT87" t="s">
        <v>74</v>
      </c>
      <c r="AU87">
        <v>2023</v>
      </c>
      <c r="AV87">
        <v>73</v>
      </c>
      <c r="AW87">
        <v>9</v>
      </c>
      <c r="AX87" t="s">
        <v>74</v>
      </c>
      <c r="AY87" t="s">
        <v>74</v>
      </c>
      <c r="AZ87" t="s">
        <v>74</v>
      </c>
      <c r="BA87" t="s">
        <v>74</v>
      </c>
      <c r="BB87" t="s">
        <v>74</v>
      </c>
      <c r="BC87" t="s">
        <v>74</v>
      </c>
      <c r="BD87">
        <v>6037</v>
      </c>
      <c r="BE87" t="s">
        <v>1698</v>
      </c>
      <c r="BF87" t="str">
        <f>HYPERLINK("http://dx.doi.org/10.1099/ijsem.0.006037","http://dx.doi.org/10.1099/ijsem.0.006037")</f>
        <v>http://dx.doi.org/10.1099/ijsem.0.006037</v>
      </c>
      <c r="BG87" t="s">
        <v>74</v>
      </c>
      <c r="BH87" t="s">
        <v>74</v>
      </c>
      <c r="BI87">
        <v>9</v>
      </c>
      <c r="BJ87" t="s">
        <v>1699</v>
      </c>
      <c r="BK87" t="s">
        <v>104</v>
      </c>
      <c r="BL87" t="s">
        <v>1699</v>
      </c>
      <c r="BM87" t="s">
        <v>1700</v>
      </c>
      <c r="BN87">
        <v>37725075</v>
      </c>
      <c r="BO87" t="s">
        <v>74</v>
      </c>
      <c r="BP87" t="s">
        <v>74</v>
      </c>
      <c r="BQ87" t="s">
        <v>74</v>
      </c>
      <c r="BR87" t="s">
        <v>108</v>
      </c>
      <c r="BS87" t="s">
        <v>1701</v>
      </c>
      <c r="BT87" t="str">
        <f>HYPERLINK("https%3A%2F%2Fwww.webofscience.com%2Fwos%2Fwoscc%2Ffull-record%2FWOS:001155651800017","View Full Record in Web of Science")</f>
        <v>View Full Record in Web of Science</v>
      </c>
    </row>
    <row r="88" spans="1:72" x14ac:dyDescent="0.15">
      <c r="A88" t="s">
        <v>894</v>
      </c>
      <c r="B88" t="s">
        <v>1702</v>
      </c>
      <c r="C88" t="s">
        <v>74</v>
      </c>
      <c r="D88" t="s">
        <v>74</v>
      </c>
      <c r="E88" t="s">
        <v>1703</v>
      </c>
      <c r="F88" t="s">
        <v>1704</v>
      </c>
      <c r="G88" t="s">
        <v>74</v>
      </c>
      <c r="H88" t="s">
        <v>74</v>
      </c>
      <c r="I88" t="s">
        <v>1705</v>
      </c>
      <c r="J88" t="s">
        <v>1706</v>
      </c>
      <c r="K88" t="s">
        <v>74</v>
      </c>
      <c r="L88" t="s">
        <v>74</v>
      </c>
      <c r="M88" t="s">
        <v>78</v>
      </c>
      <c r="N88" t="s">
        <v>901</v>
      </c>
      <c r="O88" t="s">
        <v>1707</v>
      </c>
      <c r="P88" t="s">
        <v>1708</v>
      </c>
      <c r="Q88" t="s">
        <v>1709</v>
      </c>
      <c r="R88" t="s">
        <v>74</v>
      </c>
      <c r="S88" t="s">
        <v>74</v>
      </c>
      <c r="T88" t="s">
        <v>1710</v>
      </c>
      <c r="U88" t="s">
        <v>74</v>
      </c>
      <c r="V88" t="s">
        <v>1711</v>
      </c>
      <c r="W88" t="s">
        <v>1712</v>
      </c>
      <c r="X88" t="s">
        <v>1713</v>
      </c>
      <c r="Y88" t="s">
        <v>1714</v>
      </c>
      <c r="Z88" t="s">
        <v>1715</v>
      </c>
      <c r="AA88" t="s">
        <v>74</v>
      </c>
      <c r="AB88" t="s">
        <v>1716</v>
      </c>
      <c r="AC88" t="s">
        <v>1717</v>
      </c>
      <c r="AD88" t="s">
        <v>1718</v>
      </c>
      <c r="AE88" t="s">
        <v>1719</v>
      </c>
      <c r="AF88" t="s">
        <v>74</v>
      </c>
      <c r="AG88">
        <v>44</v>
      </c>
      <c r="AH88">
        <v>0</v>
      </c>
      <c r="AI88">
        <v>0</v>
      </c>
      <c r="AJ88">
        <v>0</v>
      </c>
      <c r="AK88">
        <v>0</v>
      </c>
      <c r="AL88" t="s">
        <v>1720</v>
      </c>
      <c r="AM88" t="s">
        <v>93</v>
      </c>
      <c r="AN88" t="s">
        <v>1721</v>
      </c>
      <c r="AO88" t="s">
        <v>74</v>
      </c>
      <c r="AP88" t="s">
        <v>74</v>
      </c>
      <c r="AQ88" t="s">
        <v>1722</v>
      </c>
      <c r="AR88" t="s">
        <v>74</v>
      </c>
      <c r="AS88" t="s">
        <v>74</v>
      </c>
      <c r="AT88" t="s">
        <v>74</v>
      </c>
      <c r="AU88">
        <v>2023</v>
      </c>
      <c r="AV88" t="s">
        <v>74</v>
      </c>
      <c r="AW88" t="s">
        <v>74</v>
      </c>
      <c r="AX88" t="s">
        <v>74</v>
      </c>
      <c r="AY88" t="s">
        <v>74</v>
      </c>
      <c r="AZ88" t="s">
        <v>74</v>
      </c>
      <c r="BA88" t="s">
        <v>74</v>
      </c>
      <c r="BB88">
        <v>108</v>
      </c>
      <c r="BC88">
        <v>118</v>
      </c>
      <c r="BD88" t="s">
        <v>74</v>
      </c>
      <c r="BE88" t="s">
        <v>1723</v>
      </c>
      <c r="BF88" t="str">
        <f>HYPERLINK("http://dx.doi.org/10.1145/3616961.3616979","http://dx.doi.org/10.1145/3616961.3616979")</f>
        <v>http://dx.doi.org/10.1145/3616961.3616979</v>
      </c>
      <c r="BG88" t="s">
        <v>74</v>
      </c>
      <c r="BH88" t="s">
        <v>74</v>
      </c>
      <c r="BI88">
        <v>11</v>
      </c>
      <c r="BJ88" t="s">
        <v>1724</v>
      </c>
      <c r="BK88" t="s">
        <v>1186</v>
      </c>
      <c r="BL88" t="s">
        <v>1725</v>
      </c>
      <c r="BM88" t="s">
        <v>1726</v>
      </c>
      <c r="BN88" t="s">
        <v>74</v>
      </c>
      <c r="BO88" t="s">
        <v>1727</v>
      </c>
      <c r="BP88" t="s">
        <v>74</v>
      </c>
      <c r="BQ88" t="s">
        <v>74</v>
      </c>
      <c r="BR88" t="s">
        <v>108</v>
      </c>
      <c r="BS88" t="s">
        <v>1728</v>
      </c>
      <c r="BT88" t="str">
        <f>HYPERLINK("https%3A%2F%2Fwww.webofscience.com%2Fwos%2Fwoscc%2Ffull-record%2FWOS:001147480500010","View Full Record in Web of Science")</f>
        <v>View Full Record in Web of Science</v>
      </c>
    </row>
    <row r="89" spans="1:72" x14ac:dyDescent="0.15">
      <c r="A89" t="s">
        <v>72</v>
      </c>
      <c r="B89" t="s">
        <v>1729</v>
      </c>
      <c r="C89" t="s">
        <v>74</v>
      </c>
      <c r="D89" t="s">
        <v>74</v>
      </c>
      <c r="E89" t="s">
        <v>74</v>
      </c>
      <c r="F89" t="s">
        <v>1730</v>
      </c>
      <c r="G89" t="s">
        <v>74</v>
      </c>
      <c r="H89" t="s">
        <v>74</v>
      </c>
      <c r="I89" t="s">
        <v>1731</v>
      </c>
      <c r="J89" t="s">
        <v>1732</v>
      </c>
      <c r="K89" t="s">
        <v>74</v>
      </c>
      <c r="L89" t="s">
        <v>74</v>
      </c>
      <c r="M89" t="s">
        <v>78</v>
      </c>
      <c r="N89" t="s">
        <v>79</v>
      </c>
      <c r="O89" t="s">
        <v>74</v>
      </c>
      <c r="P89" t="s">
        <v>74</v>
      </c>
      <c r="Q89" t="s">
        <v>74</v>
      </c>
      <c r="R89" t="s">
        <v>74</v>
      </c>
      <c r="S89" t="s">
        <v>74</v>
      </c>
      <c r="T89" t="s">
        <v>1733</v>
      </c>
      <c r="U89" t="s">
        <v>1734</v>
      </c>
      <c r="V89" t="s">
        <v>1735</v>
      </c>
      <c r="W89" t="s">
        <v>1736</v>
      </c>
      <c r="X89" t="s">
        <v>1737</v>
      </c>
      <c r="Y89" t="s">
        <v>1738</v>
      </c>
      <c r="Z89" t="s">
        <v>1739</v>
      </c>
      <c r="AA89" t="s">
        <v>74</v>
      </c>
      <c r="AB89" t="s">
        <v>1740</v>
      </c>
      <c r="AC89" t="s">
        <v>1741</v>
      </c>
      <c r="AD89" t="s">
        <v>1741</v>
      </c>
      <c r="AE89" t="s">
        <v>1742</v>
      </c>
      <c r="AF89" t="s">
        <v>74</v>
      </c>
      <c r="AG89">
        <v>44</v>
      </c>
      <c r="AH89">
        <v>0</v>
      </c>
      <c r="AI89">
        <v>0</v>
      </c>
      <c r="AJ89">
        <v>3</v>
      </c>
      <c r="AK89">
        <v>3</v>
      </c>
      <c r="AL89" t="s">
        <v>1743</v>
      </c>
      <c r="AM89" t="s">
        <v>1744</v>
      </c>
      <c r="AN89" t="s">
        <v>1745</v>
      </c>
      <c r="AO89" t="s">
        <v>1746</v>
      </c>
      <c r="AP89" t="s">
        <v>1747</v>
      </c>
      <c r="AQ89" t="s">
        <v>74</v>
      </c>
      <c r="AR89" t="s">
        <v>1748</v>
      </c>
      <c r="AS89" t="s">
        <v>1749</v>
      </c>
      <c r="AT89" t="s">
        <v>74</v>
      </c>
      <c r="AU89">
        <v>2023</v>
      </c>
      <c r="AV89">
        <v>61</v>
      </c>
      <c r="AW89" t="s">
        <v>74</v>
      </c>
      <c r="AX89" t="s">
        <v>74</v>
      </c>
      <c r="AY89" t="s">
        <v>74</v>
      </c>
      <c r="AZ89" t="s">
        <v>74</v>
      </c>
      <c r="BA89" t="s">
        <v>74</v>
      </c>
      <c r="BB89" t="s">
        <v>74</v>
      </c>
      <c r="BC89" t="s">
        <v>74</v>
      </c>
      <c r="BD89">
        <v>5222011</v>
      </c>
      <c r="BE89" t="s">
        <v>1750</v>
      </c>
      <c r="BF89" t="str">
        <f>HYPERLINK("http://dx.doi.org/10.1109/TGRS.2023.3334493","http://dx.doi.org/10.1109/TGRS.2023.3334493")</f>
        <v>http://dx.doi.org/10.1109/TGRS.2023.3334493</v>
      </c>
      <c r="BG89" t="s">
        <v>74</v>
      </c>
      <c r="BH89" t="s">
        <v>74</v>
      </c>
      <c r="BI89">
        <v>11</v>
      </c>
      <c r="BJ89" t="s">
        <v>1751</v>
      </c>
      <c r="BK89" t="s">
        <v>104</v>
      </c>
      <c r="BL89" t="s">
        <v>1752</v>
      </c>
      <c r="BM89" t="s">
        <v>1753</v>
      </c>
      <c r="BN89" t="s">
        <v>74</v>
      </c>
      <c r="BO89" t="s">
        <v>74</v>
      </c>
      <c r="BP89" t="s">
        <v>74</v>
      </c>
      <c r="BQ89" t="s">
        <v>74</v>
      </c>
      <c r="BR89" t="s">
        <v>108</v>
      </c>
      <c r="BS89" t="s">
        <v>1754</v>
      </c>
      <c r="BT89" t="str">
        <f>HYPERLINK("https%3A%2F%2Fwww.webofscience.com%2Fwos%2Fwoscc%2Ffull-record%2FWOS:001142604800034","View Full Record in Web of Science")</f>
        <v>View Full Record in Web of Science</v>
      </c>
    </row>
    <row r="90" spans="1:72" x14ac:dyDescent="0.15">
      <c r="A90" t="s">
        <v>72</v>
      </c>
      <c r="B90" t="s">
        <v>1755</v>
      </c>
      <c r="C90" t="s">
        <v>74</v>
      </c>
      <c r="D90" t="s">
        <v>74</v>
      </c>
      <c r="E90" t="s">
        <v>74</v>
      </c>
      <c r="F90" t="s">
        <v>1756</v>
      </c>
      <c r="G90" t="s">
        <v>74</v>
      </c>
      <c r="H90" t="s">
        <v>74</v>
      </c>
      <c r="I90" t="s">
        <v>1757</v>
      </c>
      <c r="J90" t="s">
        <v>1758</v>
      </c>
      <c r="K90" t="s">
        <v>74</v>
      </c>
      <c r="L90" t="s">
        <v>74</v>
      </c>
      <c r="M90" t="s">
        <v>78</v>
      </c>
      <c r="N90" t="s">
        <v>79</v>
      </c>
      <c r="O90" t="s">
        <v>74</v>
      </c>
      <c r="P90" t="s">
        <v>74</v>
      </c>
      <c r="Q90" t="s">
        <v>74</v>
      </c>
      <c r="R90" t="s">
        <v>74</v>
      </c>
      <c r="S90" t="s">
        <v>74</v>
      </c>
      <c r="T90" t="s">
        <v>1759</v>
      </c>
      <c r="U90" t="s">
        <v>74</v>
      </c>
      <c r="V90" t="s">
        <v>1760</v>
      </c>
      <c r="W90" t="s">
        <v>1761</v>
      </c>
      <c r="X90" t="s">
        <v>1762</v>
      </c>
      <c r="Y90" t="s">
        <v>1763</v>
      </c>
      <c r="Z90" t="s">
        <v>1764</v>
      </c>
      <c r="AA90" t="s">
        <v>74</v>
      </c>
      <c r="AB90" t="s">
        <v>74</v>
      </c>
      <c r="AC90" t="s">
        <v>74</v>
      </c>
      <c r="AD90" t="s">
        <v>74</v>
      </c>
      <c r="AE90" t="s">
        <v>74</v>
      </c>
      <c r="AF90" t="s">
        <v>74</v>
      </c>
      <c r="AG90">
        <v>0</v>
      </c>
      <c r="AH90">
        <v>0</v>
      </c>
      <c r="AI90">
        <v>0</v>
      </c>
      <c r="AJ90">
        <v>2</v>
      </c>
      <c r="AK90">
        <v>2</v>
      </c>
      <c r="AL90" t="s">
        <v>1765</v>
      </c>
      <c r="AM90" t="s">
        <v>1766</v>
      </c>
      <c r="AN90" t="s">
        <v>1767</v>
      </c>
      <c r="AO90" t="s">
        <v>1768</v>
      </c>
      <c r="AP90" t="s">
        <v>1769</v>
      </c>
      <c r="AQ90" t="s">
        <v>74</v>
      </c>
      <c r="AR90" t="s">
        <v>1770</v>
      </c>
      <c r="AS90" t="s">
        <v>1771</v>
      </c>
      <c r="AT90" t="s">
        <v>74</v>
      </c>
      <c r="AU90">
        <v>2023</v>
      </c>
      <c r="AV90">
        <v>73</v>
      </c>
      <c r="AW90">
        <v>4</v>
      </c>
      <c r="AX90" t="s">
        <v>74</v>
      </c>
      <c r="AY90" t="s">
        <v>74</v>
      </c>
      <c r="AZ90" t="s">
        <v>74</v>
      </c>
      <c r="BA90" t="s">
        <v>74</v>
      </c>
      <c r="BB90">
        <v>479</v>
      </c>
      <c r="BC90">
        <v>503</v>
      </c>
      <c r="BD90" t="s">
        <v>74</v>
      </c>
      <c r="BE90" t="s">
        <v>1772</v>
      </c>
      <c r="BF90" t="str">
        <f>HYPERLINK("http://dx.doi.org/10.24425/agp.2023.148022","http://dx.doi.org/10.24425/agp.2023.148022")</f>
        <v>http://dx.doi.org/10.24425/agp.2023.148022</v>
      </c>
      <c r="BG90" t="s">
        <v>74</v>
      </c>
      <c r="BH90" t="s">
        <v>74</v>
      </c>
      <c r="BI90">
        <v>25</v>
      </c>
      <c r="BJ90" t="s">
        <v>456</v>
      </c>
      <c r="BK90" t="s">
        <v>104</v>
      </c>
      <c r="BL90" t="s">
        <v>456</v>
      </c>
      <c r="BM90" t="s">
        <v>1773</v>
      </c>
      <c r="BN90" t="s">
        <v>74</v>
      </c>
      <c r="BO90" t="s">
        <v>74</v>
      </c>
      <c r="BP90" t="s">
        <v>74</v>
      </c>
      <c r="BQ90" t="s">
        <v>74</v>
      </c>
      <c r="BR90" t="s">
        <v>108</v>
      </c>
      <c r="BS90" t="s">
        <v>1774</v>
      </c>
      <c r="BT90" t="str">
        <f>HYPERLINK("https%3A%2F%2Fwww.webofscience.com%2Fwos%2Fwoscc%2Ffull-record%2FWOS:001143322300014","View Full Record in Web of Science")</f>
        <v>View Full Record in Web of Science</v>
      </c>
    </row>
    <row r="91" spans="1:72" x14ac:dyDescent="0.15">
      <c r="A91" t="s">
        <v>72</v>
      </c>
      <c r="B91" t="s">
        <v>1775</v>
      </c>
      <c r="C91" t="s">
        <v>74</v>
      </c>
      <c r="D91" t="s">
        <v>74</v>
      </c>
      <c r="E91" t="s">
        <v>74</v>
      </c>
      <c r="F91" t="s">
        <v>1776</v>
      </c>
      <c r="G91" t="s">
        <v>74</v>
      </c>
      <c r="H91" t="s">
        <v>74</v>
      </c>
      <c r="I91" t="s">
        <v>1777</v>
      </c>
      <c r="J91" t="s">
        <v>1778</v>
      </c>
      <c r="K91" t="s">
        <v>74</v>
      </c>
      <c r="L91" t="s">
        <v>74</v>
      </c>
      <c r="M91" t="s">
        <v>78</v>
      </c>
      <c r="N91" t="s">
        <v>79</v>
      </c>
      <c r="O91" t="s">
        <v>74</v>
      </c>
      <c r="P91" t="s">
        <v>74</v>
      </c>
      <c r="Q91" t="s">
        <v>74</v>
      </c>
      <c r="R91" t="s">
        <v>74</v>
      </c>
      <c r="S91" t="s">
        <v>74</v>
      </c>
      <c r="T91" t="s">
        <v>1779</v>
      </c>
      <c r="U91" t="s">
        <v>1780</v>
      </c>
      <c r="V91" t="s">
        <v>1781</v>
      </c>
      <c r="W91" t="s">
        <v>1782</v>
      </c>
      <c r="X91" t="s">
        <v>1783</v>
      </c>
      <c r="Y91" t="s">
        <v>1784</v>
      </c>
      <c r="Z91" t="s">
        <v>1785</v>
      </c>
      <c r="AA91" t="s">
        <v>1786</v>
      </c>
      <c r="AB91" t="s">
        <v>1787</v>
      </c>
      <c r="AC91" t="s">
        <v>1788</v>
      </c>
      <c r="AD91" t="s">
        <v>1789</v>
      </c>
      <c r="AE91" t="s">
        <v>1790</v>
      </c>
      <c r="AF91" t="s">
        <v>74</v>
      </c>
      <c r="AG91">
        <v>118</v>
      </c>
      <c r="AH91">
        <v>0</v>
      </c>
      <c r="AI91">
        <v>0</v>
      </c>
      <c r="AJ91">
        <v>1</v>
      </c>
      <c r="AK91">
        <v>1</v>
      </c>
      <c r="AL91" t="s">
        <v>1791</v>
      </c>
      <c r="AM91" t="s">
        <v>576</v>
      </c>
      <c r="AN91" t="s">
        <v>1792</v>
      </c>
      <c r="AO91" t="s">
        <v>1793</v>
      </c>
      <c r="AP91" t="s">
        <v>1794</v>
      </c>
      <c r="AQ91" t="s">
        <v>74</v>
      </c>
      <c r="AR91" t="s">
        <v>1795</v>
      </c>
      <c r="AS91" t="s">
        <v>1796</v>
      </c>
      <c r="AT91" t="s">
        <v>276</v>
      </c>
      <c r="AU91">
        <v>2023</v>
      </c>
      <c r="AV91">
        <v>128</v>
      </c>
      <c r="AW91">
        <v>1</v>
      </c>
      <c r="AX91" t="s">
        <v>74</v>
      </c>
      <c r="AY91" t="s">
        <v>74</v>
      </c>
      <c r="AZ91" t="s">
        <v>74</v>
      </c>
      <c r="BA91" t="s">
        <v>74</v>
      </c>
      <c r="BB91" t="s">
        <v>74</v>
      </c>
      <c r="BC91" t="s">
        <v>74</v>
      </c>
      <c r="BD91" t="s">
        <v>1797</v>
      </c>
      <c r="BE91" t="s">
        <v>1798</v>
      </c>
      <c r="BF91" t="str">
        <f>HYPERLINK("http://dx.doi.org/10.1029/2022JB025423","http://dx.doi.org/10.1029/2022JB025423")</f>
        <v>http://dx.doi.org/10.1029/2022JB025423</v>
      </c>
      <c r="BG91" t="s">
        <v>74</v>
      </c>
      <c r="BH91" t="s">
        <v>74</v>
      </c>
      <c r="BI91">
        <v>20</v>
      </c>
      <c r="BJ91" t="s">
        <v>430</v>
      </c>
      <c r="BK91" t="s">
        <v>104</v>
      </c>
      <c r="BL91" t="s">
        <v>430</v>
      </c>
      <c r="BM91" t="s">
        <v>1799</v>
      </c>
      <c r="BN91" t="s">
        <v>74</v>
      </c>
      <c r="BO91" t="s">
        <v>1800</v>
      </c>
      <c r="BP91" t="s">
        <v>74</v>
      </c>
      <c r="BQ91" t="s">
        <v>74</v>
      </c>
      <c r="BR91" t="s">
        <v>108</v>
      </c>
      <c r="BS91" t="s">
        <v>1801</v>
      </c>
      <c r="BT91" t="str">
        <f>HYPERLINK("https%3A%2F%2Fwww.webofscience.com%2Fwos%2Fwoscc%2Ffull-record%2FWOS:000998879300001","View Full Record in Web of Science")</f>
        <v>View Full Record in Web of Science</v>
      </c>
    </row>
    <row r="92" spans="1:72" x14ac:dyDescent="0.15">
      <c r="A92" t="s">
        <v>72</v>
      </c>
      <c r="B92" t="s">
        <v>1802</v>
      </c>
      <c r="C92" t="s">
        <v>74</v>
      </c>
      <c r="D92" t="s">
        <v>74</v>
      </c>
      <c r="E92" t="s">
        <v>74</v>
      </c>
      <c r="F92" t="s">
        <v>1803</v>
      </c>
      <c r="G92" t="s">
        <v>74</v>
      </c>
      <c r="H92" t="s">
        <v>74</v>
      </c>
      <c r="I92" t="s">
        <v>1804</v>
      </c>
      <c r="J92" t="s">
        <v>1805</v>
      </c>
      <c r="K92" t="s">
        <v>74</v>
      </c>
      <c r="L92" t="s">
        <v>74</v>
      </c>
      <c r="M92" t="s">
        <v>78</v>
      </c>
      <c r="N92" t="s">
        <v>79</v>
      </c>
      <c r="O92" t="s">
        <v>74</v>
      </c>
      <c r="P92" t="s">
        <v>74</v>
      </c>
      <c r="Q92" t="s">
        <v>74</v>
      </c>
      <c r="R92" t="s">
        <v>74</v>
      </c>
      <c r="S92" t="s">
        <v>74</v>
      </c>
      <c r="T92" t="s">
        <v>1806</v>
      </c>
      <c r="U92" t="s">
        <v>1807</v>
      </c>
      <c r="V92" t="s">
        <v>1808</v>
      </c>
      <c r="W92" t="s">
        <v>1809</v>
      </c>
      <c r="X92" t="s">
        <v>1810</v>
      </c>
      <c r="Y92" t="s">
        <v>1811</v>
      </c>
      <c r="Z92" t="s">
        <v>1812</v>
      </c>
      <c r="AA92" t="s">
        <v>1813</v>
      </c>
      <c r="AB92" t="s">
        <v>1814</v>
      </c>
      <c r="AC92" t="s">
        <v>1815</v>
      </c>
      <c r="AD92" t="s">
        <v>1816</v>
      </c>
      <c r="AE92" t="s">
        <v>1817</v>
      </c>
      <c r="AF92" t="s">
        <v>74</v>
      </c>
      <c r="AG92">
        <v>71</v>
      </c>
      <c r="AH92">
        <v>0</v>
      </c>
      <c r="AI92">
        <v>0</v>
      </c>
      <c r="AJ92">
        <v>2</v>
      </c>
      <c r="AK92">
        <v>2</v>
      </c>
      <c r="AL92" t="s">
        <v>1818</v>
      </c>
      <c r="AM92" t="s">
        <v>1819</v>
      </c>
      <c r="AN92" t="s">
        <v>1820</v>
      </c>
      <c r="AO92" t="s">
        <v>1821</v>
      </c>
      <c r="AP92" t="s">
        <v>1822</v>
      </c>
      <c r="AQ92" t="s">
        <v>74</v>
      </c>
      <c r="AR92" t="s">
        <v>1823</v>
      </c>
      <c r="AS92" t="s">
        <v>1824</v>
      </c>
      <c r="AT92" t="s">
        <v>74</v>
      </c>
      <c r="AU92">
        <v>2023</v>
      </c>
      <c r="AV92">
        <v>95</v>
      </c>
      <c r="AW92" t="s">
        <v>74</v>
      </c>
      <c r="AX92" t="s">
        <v>74</v>
      </c>
      <c r="AY92">
        <v>3</v>
      </c>
      <c r="AZ92" t="s">
        <v>74</v>
      </c>
      <c r="BA92" t="s">
        <v>74</v>
      </c>
      <c r="BB92" t="s">
        <v>74</v>
      </c>
      <c r="BC92" t="s">
        <v>74</v>
      </c>
      <c r="BD92" t="s">
        <v>1825</v>
      </c>
      <c r="BE92" t="s">
        <v>1826</v>
      </c>
      <c r="BF92" t="str">
        <f>HYPERLINK("http://dx.doi.org/10.1590/0001-3765202320230603","http://dx.doi.org/10.1590/0001-3765202320230603")</f>
        <v>http://dx.doi.org/10.1590/0001-3765202320230603</v>
      </c>
      <c r="BG92" t="s">
        <v>74</v>
      </c>
      <c r="BH92" t="s">
        <v>74</v>
      </c>
      <c r="BI92">
        <v>19</v>
      </c>
      <c r="BJ92" t="s">
        <v>189</v>
      </c>
      <c r="BK92" t="s">
        <v>104</v>
      </c>
      <c r="BL92" t="s">
        <v>190</v>
      </c>
      <c r="BM92" t="s">
        <v>1827</v>
      </c>
      <c r="BN92">
        <v>38126380</v>
      </c>
      <c r="BO92" t="s">
        <v>165</v>
      </c>
      <c r="BP92" t="s">
        <v>74</v>
      </c>
      <c r="BQ92" t="s">
        <v>74</v>
      </c>
      <c r="BR92" t="s">
        <v>108</v>
      </c>
      <c r="BS92" t="s">
        <v>1828</v>
      </c>
      <c r="BT92" t="str">
        <f>HYPERLINK("https%3A%2F%2Fwww.webofscience.com%2Fwos%2Fwoscc%2Ffull-record%2FWOS:001131151100001","View Full Record in Web of Science")</f>
        <v>View Full Record in Web of Science</v>
      </c>
    </row>
    <row r="93" spans="1:72" x14ac:dyDescent="0.15">
      <c r="A93" t="s">
        <v>72</v>
      </c>
      <c r="B93" t="s">
        <v>1829</v>
      </c>
      <c r="C93" t="s">
        <v>74</v>
      </c>
      <c r="D93" t="s">
        <v>74</v>
      </c>
      <c r="E93" t="s">
        <v>74</v>
      </c>
      <c r="F93" t="s">
        <v>1830</v>
      </c>
      <c r="G93" t="s">
        <v>74</v>
      </c>
      <c r="H93" t="s">
        <v>74</v>
      </c>
      <c r="I93" t="s">
        <v>1831</v>
      </c>
      <c r="J93" t="s">
        <v>1805</v>
      </c>
      <c r="K93" t="s">
        <v>74</v>
      </c>
      <c r="L93" t="s">
        <v>74</v>
      </c>
      <c r="M93" t="s">
        <v>78</v>
      </c>
      <c r="N93" t="s">
        <v>79</v>
      </c>
      <c r="O93" t="s">
        <v>74</v>
      </c>
      <c r="P93" t="s">
        <v>74</v>
      </c>
      <c r="Q93" t="s">
        <v>74</v>
      </c>
      <c r="R93" t="s">
        <v>74</v>
      </c>
      <c r="S93" t="s">
        <v>74</v>
      </c>
      <c r="T93" t="s">
        <v>1832</v>
      </c>
      <c r="U93" t="s">
        <v>1833</v>
      </c>
      <c r="V93" t="s">
        <v>1834</v>
      </c>
      <c r="W93" t="s">
        <v>1835</v>
      </c>
      <c r="X93" t="s">
        <v>1836</v>
      </c>
      <c r="Y93" t="s">
        <v>1837</v>
      </c>
      <c r="Z93" t="s">
        <v>1838</v>
      </c>
      <c r="AA93" t="s">
        <v>1839</v>
      </c>
      <c r="AB93" t="s">
        <v>1840</v>
      </c>
      <c r="AC93" t="s">
        <v>1841</v>
      </c>
      <c r="AD93" t="s">
        <v>1842</v>
      </c>
      <c r="AE93" t="s">
        <v>1843</v>
      </c>
      <c r="AF93" t="s">
        <v>74</v>
      </c>
      <c r="AG93">
        <v>100</v>
      </c>
      <c r="AH93">
        <v>0</v>
      </c>
      <c r="AI93">
        <v>0</v>
      </c>
      <c r="AJ93">
        <v>0</v>
      </c>
      <c r="AK93">
        <v>0</v>
      </c>
      <c r="AL93" t="s">
        <v>1818</v>
      </c>
      <c r="AM93" t="s">
        <v>1819</v>
      </c>
      <c r="AN93" t="s">
        <v>1820</v>
      </c>
      <c r="AO93" t="s">
        <v>1821</v>
      </c>
      <c r="AP93" t="s">
        <v>1822</v>
      </c>
      <c r="AQ93" t="s">
        <v>74</v>
      </c>
      <c r="AR93" t="s">
        <v>1823</v>
      </c>
      <c r="AS93" t="s">
        <v>1824</v>
      </c>
      <c r="AT93" t="s">
        <v>74</v>
      </c>
      <c r="AU93">
        <v>2023</v>
      </c>
      <c r="AV93">
        <v>95</v>
      </c>
      <c r="AW93" t="s">
        <v>74</v>
      </c>
      <c r="AX93" t="s">
        <v>74</v>
      </c>
      <c r="AY93">
        <v>3</v>
      </c>
      <c r="AZ93" t="s">
        <v>74</v>
      </c>
      <c r="BA93" t="s">
        <v>74</v>
      </c>
      <c r="BB93" t="s">
        <v>74</v>
      </c>
      <c r="BC93" t="s">
        <v>74</v>
      </c>
      <c r="BD93" t="s">
        <v>1844</v>
      </c>
      <c r="BE93" t="s">
        <v>1845</v>
      </c>
      <c r="BF93" t="str">
        <f>HYPERLINK("http://dx.doi.org/10.1590/0001-3765202320230722","http://dx.doi.org/10.1590/0001-3765202320230722")</f>
        <v>http://dx.doi.org/10.1590/0001-3765202320230722</v>
      </c>
      <c r="BG93" t="s">
        <v>74</v>
      </c>
      <c r="BH93" t="s">
        <v>74</v>
      </c>
      <c r="BI93">
        <v>34</v>
      </c>
      <c r="BJ93" t="s">
        <v>189</v>
      </c>
      <c r="BK93" t="s">
        <v>104</v>
      </c>
      <c r="BL93" t="s">
        <v>190</v>
      </c>
      <c r="BM93" t="s">
        <v>1846</v>
      </c>
      <c r="BN93">
        <v>38126384</v>
      </c>
      <c r="BO93" t="s">
        <v>165</v>
      </c>
      <c r="BP93" t="s">
        <v>74</v>
      </c>
      <c r="BQ93" t="s">
        <v>74</v>
      </c>
      <c r="BR93" t="s">
        <v>108</v>
      </c>
      <c r="BS93" t="s">
        <v>1847</v>
      </c>
      <c r="BT93" t="str">
        <f>HYPERLINK("https%3A%2F%2Fwww.webofscience.com%2Fwos%2Fwoscc%2Ffull-record%2FWOS:001131106600001","View Full Record in Web of Science")</f>
        <v>View Full Record in Web of Science</v>
      </c>
    </row>
    <row r="94" spans="1:72" x14ac:dyDescent="0.15">
      <c r="A94" t="s">
        <v>72</v>
      </c>
      <c r="B94" t="s">
        <v>1848</v>
      </c>
      <c r="C94" t="s">
        <v>74</v>
      </c>
      <c r="D94" t="s">
        <v>74</v>
      </c>
      <c r="E94" t="s">
        <v>74</v>
      </c>
      <c r="F94" t="s">
        <v>1849</v>
      </c>
      <c r="G94" t="s">
        <v>74</v>
      </c>
      <c r="H94" t="s">
        <v>74</v>
      </c>
      <c r="I94" t="s">
        <v>1850</v>
      </c>
      <c r="J94" t="s">
        <v>1805</v>
      </c>
      <c r="K94" t="s">
        <v>74</v>
      </c>
      <c r="L94" t="s">
        <v>74</v>
      </c>
      <c r="M94" t="s">
        <v>78</v>
      </c>
      <c r="N94" t="s">
        <v>79</v>
      </c>
      <c r="O94" t="s">
        <v>74</v>
      </c>
      <c r="P94" t="s">
        <v>74</v>
      </c>
      <c r="Q94" t="s">
        <v>74</v>
      </c>
      <c r="R94" t="s">
        <v>74</v>
      </c>
      <c r="S94" t="s">
        <v>74</v>
      </c>
      <c r="T94" t="s">
        <v>1851</v>
      </c>
      <c r="U94" t="s">
        <v>1852</v>
      </c>
      <c r="V94" t="s">
        <v>1853</v>
      </c>
      <c r="W94" t="s">
        <v>1854</v>
      </c>
      <c r="X94" t="s">
        <v>1855</v>
      </c>
      <c r="Y94" t="s">
        <v>1856</v>
      </c>
      <c r="Z94" t="s">
        <v>1857</v>
      </c>
      <c r="AA94" t="s">
        <v>1858</v>
      </c>
      <c r="AB94" t="s">
        <v>1859</v>
      </c>
      <c r="AC94" t="s">
        <v>1860</v>
      </c>
      <c r="AD94" t="s">
        <v>1861</v>
      </c>
      <c r="AE94" t="s">
        <v>1862</v>
      </c>
      <c r="AF94" t="s">
        <v>74</v>
      </c>
      <c r="AG94">
        <v>48</v>
      </c>
      <c r="AH94">
        <v>0</v>
      </c>
      <c r="AI94">
        <v>0</v>
      </c>
      <c r="AJ94">
        <v>1</v>
      </c>
      <c r="AK94">
        <v>1</v>
      </c>
      <c r="AL94" t="s">
        <v>1818</v>
      </c>
      <c r="AM94" t="s">
        <v>1819</v>
      </c>
      <c r="AN94" t="s">
        <v>1820</v>
      </c>
      <c r="AO94" t="s">
        <v>1821</v>
      </c>
      <c r="AP94" t="s">
        <v>1822</v>
      </c>
      <c r="AQ94" t="s">
        <v>74</v>
      </c>
      <c r="AR94" t="s">
        <v>1823</v>
      </c>
      <c r="AS94" t="s">
        <v>1824</v>
      </c>
      <c r="AT94" t="s">
        <v>74</v>
      </c>
      <c r="AU94">
        <v>2023</v>
      </c>
      <c r="AV94">
        <v>95</v>
      </c>
      <c r="AW94" t="s">
        <v>74</v>
      </c>
      <c r="AX94" t="s">
        <v>74</v>
      </c>
      <c r="AY94">
        <v>3</v>
      </c>
      <c r="AZ94" t="s">
        <v>74</v>
      </c>
      <c r="BA94" t="s">
        <v>74</v>
      </c>
      <c r="BB94" t="s">
        <v>74</v>
      </c>
      <c r="BC94" t="s">
        <v>74</v>
      </c>
      <c r="BD94" t="s">
        <v>1863</v>
      </c>
      <c r="BE94" t="s">
        <v>1864</v>
      </c>
      <c r="BF94" t="str">
        <f>HYPERLINK("http://dx.doi.org/10.1590/0001-3765202320230741","http://dx.doi.org/10.1590/0001-3765202320230741")</f>
        <v>http://dx.doi.org/10.1590/0001-3765202320230741</v>
      </c>
      <c r="BG94" t="s">
        <v>74</v>
      </c>
      <c r="BH94" t="s">
        <v>74</v>
      </c>
      <c r="BI94">
        <v>11</v>
      </c>
      <c r="BJ94" t="s">
        <v>189</v>
      </c>
      <c r="BK94" t="s">
        <v>104</v>
      </c>
      <c r="BL94" t="s">
        <v>190</v>
      </c>
      <c r="BM94" t="s">
        <v>1865</v>
      </c>
      <c r="BN94">
        <v>38126386</v>
      </c>
      <c r="BO94" t="s">
        <v>165</v>
      </c>
      <c r="BP94" t="s">
        <v>74</v>
      </c>
      <c r="BQ94" t="s">
        <v>74</v>
      </c>
      <c r="BR94" t="s">
        <v>108</v>
      </c>
      <c r="BS94" t="s">
        <v>1866</v>
      </c>
      <c r="BT94" t="str">
        <f>HYPERLINK("https%3A%2F%2Fwww.webofscience.com%2Fwos%2Fwoscc%2Ffull-record%2FWOS:001131011600001","View Full Record in Web of Science")</f>
        <v>View Full Record in Web of Science</v>
      </c>
    </row>
    <row r="95" spans="1:72" x14ac:dyDescent="0.15">
      <c r="A95" t="s">
        <v>72</v>
      </c>
      <c r="B95" t="s">
        <v>1867</v>
      </c>
      <c r="C95" t="s">
        <v>74</v>
      </c>
      <c r="D95" t="s">
        <v>74</v>
      </c>
      <c r="E95" t="s">
        <v>74</v>
      </c>
      <c r="F95" t="s">
        <v>1868</v>
      </c>
      <c r="G95" t="s">
        <v>74</v>
      </c>
      <c r="H95" t="s">
        <v>74</v>
      </c>
      <c r="I95" t="s">
        <v>1869</v>
      </c>
      <c r="J95" t="s">
        <v>1805</v>
      </c>
      <c r="K95" t="s">
        <v>74</v>
      </c>
      <c r="L95" t="s">
        <v>74</v>
      </c>
      <c r="M95" t="s">
        <v>78</v>
      </c>
      <c r="N95" t="s">
        <v>79</v>
      </c>
      <c r="O95" t="s">
        <v>74</v>
      </c>
      <c r="P95" t="s">
        <v>74</v>
      </c>
      <c r="Q95" t="s">
        <v>74</v>
      </c>
      <c r="R95" t="s">
        <v>74</v>
      </c>
      <c r="S95" t="s">
        <v>74</v>
      </c>
      <c r="T95" t="s">
        <v>1870</v>
      </c>
      <c r="U95" t="s">
        <v>1871</v>
      </c>
      <c r="V95" t="s">
        <v>1872</v>
      </c>
      <c r="W95" t="s">
        <v>1873</v>
      </c>
      <c r="X95" t="s">
        <v>1874</v>
      </c>
      <c r="Y95" t="s">
        <v>1875</v>
      </c>
      <c r="Z95" t="s">
        <v>1876</v>
      </c>
      <c r="AA95" t="s">
        <v>74</v>
      </c>
      <c r="AB95" t="s">
        <v>74</v>
      </c>
      <c r="AC95" t="s">
        <v>1877</v>
      </c>
      <c r="AD95" t="s">
        <v>1877</v>
      </c>
      <c r="AE95" t="s">
        <v>1878</v>
      </c>
      <c r="AF95" t="s">
        <v>74</v>
      </c>
      <c r="AG95">
        <v>51</v>
      </c>
      <c r="AH95">
        <v>0</v>
      </c>
      <c r="AI95">
        <v>0</v>
      </c>
      <c r="AJ95">
        <v>0</v>
      </c>
      <c r="AK95">
        <v>0</v>
      </c>
      <c r="AL95" t="s">
        <v>1818</v>
      </c>
      <c r="AM95" t="s">
        <v>1819</v>
      </c>
      <c r="AN95" t="s">
        <v>1820</v>
      </c>
      <c r="AO95" t="s">
        <v>1821</v>
      </c>
      <c r="AP95" t="s">
        <v>1822</v>
      </c>
      <c r="AQ95" t="s">
        <v>74</v>
      </c>
      <c r="AR95" t="s">
        <v>1823</v>
      </c>
      <c r="AS95" t="s">
        <v>1824</v>
      </c>
      <c r="AT95" t="s">
        <v>74</v>
      </c>
      <c r="AU95">
        <v>2023</v>
      </c>
      <c r="AV95">
        <v>95</v>
      </c>
      <c r="AW95" t="s">
        <v>74</v>
      </c>
      <c r="AX95" t="s">
        <v>74</v>
      </c>
      <c r="AY95">
        <v>3</v>
      </c>
      <c r="AZ95" t="s">
        <v>74</v>
      </c>
      <c r="BA95" t="s">
        <v>74</v>
      </c>
      <c r="BB95" t="s">
        <v>74</v>
      </c>
      <c r="BC95" t="s">
        <v>74</v>
      </c>
      <c r="BD95" t="s">
        <v>1879</v>
      </c>
      <c r="BE95" t="s">
        <v>1880</v>
      </c>
      <c r="BF95" t="str">
        <f>HYPERLINK("http://dx.doi.org/10.1590/0001-3765202320230132","http://dx.doi.org/10.1590/0001-3765202320230132")</f>
        <v>http://dx.doi.org/10.1590/0001-3765202320230132</v>
      </c>
      <c r="BG95" t="s">
        <v>74</v>
      </c>
      <c r="BH95" t="s">
        <v>74</v>
      </c>
      <c r="BI95">
        <v>19</v>
      </c>
      <c r="BJ95" t="s">
        <v>189</v>
      </c>
      <c r="BK95" t="s">
        <v>104</v>
      </c>
      <c r="BL95" t="s">
        <v>190</v>
      </c>
      <c r="BM95" t="s">
        <v>1881</v>
      </c>
      <c r="BN95">
        <v>38126378</v>
      </c>
      <c r="BO95" t="s">
        <v>165</v>
      </c>
      <c r="BP95" t="s">
        <v>74</v>
      </c>
      <c r="BQ95" t="s">
        <v>74</v>
      </c>
      <c r="BR95" t="s">
        <v>108</v>
      </c>
      <c r="BS95" t="s">
        <v>1882</v>
      </c>
      <c r="BT95" t="str">
        <f>HYPERLINK("https%3A%2F%2Fwww.webofscience.com%2Fwos%2Fwoscc%2Ffull-record%2FWOS:001130846100001","View Full Record in Web of Science")</f>
        <v>View Full Record in Web of Science</v>
      </c>
    </row>
    <row r="96" spans="1:72" x14ac:dyDescent="0.15">
      <c r="A96" t="s">
        <v>72</v>
      </c>
      <c r="B96" t="s">
        <v>1883</v>
      </c>
      <c r="C96" t="s">
        <v>74</v>
      </c>
      <c r="D96" t="s">
        <v>74</v>
      </c>
      <c r="E96" t="s">
        <v>74</v>
      </c>
      <c r="F96" t="s">
        <v>1884</v>
      </c>
      <c r="G96" t="s">
        <v>74</v>
      </c>
      <c r="H96" t="s">
        <v>74</v>
      </c>
      <c r="I96" t="s">
        <v>1885</v>
      </c>
      <c r="J96" t="s">
        <v>1886</v>
      </c>
      <c r="K96" t="s">
        <v>74</v>
      </c>
      <c r="L96" t="s">
        <v>74</v>
      </c>
      <c r="M96" t="s">
        <v>78</v>
      </c>
      <c r="N96" t="s">
        <v>79</v>
      </c>
      <c r="O96" t="s">
        <v>74</v>
      </c>
      <c r="P96" t="s">
        <v>74</v>
      </c>
      <c r="Q96" t="s">
        <v>74</v>
      </c>
      <c r="R96" t="s">
        <v>74</v>
      </c>
      <c r="S96" t="s">
        <v>74</v>
      </c>
      <c r="T96" t="s">
        <v>1887</v>
      </c>
      <c r="U96" t="s">
        <v>1888</v>
      </c>
      <c r="V96" t="s">
        <v>1889</v>
      </c>
      <c r="W96" t="s">
        <v>1890</v>
      </c>
      <c r="X96" t="s">
        <v>1891</v>
      </c>
      <c r="Y96" t="s">
        <v>1892</v>
      </c>
      <c r="Z96" t="s">
        <v>1893</v>
      </c>
      <c r="AA96" t="s">
        <v>74</v>
      </c>
      <c r="AB96" t="s">
        <v>74</v>
      </c>
      <c r="AC96" t="s">
        <v>1894</v>
      </c>
      <c r="AD96" t="s">
        <v>1895</v>
      </c>
      <c r="AE96" t="s">
        <v>1896</v>
      </c>
      <c r="AF96" t="s">
        <v>74</v>
      </c>
      <c r="AG96">
        <v>76</v>
      </c>
      <c r="AH96">
        <v>1</v>
      </c>
      <c r="AI96">
        <v>1</v>
      </c>
      <c r="AJ96">
        <v>1</v>
      </c>
      <c r="AK96">
        <v>1</v>
      </c>
      <c r="AL96" t="s">
        <v>1897</v>
      </c>
      <c r="AM96" t="s">
        <v>1898</v>
      </c>
      <c r="AN96" t="s">
        <v>1899</v>
      </c>
      <c r="AO96" t="s">
        <v>1900</v>
      </c>
      <c r="AP96" t="s">
        <v>74</v>
      </c>
      <c r="AQ96" t="s">
        <v>74</v>
      </c>
      <c r="AR96" t="s">
        <v>1901</v>
      </c>
      <c r="AS96" t="s">
        <v>1902</v>
      </c>
      <c r="AT96" t="s">
        <v>74</v>
      </c>
      <c r="AU96">
        <v>2023</v>
      </c>
      <c r="AV96">
        <v>32</v>
      </c>
      <c r="AW96">
        <v>8</v>
      </c>
      <c r="AX96" t="s">
        <v>74</v>
      </c>
      <c r="AY96" t="s">
        <v>74</v>
      </c>
      <c r="AZ96" t="s">
        <v>754</v>
      </c>
      <c r="BA96" t="s">
        <v>74</v>
      </c>
      <c r="BB96">
        <v>944</v>
      </c>
      <c r="BC96">
        <v>960</v>
      </c>
      <c r="BD96" t="s">
        <v>74</v>
      </c>
      <c r="BE96" t="s">
        <v>1903</v>
      </c>
      <c r="BF96" t="str">
        <f>HYPERLINK("http://dx.doi.org/10.55730/1300-0985.1885","http://dx.doi.org/10.55730/1300-0985.1885")</f>
        <v>http://dx.doi.org/10.55730/1300-0985.1885</v>
      </c>
      <c r="BG96" t="s">
        <v>74</v>
      </c>
      <c r="BH96" t="s">
        <v>74</v>
      </c>
      <c r="BI96">
        <v>18</v>
      </c>
      <c r="BJ96" t="s">
        <v>455</v>
      </c>
      <c r="BK96" t="s">
        <v>104</v>
      </c>
      <c r="BL96" t="s">
        <v>456</v>
      </c>
      <c r="BM96" t="s">
        <v>1904</v>
      </c>
      <c r="BN96" t="s">
        <v>74</v>
      </c>
      <c r="BO96" t="s">
        <v>660</v>
      </c>
      <c r="BP96" t="s">
        <v>74</v>
      </c>
      <c r="BQ96" t="s">
        <v>74</v>
      </c>
      <c r="BR96" t="s">
        <v>108</v>
      </c>
      <c r="BS96" t="s">
        <v>1905</v>
      </c>
      <c r="BT96" t="str">
        <f>HYPERLINK("https%3A%2F%2Fwww.webofscience.com%2Fwos%2Fwoscc%2Ffull-record%2FWOS:001127159300007","View Full Record in Web of Science")</f>
        <v>View Full Record in Web of Science</v>
      </c>
    </row>
    <row r="97" spans="1:72" x14ac:dyDescent="0.15">
      <c r="A97" t="s">
        <v>72</v>
      </c>
      <c r="B97" t="s">
        <v>1906</v>
      </c>
      <c r="C97" t="s">
        <v>74</v>
      </c>
      <c r="D97" t="s">
        <v>74</v>
      </c>
      <c r="E97" t="s">
        <v>74</v>
      </c>
      <c r="F97" t="s">
        <v>1907</v>
      </c>
      <c r="G97" t="s">
        <v>74</v>
      </c>
      <c r="H97" t="s">
        <v>74</v>
      </c>
      <c r="I97" t="s">
        <v>1908</v>
      </c>
      <c r="J97" t="s">
        <v>1886</v>
      </c>
      <c r="K97" t="s">
        <v>74</v>
      </c>
      <c r="L97" t="s">
        <v>74</v>
      </c>
      <c r="M97" t="s">
        <v>78</v>
      </c>
      <c r="N97" t="s">
        <v>79</v>
      </c>
      <c r="O97" t="s">
        <v>74</v>
      </c>
      <c r="P97" t="s">
        <v>74</v>
      </c>
      <c r="Q97" t="s">
        <v>74</v>
      </c>
      <c r="R97" t="s">
        <v>74</v>
      </c>
      <c r="S97" t="s">
        <v>74</v>
      </c>
      <c r="T97" t="s">
        <v>1909</v>
      </c>
      <c r="U97" t="s">
        <v>1910</v>
      </c>
      <c r="V97" t="s">
        <v>1911</v>
      </c>
      <c r="W97" t="s">
        <v>1912</v>
      </c>
      <c r="X97" t="s">
        <v>1913</v>
      </c>
      <c r="Y97" t="s">
        <v>1914</v>
      </c>
      <c r="Z97" t="s">
        <v>1915</v>
      </c>
      <c r="AA97" t="s">
        <v>74</v>
      </c>
      <c r="AB97" t="s">
        <v>74</v>
      </c>
      <c r="AC97" t="s">
        <v>1916</v>
      </c>
      <c r="AD97" t="s">
        <v>1916</v>
      </c>
      <c r="AE97" t="s">
        <v>1917</v>
      </c>
      <c r="AF97" t="s">
        <v>74</v>
      </c>
      <c r="AG97">
        <v>41</v>
      </c>
      <c r="AH97">
        <v>0</v>
      </c>
      <c r="AI97">
        <v>0</v>
      </c>
      <c r="AJ97">
        <v>2</v>
      </c>
      <c r="AK97">
        <v>2</v>
      </c>
      <c r="AL97" t="s">
        <v>1897</v>
      </c>
      <c r="AM97" t="s">
        <v>1898</v>
      </c>
      <c r="AN97" t="s">
        <v>1899</v>
      </c>
      <c r="AO97" t="s">
        <v>1900</v>
      </c>
      <c r="AP97" t="s">
        <v>74</v>
      </c>
      <c r="AQ97" t="s">
        <v>74</v>
      </c>
      <c r="AR97" t="s">
        <v>1901</v>
      </c>
      <c r="AS97" t="s">
        <v>1902</v>
      </c>
      <c r="AT97" t="s">
        <v>74</v>
      </c>
      <c r="AU97">
        <v>2023</v>
      </c>
      <c r="AV97">
        <v>32</v>
      </c>
      <c r="AW97">
        <v>8</v>
      </c>
      <c r="AX97" t="s">
        <v>74</v>
      </c>
      <c r="AY97" t="s">
        <v>74</v>
      </c>
      <c r="AZ97" t="s">
        <v>754</v>
      </c>
      <c r="BA97" t="s">
        <v>74</v>
      </c>
      <c r="BB97">
        <v>961</v>
      </c>
      <c r="BC97">
        <v>974</v>
      </c>
      <c r="BD97" t="s">
        <v>74</v>
      </c>
      <c r="BE97" t="s">
        <v>1918</v>
      </c>
      <c r="BF97" t="str">
        <f>HYPERLINK("http://dx.doi.org/10.55730/1300-0985.1886","http://dx.doi.org/10.55730/1300-0985.1886")</f>
        <v>http://dx.doi.org/10.55730/1300-0985.1886</v>
      </c>
      <c r="BG97" t="s">
        <v>74</v>
      </c>
      <c r="BH97" t="s">
        <v>74</v>
      </c>
      <c r="BI97">
        <v>15</v>
      </c>
      <c r="BJ97" t="s">
        <v>455</v>
      </c>
      <c r="BK97" t="s">
        <v>104</v>
      </c>
      <c r="BL97" t="s">
        <v>456</v>
      </c>
      <c r="BM97" t="s">
        <v>1904</v>
      </c>
      <c r="BN97" t="s">
        <v>74</v>
      </c>
      <c r="BO97" t="s">
        <v>660</v>
      </c>
      <c r="BP97" t="s">
        <v>74</v>
      </c>
      <c r="BQ97" t="s">
        <v>74</v>
      </c>
      <c r="BR97" t="s">
        <v>108</v>
      </c>
      <c r="BS97" t="s">
        <v>1919</v>
      </c>
      <c r="BT97" t="str">
        <f>HYPERLINK("https%3A%2F%2Fwww.webofscience.com%2Fwos%2Fwoscc%2Ffull-record%2FWOS:001127159300004","View Full Record in Web of Science")</f>
        <v>View Full Record in Web of Science</v>
      </c>
    </row>
    <row r="98" spans="1:72" x14ac:dyDescent="0.15">
      <c r="A98" t="s">
        <v>72</v>
      </c>
      <c r="B98" t="s">
        <v>1920</v>
      </c>
      <c r="C98" t="s">
        <v>74</v>
      </c>
      <c r="D98" t="s">
        <v>74</v>
      </c>
      <c r="E98" t="s">
        <v>74</v>
      </c>
      <c r="F98" t="s">
        <v>1921</v>
      </c>
      <c r="G98" t="s">
        <v>74</v>
      </c>
      <c r="H98" t="s">
        <v>74</v>
      </c>
      <c r="I98" t="s">
        <v>1922</v>
      </c>
      <c r="J98" t="s">
        <v>1886</v>
      </c>
      <c r="K98" t="s">
        <v>74</v>
      </c>
      <c r="L98" t="s">
        <v>74</v>
      </c>
      <c r="M98" t="s">
        <v>78</v>
      </c>
      <c r="N98" t="s">
        <v>79</v>
      </c>
      <c r="O98" t="s">
        <v>74</v>
      </c>
      <c r="P98" t="s">
        <v>74</v>
      </c>
      <c r="Q98" t="s">
        <v>74</v>
      </c>
      <c r="R98" t="s">
        <v>74</v>
      </c>
      <c r="S98" t="s">
        <v>74</v>
      </c>
      <c r="T98" t="s">
        <v>1923</v>
      </c>
      <c r="U98" t="s">
        <v>1924</v>
      </c>
      <c r="V98" t="s">
        <v>1925</v>
      </c>
      <c r="W98" t="s">
        <v>1926</v>
      </c>
      <c r="X98" t="s">
        <v>1927</v>
      </c>
      <c r="Y98" t="s">
        <v>1928</v>
      </c>
      <c r="Z98" t="s">
        <v>1929</v>
      </c>
      <c r="AA98" t="s">
        <v>1930</v>
      </c>
      <c r="AB98" t="s">
        <v>1931</v>
      </c>
      <c r="AC98" t="s">
        <v>1932</v>
      </c>
      <c r="AD98" t="s">
        <v>1933</v>
      </c>
      <c r="AE98" t="s">
        <v>1934</v>
      </c>
      <c r="AF98" t="s">
        <v>74</v>
      </c>
      <c r="AG98">
        <v>44</v>
      </c>
      <c r="AH98">
        <v>0</v>
      </c>
      <c r="AI98">
        <v>0</v>
      </c>
      <c r="AJ98">
        <v>1</v>
      </c>
      <c r="AK98">
        <v>1</v>
      </c>
      <c r="AL98" t="s">
        <v>1897</v>
      </c>
      <c r="AM98" t="s">
        <v>1898</v>
      </c>
      <c r="AN98" t="s">
        <v>1899</v>
      </c>
      <c r="AO98" t="s">
        <v>1900</v>
      </c>
      <c r="AP98" t="s">
        <v>74</v>
      </c>
      <c r="AQ98" t="s">
        <v>74</v>
      </c>
      <c r="AR98" t="s">
        <v>1901</v>
      </c>
      <c r="AS98" t="s">
        <v>1902</v>
      </c>
      <c r="AT98" t="s">
        <v>74</v>
      </c>
      <c r="AU98">
        <v>2023</v>
      </c>
      <c r="AV98">
        <v>32</v>
      </c>
      <c r="AW98">
        <v>8</v>
      </c>
      <c r="AX98" t="s">
        <v>74</v>
      </c>
      <c r="AY98" t="s">
        <v>74</v>
      </c>
      <c r="AZ98" t="s">
        <v>754</v>
      </c>
      <c r="BA98" t="s">
        <v>74</v>
      </c>
      <c r="BB98">
        <v>975</v>
      </c>
      <c r="BC98">
        <v>988</v>
      </c>
      <c r="BD98" t="s">
        <v>74</v>
      </c>
      <c r="BE98" t="s">
        <v>1935</v>
      </c>
      <c r="BF98" t="str">
        <f>HYPERLINK("http://dx.doi.org/10.55730/1300-0985.1887","http://dx.doi.org/10.55730/1300-0985.1887")</f>
        <v>http://dx.doi.org/10.55730/1300-0985.1887</v>
      </c>
      <c r="BG98" t="s">
        <v>74</v>
      </c>
      <c r="BH98" t="s">
        <v>74</v>
      </c>
      <c r="BI98">
        <v>16</v>
      </c>
      <c r="BJ98" t="s">
        <v>455</v>
      </c>
      <c r="BK98" t="s">
        <v>104</v>
      </c>
      <c r="BL98" t="s">
        <v>456</v>
      </c>
      <c r="BM98" t="s">
        <v>1904</v>
      </c>
      <c r="BN98" t="s">
        <v>74</v>
      </c>
      <c r="BO98" t="s">
        <v>660</v>
      </c>
      <c r="BP98" t="s">
        <v>74</v>
      </c>
      <c r="BQ98" t="s">
        <v>74</v>
      </c>
      <c r="BR98" t="s">
        <v>108</v>
      </c>
      <c r="BS98" t="s">
        <v>1936</v>
      </c>
      <c r="BT98" t="str">
        <f>HYPERLINK("https%3A%2F%2Fwww.webofscience.com%2Fwos%2Fwoscc%2Ffull-record%2FWOS:001127159300009","View Full Record in Web of Science")</f>
        <v>View Full Record in Web of Science</v>
      </c>
    </row>
    <row r="99" spans="1:72" x14ac:dyDescent="0.15">
      <c r="A99" t="s">
        <v>72</v>
      </c>
      <c r="B99" t="s">
        <v>1937</v>
      </c>
      <c r="C99" t="s">
        <v>74</v>
      </c>
      <c r="D99" t="s">
        <v>74</v>
      </c>
      <c r="E99" t="s">
        <v>74</v>
      </c>
      <c r="F99" t="s">
        <v>1938</v>
      </c>
      <c r="G99" t="s">
        <v>74</v>
      </c>
      <c r="H99" t="s">
        <v>74</v>
      </c>
      <c r="I99" t="s">
        <v>1939</v>
      </c>
      <c r="J99" t="s">
        <v>1886</v>
      </c>
      <c r="K99" t="s">
        <v>74</v>
      </c>
      <c r="L99" t="s">
        <v>74</v>
      </c>
      <c r="M99" t="s">
        <v>78</v>
      </c>
      <c r="N99" t="s">
        <v>79</v>
      </c>
      <c r="O99" t="s">
        <v>74</v>
      </c>
      <c r="P99" t="s">
        <v>74</v>
      </c>
      <c r="Q99" t="s">
        <v>74</v>
      </c>
      <c r="R99" t="s">
        <v>74</v>
      </c>
      <c r="S99" t="s">
        <v>74</v>
      </c>
      <c r="T99" t="s">
        <v>1940</v>
      </c>
      <c r="U99" t="s">
        <v>1941</v>
      </c>
      <c r="V99" t="s">
        <v>1942</v>
      </c>
      <c r="W99" t="s">
        <v>1943</v>
      </c>
      <c r="X99" t="s">
        <v>1944</v>
      </c>
      <c r="Y99" t="s">
        <v>1945</v>
      </c>
      <c r="Z99" t="s">
        <v>1946</v>
      </c>
      <c r="AA99" t="s">
        <v>74</v>
      </c>
      <c r="AB99" t="s">
        <v>74</v>
      </c>
      <c r="AC99" t="s">
        <v>1947</v>
      </c>
      <c r="AD99" t="s">
        <v>1948</v>
      </c>
      <c r="AE99" t="s">
        <v>1949</v>
      </c>
      <c r="AF99" t="s">
        <v>74</v>
      </c>
      <c r="AG99">
        <v>32</v>
      </c>
      <c r="AH99">
        <v>0</v>
      </c>
      <c r="AI99">
        <v>0</v>
      </c>
      <c r="AJ99">
        <v>1</v>
      </c>
      <c r="AK99">
        <v>1</v>
      </c>
      <c r="AL99" t="s">
        <v>1897</v>
      </c>
      <c r="AM99" t="s">
        <v>1898</v>
      </c>
      <c r="AN99" t="s">
        <v>1899</v>
      </c>
      <c r="AO99" t="s">
        <v>1900</v>
      </c>
      <c r="AP99" t="s">
        <v>74</v>
      </c>
      <c r="AQ99" t="s">
        <v>74</v>
      </c>
      <c r="AR99" t="s">
        <v>1901</v>
      </c>
      <c r="AS99" t="s">
        <v>1902</v>
      </c>
      <c r="AT99" t="s">
        <v>74</v>
      </c>
      <c r="AU99">
        <v>2023</v>
      </c>
      <c r="AV99">
        <v>32</v>
      </c>
      <c r="AW99">
        <v>8</v>
      </c>
      <c r="AX99" t="s">
        <v>74</v>
      </c>
      <c r="AY99" t="s">
        <v>74</v>
      </c>
      <c r="AZ99" t="s">
        <v>754</v>
      </c>
      <c r="BA99" t="s">
        <v>74</v>
      </c>
      <c r="BB99">
        <v>989</v>
      </c>
      <c r="BC99">
        <v>998</v>
      </c>
      <c r="BD99" t="s">
        <v>74</v>
      </c>
      <c r="BE99" t="s">
        <v>1950</v>
      </c>
      <c r="BF99" t="str">
        <f>HYPERLINK("http://dx.doi.org/10.55730/1300-0985.1888","http://dx.doi.org/10.55730/1300-0985.1888")</f>
        <v>http://dx.doi.org/10.55730/1300-0985.1888</v>
      </c>
      <c r="BG99" t="s">
        <v>74</v>
      </c>
      <c r="BH99" t="s">
        <v>74</v>
      </c>
      <c r="BI99">
        <v>11</v>
      </c>
      <c r="BJ99" t="s">
        <v>455</v>
      </c>
      <c r="BK99" t="s">
        <v>104</v>
      </c>
      <c r="BL99" t="s">
        <v>456</v>
      </c>
      <c r="BM99" t="s">
        <v>1904</v>
      </c>
      <c r="BN99" t="s">
        <v>74</v>
      </c>
      <c r="BO99" t="s">
        <v>660</v>
      </c>
      <c r="BP99" t="s">
        <v>74</v>
      </c>
      <c r="BQ99" t="s">
        <v>74</v>
      </c>
      <c r="BR99" t="s">
        <v>108</v>
      </c>
      <c r="BS99" t="s">
        <v>1951</v>
      </c>
      <c r="BT99" t="str">
        <f>HYPERLINK("https%3A%2F%2Fwww.webofscience.com%2Fwos%2Fwoscc%2Ffull-record%2FWOS:001127159300005","View Full Record in Web of Science")</f>
        <v>View Full Record in Web of Science</v>
      </c>
    </row>
    <row r="100" spans="1:72" x14ac:dyDescent="0.15">
      <c r="A100" t="s">
        <v>72</v>
      </c>
      <c r="B100" t="s">
        <v>1952</v>
      </c>
      <c r="C100" t="s">
        <v>74</v>
      </c>
      <c r="D100" t="s">
        <v>74</v>
      </c>
      <c r="E100" t="s">
        <v>74</v>
      </c>
      <c r="F100" t="s">
        <v>1953</v>
      </c>
      <c r="G100" t="s">
        <v>74</v>
      </c>
      <c r="H100" t="s">
        <v>74</v>
      </c>
      <c r="I100" t="s">
        <v>1954</v>
      </c>
      <c r="J100" t="s">
        <v>1886</v>
      </c>
      <c r="K100" t="s">
        <v>74</v>
      </c>
      <c r="L100" t="s">
        <v>74</v>
      </c>
      <c r="M100" t="s">
        <v>78</v>
      </c>
      <c r="N100" t="s">
        <v>79</v>
      </c>
      <c r="O100" t="s">
        <v>74</v>
      </c>
      <c r="P100" t="s">
        <v>74</v>
      </c>
      <c r="Q100" t="s">
        <v>74</v>
      </c>
      <c r="R100" t="s">
        <v>74</v>
      </c>
      <c r="S100" t="s">
        <v>74</v>
      </c>
      <c r="T100" t="s">
        <v>1955</v>
      </c>
      <c r="U100" t="s">
        <v>1956</v>
      </c>
      <c r="V100" t="s">
        <v>1957</v>
      </c>
      <c r="W100" t="s">
        <v>1958</v>
      </c>
      <c r="X100" t="s">
        <v>1959</v>
      </c>
      <c r="Y100" t="s">
        <v>1960</v>
      </c>
      <c r="Z100" t="s">
        <v>1961</v>
      </c>
      <c r="AA100" t="s">
        <v>1962</v>
      </c>
      <c r="AB100" t="s">
        <v>1963</v>
      </c>
      <c r="AC100" t="s">
        <v>1964</v>
      </c>
      <c r="AD100" t="s">
        <v>1965</v>
      </c>
      <c r="AE100" t="s">
        <v>1966</v>
      </c>
      <c r="AF100" t="s">
        <v>74</v>
      </c>
      <c r="AG100">
        <v>55</v>
      </c>
      <c r="AH100">
        <v>0</v>
      </c>
      <c r="AI100">
        <v>0</v>
      </c>
      <c r="AJ100">
        <v>4</v>
      </c>
      <c r="AK100">
        <v>4</v>
      </c>
      <c r="AL100" t="s">
        <v>1897</v>
      </c>
      <c r="AM100" t="s">
        <v>1898</v>
      </c>
      <c r="AN100" t="s">
        <v>1899</v>
      </c>
      <c r="AO100" t="s">
        <v>1900</v>
      </c>
      <c r="AP100" t="s">
        <v>74</v>
      </c>
      <c r="AQ100" t="s">
        <v>74</v>
      </c>
      <c r="AR100" t="s">
        <v>1901</v>
      </c>
      <c r="AS100" t="s">
        <v>1902</v>
      </c>
      <c r="AT100" t="s">
        <v>74</v>
      </c>
      <c r="AU100">
        <v>2023</v>
      </c>
      <c r="AV100">
        <v>32</v>
      </c>
      <c r="AW100">
        <v>8</v>
      </c>
      <c r="AX100" t="s">
        <v>74</v>
      </c>
      <c r="AY100" t="s">
        <v>74</v>
      </c>
      <c r="AZ100" t="s">
        <v>754</v>
      </c>
      <c r="BA100" t="s">
        <v>74</v>
      </c>
      <c r="BB100">
        <v>999</v>
      </c>
      <c r="BC100">
        <v>1012</v>
      </c>
      <c r="BD100" t="s">
        <v>74</v>
      </c>
      <c r="BE100" t="s">
        <v>1967</v>
      </c>
      <c r="BF100" t="str">
        <f>HYPERLINK("http://dx.doi.org/10.55730/1300-0985.1889","http://dx.doi.org/10.55730/1300-0985.1889")</f>
        <v>http://dx.doi.org/10.55730/1300-0985.1889</v>
      </c>
      <c r="BG100" t="s">
        <v>74</v>
      </c>
      <c r="BH100" t="s">
        <v>74</v>
      </c>
      <c r="BI100">
        <v>16</v>
      </c>
      <c r="BJ100" t="s">
        <v>455</v>
      </c>
      <c r="BK100" t="s">
        <v>104</v>
      </c>
      <c r="BL100" t="s">
        <v>456</v>
      </c>
      <c r="BM100" t="s">
        <v>1904</v>
      </c>
      <c r="BN100" t="s">
        <v>74</v>
      </c>
      <c r="BO100" t="s">
        <v>660</v>
      </c>
      <c r="BP100" t="s">
        <v>74</v>
      </c>
      <c r="BQ100" t="s">
        <v>74</v>
      </c>
      <c r="BR100" t="s">
        <v>108</v>
      </c>
      <c r="BS100" t="s">
        <v>1968</v>
      </c>
      <c r="BT100" t="str">
        <f>HYPERLINK("https%3A%2F%2Fwww.webofscience.com%2Fwos%2Fwoscc%2Ffull-record%2FWOS:001127159300001","View Full Record in Web of Science")</f>
        <v>View Full Record in Web of Science</v>
      </c>
    </row>
    <row r="101" spans="1:72" x14ac:dyDescent="0.15">
      <c r="A101" t="s">
        <v>72</v>
      </c>
      <c r="B101" t="s">
        <v>1969</v>
      </c>
      <c r="C101" t="s">
        <v>74</v>
      </c>
      <c r="D101" t="s">
        <v>74</v>
      </c>
      <c r="E101" t="s">
        <v>74</v>
      </c>
      <c r="F101" t="s">
        <v>1970</v>
      </c>
      <c r="G101" t="s">
        <v>74</v>
      </c>
      <c r="H101" t="s">
        <v>74</v>
      </c>
      <c r="I101" t="s">
        <v>1971</v>
      </c>
      <c r="J101" t="s">
        <v>1886</v>
      </c>
      <c r="K101" t="s">
        <v>74</v>
      </c>
      <c r="L101" t="s">
        <v>74</v>
      </c>
      <c r="M101" t="s">
        <v>78</v>
      </c>
      <c r="N101" t="s">
        <v>79</v>
      </c>
      <c r="O101" t="s">
        <v>74</v>
      </c>
      <c r="P101" t="s">
        <v>74</v>
      </c>
      <c r="Q101" t="s">
        <v>74</v>
      </c>
      <c r="R101" t="s">
        <v>74</v>
      </c>
      <c r="S101" t="s">
        <v>74</v>
      </c>
      <c r="T101" t="s">
        <v>1972</v>
      </c>
      <c r="U101" t="s">
        <v>1973</v>
      </c>
      <c r="V101" t="s">
        <v>1974</v>
      </c>
      <c r="W101" t="s">
        <v>1975</v>
      </c>
      <c r="X101" t="s">
        <v>1976</v>
      </c>
      <c r="Y101" t="s">
        <v>1977</v>
      </c>
      <c r="Z101" t="s">
        <v>1978</v>
      </c>
      <c r="AA101" t="s">
        <v>1979</v>
      </c>
      <c r="AB101" t="s">
        <v>1980</v>
      </c>
      <c r="AC101" t="s">
        <v>1981</v>
      </c>
      <c r="AD101" t="s">
        <v>1982</v>
      </c>
      <c r="AE101" t="s">
        <v>1983</v>
      </c>
      <c r="AF101" t="s">
        <v>74</v>
      </c>
      <c r="AG101">
        <v>23</v>
      </c>
      <c r="AH101">
        <v>0</v>
      </c>
      <c r="AI101">
        <v>0</v>
      </c>
      <c r="AJ101">
        <v>2</v>
      </c>
      <c r="AK101">
        <v>2</v>
      </c>
      <c r="AL101" t="s">
        <v>1897</v>
      </c>
      <c r="AM101" t="s">
        <v>1898</v>
      </c>
      <c r="AN101" t="s">
        <v>1899</v>
      </c>
      <c r="AO101" t="s">
        <v>1900</v>
      </c>
      <c r="AP101" t="s">
        <v>74</v>
      </c>
      <c r="AQ101" t="s">
        <v>74</v>
      </c>
      <c r="AR101" t="s">
        <v>1901</v>
      </c>
      <c r="AS101" t="s">
        <v>1902</v>
      </c>
      <c r="AT101" t="s">
        <v>74</v>
      </c>
      <c r="AU101">
        <v>2023</v>
      </c>
      <c r="AV101">
        <v>32</v>
      </c>
      <c r="AW101">
        <v>8</v>
      </c>
      <c r="AX101" t="s">
        <v>74</v>
      </c>
      <c r="AY101" t="s">
        <v>74</v>
      </c>
      <c r="AZ101" t="s">
        <v>754</v>
      </c>
      <c r="BA101" t="s">
        <v>74</v>
      </c>
      <c r="BB101">
        <v>1013</v>
      </c>
      <c r="BC101">
        <v>1021</v>
      </c>
      <c r="BD101" t="s">
        <v>74</v>
      </c>
      <c r="BE101" t="s">
        <v>1984</v>
      </c>
      <c r="BF101" t="str">
        <f>HYPERLINK("http://dx.doi.org/10.55730/1300-0985.1890","http://dx.doi.org/10.55730/1300-0985.1890")</f>
        <v>http://dx.doi.org/10.55730/1300-0985.1890</v>
      </c>
      <c r="BG101" t="s">
        <v>74</v>
      </c>
      <c r="BH101" t="s">
        <v>74</v>
      </c>
      <c r="BI101">
        <v>11</v>
      </c>
      <c r="BJ101" t="s">
        <v>455</v>
      </c>
      <c r="BK101" t="s">
        <v>104</v>
      </c>
      <c r="BL101" t="s">
        <v>456</v>
      </c>
      <c r="BM101" t="s">
        <v>1904</v>
      </c>
      <c r="BN101" t="s">
        <v>74</v>
      </c>
      <c r="BO101" t="s">
        <v>660</v>
      </c>
      <c r="BP101" t="s">
        <v>74</v>
      </c>
      <c r="BQ101" t="s">
        <v>74</v>
      </c>
      <c r="BR101" t="s">
        <v>108</v>
      </c>
      <c r="BS101" t="s">
        <v>1985</v>
      </c>
      <c r="BT101" t="str">
        <f>HYPERLINK("https%3A%2F%2Fwww.webofscience.com%2Fwos%2Fwoscc%2Ffull-record%2FWOS:001127159300008","View Full Record in Web of Science")</f>
        <v>View Full Record in Web of Science</v>
      </c>
    </row>
    <row r="102" spans="1:72" x14ac:dyDescent="0.15">
      <c r="A102" t="s">
        <v>72</v>
      </c>
      <c r="B102" t="s">
        <v>1986</v>
      </c>
      <c r="C102" t="s">
        <v>74</v>
      </c>
      <c r="D102" t="s">
        <v>74</v>
      </c>
      <c r="E102" t="s">
        <v>74</v>
      </c>
      <c r="F102" t="s">
        <v>1987</v>
      </c>
      <c r="G102" t="s">
        <v>74</v>
      </c>
      <c r="H102" t="s">
        <v>74</v>
      </c>
      <c r="I102" t="s">
        <v>1988</v>
      </c>
      <c r="J102" t="s">
        <v>1886</v>
      </c>
      <c r="K102" t="s">
        <v>74</v>
      </c>
      <c r="L102" t="s">
        <v>74</v>
      </c>
      <c r="M102" t="s">
        <v>78</v>
      </c>
      <c r="N102" t="s">
        <v>79</v>
      </c>
      <c r="O102" t="s">
        <v>74</v>
      </c>
      <c r="P102" t="s">
        <v>74</v>
      </c>
      <c r="Q102" t="s">
        <v>74</v>
      </c>
      <c r="R102" t="s">
        <v>74</v>
      </c>
      <c r="S102" t="s">
        <v>74</v>
      </c>
      <c r="T102" t="s">
        <v>1989</v>
      </c>
      <c r="U102" t="s">
        <v>1990</v>
      </c>
      <c r="V102" t="s">
        <v>1991</v>
      </c>
      <c r="W102" t="s">
        <v>1992</v>
      </c>
      <c r="X102" t="s">
        <v>74</v>
      </c>
      <c r="Y102" t="s">
        <v>1993</v>
      </c>
      <c r="Z102" t="s">
        <v>1994</v>
      </c>
      <c r="AA102" t="s">
        <v>1995</v>
      </c>
      <c r="AB102" t="s">
        <v>1996</v>
      </c>
      <c r="AC102" t="s">
        <v>74</v>
      </c>
      <c r="AD102" t="s">
        <v>74</v>
      </c>
      <c r="AE102" t="s">
        <v>74</v>
      </c>
      <c r="AF102" t="s">
        <v>74</v>
      </c>
      <c r="AG102">
        <v>39</v>
      </c>
      <c r="AH102">
        <v>0</v>
      </c>
      <c r="AI102">
        <v>0</v>
      </c>
      <c r="AJ102">
        <v>0</v>
      </c>
      <c r="AK102">
        <v>0</v>
      </c>
      <c r="AL102" t="s">
        <v>1897</v>
      </c>
      <c r="AM102" t="s">
        <v>1898</v>
      </c>
      <c r="AN102" t="s">
        <v>1899</v>
      </c>
      <c r="AO102" t="s">
        <v>1900</v>
      </c>
      <c r="AP102" t="s">
        <v>74</v>
      </c>
      <c r="AQ102" t="s">
        <v>74</v>
      </c>
      <c r="AR102" t="s">
        <v>1901</v>
      </c>
      <c r="AS102" t="s">
        <v>1902</v>
      </c>
      <c r="AT102" t="s">
        <v>74</v>
      </c>
      <c r="AU102">
        <v>2023</v>
      </c>
      <c r="AV102">
        <v>32</v>
      </c>
      <c r="AW102">
        <v>8</v>
      </c>
      <c r="AX102" t="s">
        <v>74</v>
      </c>
      <c r="AY102" t="s">
        <v>74</v>
      </c>
      <c r="AZ102" t="s">
        <v>754</v>
      </c>
      <c r="BA102" t="s">
        <v>74</v>
      </c>
      <c r="BB102">
        <v>1022</v>
      </c>
      <c r="BC102">
        <v>1040</v>
      </c>
      <c r="BD102" t="s">
        <v>74</v>
      </c>
      <c r="BE102" t="s">
        <v>1997</v>
      </c>
      <c r="BF102" t="str">
        <f>HYPERLINK("http://dx.doi.org/10.55730/1300-0985.1891","http://dx.doi.org/10.55730/1300-0985.1891")</f>
        <v>http://dx.doi.org/10.55730/1300-0985.1891</v>
      </c>
      <c r="BG102" t="s">
        <v>74</v>
      </c>
      <c r="BH102" t="s">
        <v>74</v>
      </c>
      <c r="BI102">
        <v>20</v>
      </c>
      <c r="BJ102" t="s">
        <v>455</v>
      </c>
      <c r="BK102" t="s">
        <v>104</v>
      </c>
      <c r="BL102" t="s">
        <v>456</v>
      </c>
      <c r="BM102" t="s">
        <v>1904</v>
      </c>
      <c r="BN102" t="s">
        <v>74</v>
      </c>
      <c r="BO102" t="s">
        <v>660</v>
      </c>
      <c r="BP102" t="s">
        <v>74</v>
      </c>
      <c r="BQ102" t="s">
        <v>74</v>
      </c>
      <c r="BR102" t="s">
        <v>108</v>
      </c>
      <c r="BS102" t="s">
        <v>1998</v>
      </c>
      <c r="BT102" t="str">
        <f>HYPERLINK("https%3A%2F%2Fwww.webofscience.com%2Fwos%2Fwoscc%2Ffull-record%2FWOS:001127159300002","View Full Record in Web of Science")</f>
        <v>View Full Record in Web of Science</v>
      </c>
    </row>
    <row r="103" spans="1:72" x14ac:dyDescent="0.15">
      <c r="A103" t="s">
        <v>72</v>
      </c>
      <c r="B103" t="s">
        <v>1999</v>
      </c>
      <c r="C103" t="s">
        <v>74</v>
      </c>
      <c r="D103" t="s">
        <v>74</v>
      </c>
      <c r="E103" t="s">
        <v>74</v>
      </c>
      <c r="F103" t="s">
        <v>2000</v>
      </c>
      <c r="G103" t="s">
        <v>74</v>
      </c>
      <c r="H103" t="s">
        <v>74</v>
      </c>
      <c r="I103" t="s">
        <v>2001</v>
      </c>
      <c r="J103" t="s">
        <v>1886</v>
      </c>
      <c r="K103" t="s">
        <v>74</v>
      </c>
      <c r="L103" t="s">
        <v>74</v>
      </c>
      <c r="M103" t="s">
        <v>78</v>
      </c>
      <c r="N103" t="s">
        <v>79</v>
      </c>
      <c r="O103" t="s">
        <v>74</v>
      </c>
      <c r="P103" t="s">
        <v>74</v>
      </c>
      <c r="Q103" t="s">
        <v>74</v>
      </c>
      <c r="R103" t="s">
        <v>74</v>
      </c>
      <c r="S103" t="s">
        <v>74</v>
      </c>
      <c r="T103" t="s">
        <v>2002</v>
      </c>
      <c r="U103" t="s">
        <v>74</v>
      </c>
      <c r="V103" t="s">
        <v>2003</v>
      </c>
      <c r="W103" t="s">
        <v>2004</v>
      </c>
      <c r="X103" t="s">
        <v>2005</v>
      </c>
      <c r="Y103" t="s">
        <v>2006</v>
      </c>
      <c r="Z103" t="s">
        <v>2007</v>
      </c>
      <c r="AA103" t="s">
        <v>2008</v>
      </c>
      <c r="AB103" t="s">
        <v>2009</v>
      </c>
      <c r="AC103" t="s">
        <v>2010</v>
      </c>
      <c r="AD103" t="s">
        <v>2011</v>
      </c>
      <c r="AE103" t="s">
        <v>2012</v>
      </c>
      <c r="AF103" t="s">
        <v>74</v>
      </c>
      <c r="AG103">
        <v>25</v>
      </c>
      <c r="AH103">
        <v>0</v>
      </c>
      <c r="AI103">
        <v>0</v>
      </c>
      <c r="AJ103">
        <v>1</v>
      </c>
      <c r="AK103">
        <v>1</v>
      </c>
      <c r="AL103" t="s">
        <v>1897</v>
      </c>
      <c r="AM103" t="s">
        <v>1898</v>
      </c>
      <c r="AN103" t="s">
        <v>1899</v>
      </c>
      <c r="AO103" t="s">
        <v>1900</v>
      </c>
      <c r="AP103" t="s">
        <v>74</v>
      </c>
      <c r="AQ103" t="s">
        <v>74</v>
      </c>
      <c r="AR103" t="s">
        <v>1901</v>
      </c>
      <c r="AS103" t="s">
        <v>1902</v>
      </c>
      <c r="AT103" t="s">
        <v>74</v>
      </c>
      <c r="AU103">
        <v>2023</v>
      </c>
      <c r="AV103">
        <v>32</v>
      </c>
      <c r="AW103">
        <v>8</v>
      </c>
      <c r="AX103" t="s">
        <v>74</v>
      </c>
      <c r="AY103" t="s">
        <v>74</v>
      </c>
      <c r="AZ103" t="s">
        <v>754</v>
      </c>
      <c r="BA103" t="s">
        <v>74</v>
      </c>
      <c r="BB103">
        <v>1041</v>
      </c>
      <c r="BC103">
        <v>1051</v>
      </c>
      <c r="BD103" t="s">
        <v>74</v>
      </c>
      <c r="BE103" t="s">
        <v>2013</v>
      </c>
      <c r="BF103" t="str">
        <f>HYPERLINK("http://dx.doi.org/10.55730/1300-0985.1892","http://dx.doi.org/10.55730/1300-0985.1892")</f>
        <v>http://dx.doi.org/10.55730/1300-0985.1892</v>
      </c>
      <c r="BG103" t="s">
        <v>74</v>
      </c>
      <c r="BH103" t="s">
        <v>74</v>
      </c>
      <c r="BI103">
        <v>12</v>
      </c>
      <c r="BJ103" t="s">
        <v>455</v>
      </c>
      <c r="BK103" t="s">
        <v>104</v>
      </c>
      <c r="BL103" t="s">
        <v>456</v>
      </c>
      <c r="BM103" t="s">
        <v>1904</v>
      </c>
      <c r="BN103" t="s">
        <v>74</v>
      </c>
      <c r="BO103" t="s">
        <v>660</v>
      </c>
      <c r="BP103" t="s">
        <v>74</v>
      </c>
      <c r="BQ103" t="s">
        <v>74</v>
      </c>
      <c r="BR103" t="s">
        <v>108</v>
      </c>
      <c r="BS103" t="s">
        <v>2014</v>
      </c>
      <c r="BT103" t="str">
        <f>HYPERLINK("https%3A%2F%2Fwww.webofscience.com%2Fwos%2Fwoscc%2Ffull-record%2FWOS:001127159300006","View Full Record in Web of Science")</f>
        <v>View Full Record in Web of Science</v>
      </c>
    </row>
    <row r="104" spans="1:72" x14ac:dyDescent="0.15">
      <c r="A104" t="s">
        <v>72</v>
      </c>
      <c r="B104" t="s">
        <v>2015</v>
      </c>
      <c r="C104" t="s">
        <v>74</v>
      </c>
      <c r="D104" t="s">
        <v>74</v>
      </c>
      <c r="E104" t="s">
        <v>74</v>
      </c>
      <c r="F104" t="s">
        <v>2016</v>
      </c>
      <c r="G104" t="s">
        <v>74</v>
      </c>
      <c r="H104" t="s">
        <v>74</v>
      </c>
      <c r="I104" t="s">
        <v>2017</v>
      </c>
      <c r="J104" t="s">
        <v>1886</v>
      </c>
      <c r="K104" t="s">
        <v>74</v>
      </c>
      <c r="L104" t="s">
        <v>74</v>
      </c>
      <c r="M104" t="s">
        <v>78</v>
      </c>
      <c r="N104" t="s">
        <v>79</v>
      </c>
      <c r="O104" t="s">
        <v>74</v>
      </c>
      <c r="P104" t="s">
        <v>74</v>
      </c>
      <c r="Q104" t="s">
        <v>74</v>
      </c>
      <c r="R104" t="s">
        <v>74</v>
      </c>
      <c r="S104" t="s">
        <v>74</v>
      </c>
      <c r="T104" t="s">
        <v>2018</v>
      </c>
      <c r="U104" t="s">
        <v>74</v>
      </c>
      <c r="V104" t="s">
        <v>2019</v>
      </c>
      <c r="W104" t="s">
        <v>2020</v>
      </c>
      <c r="X104" t="s">
        <v>1959</v>
      </c>
      <c r="Y104" t="s">
        <v>2021</v>
      </c>
      <c r="Z104" t="s">
        <v>2022</v>
      </c>
      <c r="AA104" t="s">
        <v>2023</v>
      </c>
      <c r="AB104" t="s">
        <v>2024</v>
      </c>
      <c r="AC104" t="s">
        <v>74</v>
      </c>
      <c r="AD104" t="s">
        <v>74</v>
      </c>
      <c r="AE104" t="s">
        <v>74</v>
      </c>
      <c r="AF104" t="s">
        <v>74</v>
      </c>
      <c r="AG104">
        <v>41</v>
      </c>
      <c r="AH104">
        <v>0</v>
      </c>
      <c r="AI104">
        <v>0</v>
      </c>
      <c r="AJ104">
        <v>1</v>
      </c>
      <c r="AK104">
        <v>1</v>
      </c>
      <c r="AL104" t="s">
        <v>1897</v>
      </c>
      <c r="AM104" t="s">
        <v>1898</v>
      </c>
      <c r="AN104" t="s">
        <v>1899</v>
      </c>
      <c r="AO104" t="s">
        <v>1900</v>
      </c>
      <c r="AP104" t="s">
        <v>74</v>
      </c>
      <c r="AQ104" t="s">
        <v>74</v>
      </c>
      <c r="AR104" t="s">
        <v>1901</v>
      </c>
      <c r="AS104" t="s">
        <v>1902</v>
      </c>
      <c r="AT104" t="s">
        <v>74</v>
      </c>
      <c r="AU104">
        <v>2023</v>
      </c>
      <c r="AV104">
        <v>32</v>
      </c>
      <c r="AW104">
        <v>8</v>
      </c>
      <c r="AX104" t="s">
        <v>74</v>
      </c>
      <c r="AY104" t="s">
        <v>74</v>
      </c>
      <c r="AZ104" t="s">
        <v>754</v>
      </c>
      <c r="BA104" t="s">
        <v>74</v>
      </c>
      <c r="BB104">
        <v>1052</v>
      </c>
      <c r="BC104">
        <v>1064</v>
      </c>
      <c r="BD104" t="s">
        <v>74</v>
      </c>
      <c r="BE104" t="s">
        <v>2025</v>
      </c>
      <c r="BF104" t="str">
        <f>HYPERLINK("http://dx.doi.org/10.55730/1300-0985.1893","http://dx.doi.org/10.55730/1300-0985.1893")</f>
        <v>http://dx.doi.org/10.55730/1300-0985.1893</v>
      </c>
      <c r="BG104" t="s">
        <v>74</v>
      </c>
      <c r="BH104" t="s">
        <v>74</v>
      </c>
      <c r="BI104">
        <v>14</v>
      </c>
      <c r="BJ104" t="s">
        <v>455</v>
      </c>
      <c r="BK104" t="s">
        <v>104</v>
      </c>
      <c r="BL104" t="s">
        <v>456</v>
      </c>
      <c r="BM104" t="s">
        <v>1904</v>
      </c>
      <c r="BN104" t="s">
        <v>74</v>
      </c>
      <c r="BO104" t="s">
        <v>660</v>
      </c>
      <c r="BP104" t="s">
        <v>74</v>
      </c>
      <c r="BQ104" t="s">
        <v>74</v>
      </c>
      <c r="BR104" t="s">
        <v>108</v>
      </c>
      <c r="BS104" t="s">
        <v>2026</v>
      </c>
      <c r="BT104" t="str">
        <f>HYPERLINK("https%3A%2F%2Fwww.webofscience.com%2Fwos%2Fwoscc%2Ffull-record%2FWOS:001127159300003","View Full Record in Web of Science")</f>
        <v>View Full Record in Web of Science</v>
      </c>
    </row>
    <row r="105" spans="1:72" x14ac:dyDescent="0.15">
      <c r="A105" t="s">
        <v>72</v>
      </c>
      <c r="B105" t="s">
        <v>2027</v>
      </c>
      <c r="C105" t="s">
        <v>74</v>
      </c>
      <c r="D105" t="s">
        <v>74</v>
      </c>
      <c r="E105" t="s">
        <v>74</v>
      </c>
      <c r="F105" t="s">
        <v>2028</v>
      </c>
      <c r="G105" t="s">
        <v>74</v>
      </c>
      <c r="H105" t="s">
        <v>74</v>
      </c>
      <c r="I105" t="s">
        <v>2029</v>
      </c>
      <c r="J105" t="s">
        <v>1805</v>
      </c>
      <c r="K105" t="s">
        <v>74</v>
      </c>
      <c r="L105" t="s">
        <v>74</v>
      </c>
      <c r="M105" t="s">
        <v>78</v>
      </c>
      <c r="N105" t="s">
        <v>79</v>
      </c>
      <c r="O105" t="s">
        <v>74</v>
      </c>
      <c r="P105" t="s">
        <v>74</v>
      </c>
      <c r="Q105" t="s">
        <v>74</v>
      </c>
      <c r="R105" t="s">
        <v>74</v>
      </c>
      <c r="S105" t="s">
        <v>74</v>
      </c>
      <c r="T105" t="s">
        <v>2030</v>
      </c>
      <c r="U105" t="s">
        <v>2031</v>
      </c>
      <c r="V105" t="s">
        <v>2032</v>
      </c>
      <c r="W105" t="s">
        <v>2033</v>
      </c>
      <c r="X105" t="s">
        <v>2034</v>
      </c>
      <c r="Y105" t="s">
        <v>2035</v>
      </c>
      <c r="Z105" t="s">
        <v>2036</v>
      </c>
      <c r="AA105" t="s">
        <v>2037</v>
      </c>
      <c r="AB105" t="s">
        <v>2038</v>
      </c>
      <c r="AC105" t="s">
        <v>2039</v>
      </c>
      <c r="AD105" t="s">
        <v>2040</v>
      </c>
      <c r="AE105" t="s">
        <v>2041</v>
      </c>
      <c r="AF105" t="s">
        <v>74</v>
      </c>
      <c r="AG105">
        <v>37</v>
      </c>
      <c r="AH105">
        <v>0</v>
      </c>
      <c r="AI105">
        <v>0</v>
      </c>
      <c r="AJ105">
        <v>4</v>
      </c>
      <c r="AK105">
        <v>4</v>
      </c>
      <c r="AL105" t="s">
        <v>1818</v>
      </c>
      <c r="AM105" t="s">
        <v>1819</v>
      </c>
      <c r="AN105" t="s">
        <v>1820</v>
      </c>
      <c r="AO105" t="s">
        <v>1821</v>
      </c>
      <c r="AP105" t="s">
        <v>1822</v>
      </c>
      <c r="AQ105" t="s">
        <v>74</v>
      </c>
      <c r="AR105" t="s">
        <v>1823</v>
      </c>
      <c r="AS105" t="s">
        <v>1824</v>
      </c>
      <c r="AT105" t="s">
        <v>74</v>
      </c>
      <c r="AU105">
        <v>2023</v>
      </c>
      <c r="AV105">
        <v>95</v>
      </c>
      <c r="AW105" t="s">
        <v>74</v>
      </c>
      <c r="AX105" t="s">
        <v>74</v>
      </c>
      <c r="AY105">
        <v>3</v>
      </c>
      <c r="AZ105" t="s">
        <v>74</v>
      </c>
      <c r="BA105" t="s">
        <v>74</v>
      </c>
      <c r="BB105" t="s">
        <v>74</v>
      </c>
      <c r="BC105" t="s">
        <v>74</v>
      </c>
      <c r="BD105" t="s">
        <v>2042</v>
      </c>
      <c r="BE105" t="s">
        <v>2043</v>
      </c>
      <c r="BF105" t="str">
        <f>HYPERLINK("http://dx.doi.org/10.1590/0001-3765202320230710","http://dx.doi.org/10.1590/0001-3765202320230710")</f>
        <v>http://dx.doi.org/10.1590/0001-3765202320230710</v>
      </c>
      <c r="BG105" t="s">
        <v>74</v>
      </c>
      <c r="BH105" t="s">
        <v>74</v>
      </c>
      <c r="BI105">
        <v>15</v>
      </c>
      <c r="BJ105" t="s">
        <v>189</v>
      </c>
      <c r="BK105" t="s">
        <v>104</v>
      </c>
      <c r="BL105" t="s">
        <v>190</v>
      </c>
      <c r="BM105" t="s">
        <v>2044</v>
      </c>
      <c r="BN105">
        <v>38126383</v>
      </c>
      <c r="BO105" t="s">
        <v>165</v>
      </c>
      <c r="BP105" t="s">
        <v>74</v>
      </c>
      <c r="BQ105" t="s">
        <v>74</v>
      </c>
      <c r="BR105" t="s">
        <v>108</v>
      </c>
      <c r="BS105" t="s">
        <v>2045</v>
      </c>
      <c r="BT105" t="str">
        <f>HYPERLINK("https%3A%2F%2Fwww.webofscience.com%2Fwos%2Fwoscc%2Ffull-record%2FWOS:001131016100001","View Full Record in Web of Science")</f>
        <v>View Full Record in Web of Science</v>
      </c>
    </row>
    <row r="106" spans="1:72" x14ac:dyDescent="0.15">
      <c r="A106" t="s">
        <v>72</v>
      </c>
      <c r="B106" t="s">
        <v>2046</v>
      </c>
      <c r="C106" t="s">
        <v>74</v>
      </c>
      <c r="D106" t="s">
        <v>74</v>
      </c>
      <c r="E106" t="s">
        <v>74</v>
      </c>
      <c r="F106" t="s">
        <v>2047</v>
      </c>
      <c r="G106" t="s">
        <v>74</v>
      </c>
      <c r="H106" t="s">
        <v>74</v>
      </c>
      <c r="I106" t="s">
        <v>2048</v>
      </c>
      <c r="J106" t="s">
        <v>1805</v>
      </c>
      <c r="K106" t="s">
        <v>74</v>
      </c>
      <c r="L106" t="s">
        <v>74</v>
      </c>
      <c r="M106" t="s">
        <v>78</v>
      </c>
      <c r="N106" t="s">
        <v>79</v>
      </c>
      <c r="O106" t="s">
        <v>74</v>
      </c>
      <c r="P106" t="s">
        <v>74</v>
      </c>
      <c r="Q106" t="s">
        <v>74</v>
      </c>
      <c r="R106" t="s">
        <v>74</v>
      </c>
      <c r="S106" t="s">
        <v>74</v>
      </c>
      <c r="T106" t="s">
        <v>2049</v>
      </c>
      <c r="U106" t="s">
        <v>2050</v>
      </c>
      <c r="V106" t="s">
        <v>2051</v>
      </c>
      <c r="W106" t="s">
        <v>2052</v>
      </c>
      <c r="X106" t="s">
        <v>2053</v>
      </c>
      <c r="Y106" t="s">
        <v>2054</v>
      </c>
      <c r="Z106" t="s">
        <v>2055</v>
      </c>
      <c r="AA106" t="s">
        <v>2056</v>
      </c>
      <c r="AB106" t="s">
        <v>2057</v>
      </c>
      <c r="AC106" t="s">
        <v>2058</v>
      </c>
      <c r="AD106" t="s">
        <v>2059</v>
      </c>
      <c r="AE106" t="s">
        <v>2060</v>
      </c>
      <c r="AF106" t="s">
        <v>74</v>
      </c>
      <c r="AG106">
        <v>65</v>
      </c>
      <c r="AH106">
        <v>0</v>
      </c>
      <c r="AI106">
        <v>0</v>
      </c>
      <c r="AJ106">
        <v>1</v>
      </c>
      <c r="AK106">
        <v>1</v>
      </c>
      <c r="AL106" t="s">
        <v>1818</v>
      </c>
      <c r="AM106" t="s">
        <v>1819</v>
      </c>
      <c r="AN106" t="s">
        <v>1820</v>
      </c>
      <c r="AO106" t="s">
        <v>1821</v>
      </c>
      <c r="AP106" t="s">
        <v>1822</v>
      </c>
      <c r="AQ106" t="s">
        <v>74</v>
      </c>
      <c r="AR106" t="s">
        <v>1823</v>
      </c>
      <c r="AS106" t="s">
        <v>1824</v>
      </c>
      <c r="AT106" t="s">
        <v>74</v>
      </c>
      <c r="AU106">
        <v>2023</v>
      </c>
      <c r="AV106">
        <v>95</v>
      </c>
      <c r="AW106" t="s">
        <v>74</v>
      </c>
      <c r="AX106" t="s">
        <v>74</v>
      </c>
      <c r="AY106">
        <v>3</v>
      </c>
      <c r="AZ106" t="s">
        <v>74</v>
      </c>
      <c r="BA106" t="s">
        <v>74</v>
      </c>
      <c r="BB106" t="s">
        <v>74</v>
      </c>
      <c r="BC106" t="s">
        <v>74</v>
      </c>
      <c r="BD106" t="s">
        <v>2061</v>
      </c>
      <c r="BE106" t="s">
        <v>2062</v>
      </c>
      <c r="BF106" t="str">
        <f>HYPERLINK("http://dx.doi.org/10.1590/0001-3765202320230823","http://dx.doi.org/10.1590/0001-3765202320230823")</f>
        <v>http://dx.doi.org/10.1590/0001-3765202320230823</v>
      </c>
      <c r="BG106" t="s">
        <v>74</v>
      </c>
      <c r="BH106" t="s">
        <v>74</v>
      </c>
      <c r="BI106">
        <v>19</v>
      </c>
      <c r="BJ106" t="s">
        <v>189</v>
      </c>
      <c r="BK106" t="s">
        <v>104</v>
      </c>
      <c r="BL106" t="s">
        <v>190</v>
      </c>
      <c r="BM106" t="s">
        <v>2063</v>
      </c>
      <c r="BN106">
        <v>38126387</v>
      </c>
      <c r="BO106" t="s">
        <v>165</v>
      </c>
      <c r="BP106" t="s">
        <v>74</v>
      </c>
      <c r="BQ106" t="s">
        <v>74</v>
      </c>
      <c r="BR106" t="s">
        <v>108</v>
      </c>
      <c r="BS106" t="s">
        <v>2064</v>
      </c>
      <c r="BT106" t="str">
        <f>HYPERLINK("https%3A%2F%2Fwww.webofscience.com%2Fwos%2Fwoscc%2Ffull-record%2FWOS:001130704900001","View Full Record in Web of Science")</f>
        <v>View Full Record in Web of Science</v>
      </c>
    </row>
    <row r="107" spans="1:72" x14ac:dyDescent="0.15">
      <c r="A107" t="s">
        <v>72</v>
      </c>
      <c r="B107" t="s">
        <v>2065</v>
      </c>
      <c r="C107" t="s">
        <v>74</v>
      </c>
      <c r="D107" t="s">
        <v>74</v>
      </c>
      <c r="E107" t="s">
        <v>74</v>
      </c>
      <c r="F107" t="s">
        <v>2066</v>
      </c>
      <c r="G107" t="s">
        <v>74</v>
      </c>
      <c r="H107" t="s">
        <v>74</v>
      </c>
      <c r="I107" t="s">
        <v>2067</v>
      </c>
      <c r="J107" t="s">
        <v>1383</v>
      </c>
      <c r="K107" t="s">
        <v>74</v>
      </c>
      <c r="L107" t="s">
        <v>74</v>
      </c>
      <c r="M107" t="s">
        <v>78</v>
      </c>
      <c r="N107" t="s">
        <v>79</v>
      </c>
      <c r="O107" t="s">
        <v>74</v>
      </c>
      <c r="P107" t="s">
        <v>74</v>
      </c>
      <c r="Q107" t="s">
        <v>74</v>
      </c>
      <c r="R107" t="s">
        <v>74</v>
      </c>
      <c r="S107" t="s">
        <v>74</v>
      </c>
      <c r="T107" t="s">
        <v>2068</v>
      </c>
      <c r="U107" t="s">
        <v>2069</v>
      </c>
      <c r="V107" t="s">
        <v>2070</v>
      </c>
      <c r="W107" t="s">
        <v>2071</v>
      </c>
      <c r="X107" t="s">
        <v>2072</v>
      </c>
      <c r="Y107" t="s">
        <v>2073</v>
      </c>
      <c r="Z107" t="s">
        <v>2074</v>
      </c>
      <c r="AA107" t="s">
        <v>74</v>
      </c>
      <c r="AB107" t="s">
        <v>74</v>
      </c>
      <c r="AC107" t="s">
        <v>74</v>
      </c>
      <c r="AD107" t="s">
        <v>74</v>
      </c>
      <c r="AE107" t="s">
        <v>74</v>
      </c>
      <c r="AF107" t="s">
        <v>74</v>
      </c>
      <c r="AG107">
        <v>24</v>
      </c>
      <c r="AH107">
        <v>0</v>
      </c>
      <c r="AI107">
        <v>0</v>
      </c>
      <c r="AJ107">
        <v>1</v>
      </c>
      <c r="AK107">
        <v>1</v>
      </c>
      <c r="AL107" t="s">
        <v>1392</v>
      </c>
      <c r="AM107" t="s">
        <v>1393</v>
      </c>
      <c r="AN107" t="s">
        <v>1394</v>
      </c>
      <c r="AO107" t="s">
        <v>1395</v>
      </c>
      <c r="AP107" t="s">
        <v>1396</v>
      </c>
      <c r="AQ107" t="s">
        <v>74</v>
      </c>
      <c r="AR107" t="s">
        <v>1397</v>
      </c>
      <c r="AS107" t="s">
        <v>1398</v>
      </c>
      <c r="AT107" t="s">
        <v>74</v>
      </c>
      <c r="AU107">
        <v>2023</v>
      </c>
      <c r="AV107">
        <v>63</v>
      </c>
      <c r="AW107">
        <v>3</v>
      </c>
      <c r="AX107" t="s">
        <v>74</v>
      </c>
      <c r="AY107" t="s">
        <v>74</v>
      </c>
      <c r="AZ107" t="s">
        <v>74</v>
      </c>
      <c r="BA107" t="s">
        <v>74</v>
      </c>
      <c r="BB107">
        <v>357</v>
      </c>
      <c r="BC107">
        <v>368</v>
      </c>
      <c r="BD107" t="s">
        <v>74</v>
      </c>
      <c r="BE107" t="s">
        <v>2075</v>
      </c>
      <c r="BF107" t="str">
        <f>HYPERLINK("http://dx.doi.org/10.31857/S2076673423030122","http://dx.doi.org/10.31857/S2076673423030122")</f>
        <v>http://dx.doi.org/10.31857/S2076673423030122</v>
      </c>
      <c r="BG107" t="s">
        <v>74</v>
      </c>
      <c r="BH107" t="s">
        <v>74</v>
      </c>
      <c r="BI107">
        <v>12</v>
      </c>
      <c r="BJ107" t="s">
        <v>455</v>
      </c>
      <c r="BK107" t="s">
        <v>757</v>
      </c>
      <c r="BL107" t="s">
        <v>456</v>
      </c>
      <c r="BM107" t="s">
        <v>2076</v>
      </c>
      <c r="BN107" t="s">
        <v>74</v>
      </c>
      <c r="BO107" t="s">
        <v>74</v>
      </c>
      <c r="BP107" t="s">
        <v>74</v>
      </c>
      <c r="BQ107" t="s">
        <v>74</v>
      </c>
      <c r="BR107" t="s">
        <v>108</v>
      </c>
      <c r="BS107" t="s">
        <v>2077</v>
      </c>
      <c r="BT107" t="str">
        <f>HYPERLINK("https%3A%2F%2Fwww.webofscience.com%2Fwos%2Fwoscc%2Ffull-record%2FWOS:001108704200004","View Full Record in Web of Science")</f>
        <v>View Full Record in Web of Science</v>
      </c>
    </row>
    <row r="108" spans="1:72" x14ac:dyDescent="0.15">
      <c r="A108" t="s">
        <v>72</v>
      </c>
      <c r="B108" t="s">
        <v>2078</v>
      </c>
      <c r="C108" t="s">
        <v>74</v>
      </c>
      <c r="D108" t="s">
        <v>74</v>
      </c>
      <c r="E108" t="s">
        <v>74</v>
      </c>
      <c r="F108" t="s">
        <v>2079</v>
      </c>
      <c r="G108" t="s">
        <v>74</v>
      </c>
      <c r="H108" t="s">
        <v>74</v>
      </c>
      <c r="I108" t="s">
        <v>2080</v>
      </c>
      <c r="J108" t="s">
        <v>1805</v>
      </c>
      <c r="K108" t="s">
        <v>74</v>
      </c>
      <c r="L108" t="s">
        <v>74</v>
      </c>
      <c r="M108" t="s">
        <v>78</v>
      </c>
      <c r="N108" t="s">
        <v>79</v>
      </c>
      <c r="O108" t="s">
        <v>74</v>
      </c>
      <c r="P108" t="s">
        <v>74</v>
      </c>
      <c r="Q108" t="s">
        <v>74</v>
      </c>
      <c r="R108" t="s">
        <v>74</v>
      </c>
      <c r="S108" t="s">
        <v>74</v>
      </c>
      <c r="T108" t="s">
        <v>2081</v>
      </c>
      <c r="U108" t="s">
        <v>2082</v>
      </c>
      <c r="V108" t="s">
        <v>2083</v>
      </c>
      <c r="W108" t="s">
        <v>2084</v>
      </c>
      <c r="X108" t="s">
        <v>2085</v>
      </c>
      <c r="Y108" t="s">
        <v>2086</v>
      </c>
      <c r="Z108" t="s">
        <v>2087</v>
      </c>
      <c r="AA108" t="s">
        <v>2088</v>
      </c>
      <c r="AB108" t="s">
        <v>2089</v>
      </c>
      <c r="AC108" t="s">
        <v>2090</v>
      </c>
      <c r="AD108" t="s">
        <v>2091</v>
      </c>
      <c r="AE108" t="s">
        <v>2092</v>
      </c>
      <c r="AF108" t="s">
        <v>74</v>
      </c>
      <c r="AG108">
        <v>32</v>
      </c>
      <c r="AH108">
        <v>0</v>
      </c>
      <c r="AI108">
        <v>0</v>
      </c>
      <c r="AJ108">
        <v>1</v>
      </c>
      <c r="AK108">
        <v>1</v>
      </c>
      <c r="AL108" t="s">
        <v>1818</v>
      </c>
      <c r="AM108" t="s">
        <v>1819</v>
      </c>
      <c r="AN108" t="s">
        <v>1820</v>
      </c>
      <c r="AO108" t="s">
        <v>1821</v>
      </c>
      <c r="AP108" t="s">
        <v>1822</v>
      </c>
      <c r="AQ108" t="s">
        <v>74</v>
      </c>
      <c r="AR108" t="s">
        <v>1823</v>
      </c>
      <c r="AS108" t="s">
        <v>1824</v>
      </c>
      <c r="AT108" t="s">
        <v>74</v>
      </c>
      <c r="AU108">
        <v>2023</v>
      </c>
      <c r="AV108">
        <v>95</v>
      </c>
      <c r="AW108" t="s">
        <v>74</v>
      </c>
      <c r="AX108" t="s">
        <v>74</v>
      </c>
      <c r="AY108">
        <v>3</v>
      </c>
      <c r="AZ108" t="s">
        <v>74</v>
      </c>
      <c r="BA108" t="s">
        <v>74</v>
      </c>
      <c r="BB108" t="s">
        <v>74</v>
      </c>
      <c r="BC108" t="s">
        <v>74</v>
      </c>
      <c r="BD108" t="s">
        <v>2093</v>
      </c>
      <c r="BE108" t="s">
        <v>2094</v>
      </c>
      <c r="BF108" t="str">
        <f>HYPERLINK("http://dx.doi.org/10.1590/0001-3765202320230990","http://dx.doi.org/10.1590/0001-3765202320230990")</f>
        <v>http://dx.doi.org/10.1590/0001-3765202320230990</v>
      </c>
      <c r="BG108" t="s">
        <v>74</v>
      </c>
      <c r="BH108" t="s">
        <v>74</v>
      </c>
      <c r="BI108">
        <v>10</v>
      </c>
      <c r="BJ108" t="s">
        <v>189</v>
      </c>
      <c r="BK108" t="s">
        <v>104</v>
      </c>
      <c r="BL108" t="s">
        <v>190</v>
      </c>
      <c r="BM108" t="s">
        <v>2095</v>
      </c>
      <c r="BN108">
        <v>38126388</v>
      </c>
      <c r="BO108" t="s">
        <v>165</v>
      </c>
      <c r="BP108" t="s">
        <v>74</v>
      </c>
      <c r="BQ108" t="s">
        <v>74</v>
      </c>
      <c r="BR108" t="s">
        <v>108</v>
      </c>
      <c r="BS108" t="s">
        <v>2096</v>
      </c>
      <c r="BT108" t="str">
        <f>HYPERLINK("https%3A%2F%2Fwww.webofscience.com%2Fwos%2Fwoscc%2Ffull-record%2FWOS:001130836900001","View Full Record in Web of Science")</f>
        <v>View Full Record in Web of Science</v>
      </c>
    </row>
    <row r="109" spans="1:72" x14ac:dyDescent="0.15">
      <c r="A109" t="s">
        <v>72</v>
      </c>
      <c r="B109" t="s">
        <v>2097</v>
      </c>
      <c r="C109" t="s">
        <v>74</v>
      </c>
      <c r="D109" t="s">
        <v>74</v>
      </c>
      <c r="E109" t="s">
        <v>74</v>
      </c>
      <c r="F109" t="s">
        <v>2098</v>
      </c>
      <c r="G109" t="s">
        <v>74</v>
      </c>
      <c r="H109" t="s">
        <v>74</v>
      </c>
      <c r="I109" t="s">
        <v>2099</v>
      </c>
      <c r="J109" t="s">
        <v>2100</v>
      </c>
      <c r="K109" t="s">
        <v>74</v>
      </c>
      <c r="L109" t="s">
        <v>74</v>
      </c>
      <c r="M109" t="s">
        <v>78</v>
      </c>
      <c r="N109" t="s">
        <v>79</v>
      </c>
      <c r="O109" t="s">
        <v>74</v>
      </c>
      <c r="P109" t="s">
        <v>74</v>
      </c>
      <c r="Q109" t="s">
        <v>74</v>
      </c>
      <c r="R109" t="s">
        <v>74</v>
      </c>
      <c r="S109" t="s">
        <v>74</v>
      </c>
      <c r="T109" t="s">
        <v>2101</v>
      </c>
      <c r="U109" t="s">
        <v>2102</v>
      </c>
      <c r="V109" t="s">
        <v>2103</v>
      </c>
      <c r="W109" t="s">
        <v>2104</v>
      </c>
      <c r="X109" t="s">
        <v>909</v>
      </c>
      <c r="Y109" t="s">
        <v>2105</v>
      </c>
      <c r="Z109" t="s">
        <v>2106</v>
      </c>
      <c r="AA109" t="s">
        <v>74</v>
      </c>
      <c r="AB109" t="s">
        <v>2107</v>
      </c>
      <c r="AC109" t="s">
        <v>2108</v>
      </c>
      <c r="AD109" t="s">
        <v>2108</v>
      </c>
      <c r="AE109" t="s">
        <v>1742</v>
      </c>
      <c r="AF109" t="s">
        <v>74</v>
      </c>
      <c r="AG109">
        <v>49</v>
      </c>
      <c r="AH109">
        <v>0</v>
      </c>
      <c r="AI109">
        <v>0</v>
      </c>
      <c r="AJ109">
        <v>11</v>
      </c>
      <c r="AK109">
        <v>11</v>
      </c>
      <c r="AL109" t="s">
        <v>1743</v>
      </c>
      <c r="AM109" t="s">
        <v>1744</v>
      </c>
      <c r="AN109" t="s">
        <v>1745</v>
      </c>
      <c r="AO109" t="s">
        <v>2109</v>
      </c>
      <c r="AP109" t="s">
        <v>2110</v>
      </c>
      <c r="AQ109" t="s">
        <v>74</v>
      </c>
      <c r="AR109" t="s">
        <v>2111</v>
      </c>
      <c r="AS109" t="s">
        <v>2112</v>
      </c>
      <c r="AT109" t="s">
        <v>74</v>
      </c>
      <c r="AU109">
        <v>2023</v>
      </c>
      <c r="AV109">
        <v>16</v>
      </c>
      <c r="AW109" t="s">
        <v>74</v>
      </c>
      <c r="AX109" t="s">
        <v>74</v>
      </c>
      <c r="AY109" t="s">
        <v>74</v>
      </c>
      <c r="AZ109" t="s">
        <v>74</v>
      </c>
      <c r="BA109" t="s">
        <v>74</v>
      </c>
      <c r="BB109">
        <v>10359</v>
      </c>
      <c r="BC109">
        <v>10368</v>
      </c>
      <c r="BD109" t="s">
        <v>74</v>
      </c>
      <c r="BE109" t="s">
        <v>2113</v>
      </c>
      <c r="BF109" t="str">
        <f>HYPERLINK("http://dx.doi.org/10.1109/JSTARS.2023.3328056","http://dx.doi.org/10.1109/JSTARS.2023.3328056")</f>
        <v>http://dx.doi.org/10.1109/JSTARS.2023.3328056</v>
      </c>
      <c r="BG109" t="s">
        <v>74</v>
      </c>
      <c r="BH109" t="s">
        <v>74</v>
      </c>
      <c r="BI109">
        <v>10</v>
      </c>
      <c r="BJ109" t="s">
        <v>2114</v>
      </c>
      <c r="BK109" t="s">
        <v>104</v>
      </c>
      <c r="BL109" t="s">
        <v>2115</v>
      </c>
      <c r="BM109" t="s">
        <v>2116</v>
      </c>
      <c r="BN109" t="s">
        <v>74</v>
      </c>
      <c r="BO109" t="s">
        <v>165</v>
      </c>
      <c r="BP109" t="s">
        <v>74</v>
      </c>
      <c r="BQ109" t="s">
        <v>74</v>
      </c>
      <c r="BR109" t="s">
        <v>108</v>
      </c>
      <c r="BS109" t="s">
        <v>2117</v>
      </c>
      <c r="BT109" t="str">
        <f>HYPERLINK("https%3A%2F%2Fwww.webofscience.com%2Fwos%2Fwoscc%2Ffull-record%2FWOS:001123950300011","View Full Record in Web of Science")</f>
        <v>View Full Record in Web of Science</v>
      </c>
    </row>
    <row r="110" spans="1:72" x14ac:dyDescent="0.15">
      <c r="A110" t="s">
        <v>72</v>
      </c>
      <c r="B110" t="s">
        <v>2118</v>
      </c>
      <c r="C110" t="s">
        <v>74</v>
      </c>
      <c r="D110" t="s">
        <v>74</v>
      </c>
      <c r="E110" t="s">
        <v>74</v>
      </c>
      <c r="F110" t="s">
        <v>2119</v>
      </c>
      <c r="G110" t="s">
        <v>74</v>
      </c>
      <c r="H110" t="s">
        <v>74</v>
      </c>
      <c r="I110" t="s">
        <v>2120</v>
      </c>
      <c r="J110" t="s">
        <v>2121</v>
      </c>
      <c r="K110" t="s">
        <v>74</v>
      </c>
      <c r="L110" t="s">
        <v>74</v>
      </c>
      <c r="M110" t="s">
        <v>78</v>
      </c>
      <c r="N110" t="s">
        <v>79</v>
      </c>
      <c r="O110" t="s">
        <v>74</v>
      </c>
      <c r="P110" t="s">
        <v>74</v>
      </c>
      <c r="Q110" t="s">
        <v>74</v>
      </c>
      <c r="R110" t="s">
        <v>74</v>
      </c>
      <c r="S110" t="s">
        <v>74</v>
      </c>
      <c r="T110" t="s">
        <v>2122</v>
      </c>
      <c r="U110" t="s">
        <v>74</v>
      </c>
      <c r="V110" t="s">
        <v>2123</v>
      </c>
      <c r="W110" t="s">
        <v>2124</v>
      </c>
      <c r="X110" t="s">
        <v>778</v>
      </c>
      <c r="Y110" t="s">
        <v>2125</v>
      </c>
      <c r="Z110" t="s">
        <v>74</v>
      </c>
      <c r="AA110" t="s">
        <v>74</v>
      </c>
      <c r="AB110" t="s">
        <v>74</v>
      </c>
      <c r="AC110" t="s">
        <v>74</v>
      </c>
      <c r="AD110" t="s">
        <v>74</v>
      </c>
      <c r="AE110" t="s">
        <v>74</v>
      </c>
      <c r="AF110" t="s">
        <v>74</v>
      </c>
      <c r="AG110">
        <v>26</v>
      </c>
      <c r="AH110">
        <v>0</v>
      </c>
      <c r="AI110">
        <v>0</v>
      </c>
      <c r="AJ110">
        <v>1</v>
      </c>
      <c r="AK110">
        <v>1</v>
      </c>
      <c r="AL110" t="s">
        <v>2126</v>
      </c>
      <c r="AM110" t="s">
        <v>1393</v>
      </c>
      <c r="AN110" t="s">
        <v>2127</v>
      </c>
      <c r="AO110" t="s">
        <v>2128</v>
      </c>
      <c r="AP110" t="s">
        <v>74</v>
      </c>
      <c r="AQ110" t="s">
        <v>74</v>
      </c>
      <c r="AR110" t="s">
        <v>2129</v>
      </c>
      <c r="AS110" t="s">
        <v>2130</v>
      </c>
      <c r="AT110" t="s">
        <v>74</v>
      </c>
      <c r="AU110">
        <v>2023</v>
      </c>
      <c r="AV110">
        <v>14</v>
      </c>
      <c r="AW110">
        <v>8</v>
      </c>
      <c r="AX110" t="s">
        <v>74</v>
      </c>
      <c r="AY110" t="s">
        <v>74</v>
      </c>
      <c r="AZ110" t="s">
        <v>74</v>
      </c>
      <c r="BA110" t="s">
        <v>74</v>
      </c>
      <c r="BB110" t="s">
        <v>74</v>
      </c>
      <c r="BC110" t="s">
        <v>74</v>
      </c>
      <c r="BD110">
        <v>278032</v>
      </c>
      <c r="BE110" t="s">
        <v>2131</v>
      </c>
      <c r="BF110" t="str">
        <f>HYPERLINK("http://dx.doi.org/10.18254/S207987840027803-2","http://dx.doi.org/10.18254/S207987840027803-2")</f>
        <v>http://dx.doi.org/10.18254/S207987840027803-2</v>
      </c>
      <c r="BG110" t="s">
        <v>74</v>
      </c>
      <c r="BH110" t="s">
        <v>74</v>
      </c>
      <c r="BI110">
        <v>15</v>
      </c>
      <c r="BJ110" t="s">
        <v>2132</v>
      </c>
      <c r="BK110" t="s">
        <v>757</v>
      </c>
      <c r="BL110" t="s">
        <v>2132</v>
      </c>
      <c r="BM110" t="s">
        <v>2133</v>
      </c>
      <c r="BN110" t="s">
        <v>74</v>
      </c>
      <c r="BO110" t="s">
        <v>1279</v>
      </c>
      <c r="BP110" t="s">
        <v>74</v>
      </c>
      <c r="BQ110" t="s">
        <v>74</v>
      </c>
      <c r="BR110" t="s">
        <v>108</v>
      </c>
      <c r="BS110" t="s">
        <v>2134</v>
      </c>
      <c r="BT110" t="str">
        <f>HYPERLINK("https%3A%2F%2Fwww.webofscience.com%2Fwos%2Fwoscc%2Ffull-record%2FWOS:001107463600011","View Full Record in Web of Science")</f>
        <v>View Full Record in Web of Science</v>
      </c>
    </row>
    <row r="111" spans="1:72" x14ac:dyDescent="0.15">
      <c r="A111" t="s">
        <v>72</v>
      </c>
      <c r="B111" t="s">
        <v>2135</v>
      </c>
      <c r="C111" t="s">
        <v>74</v>
      </c>
      <c r="D111" t="s">
        <v>74</v>
      </c>
      <c r="E111" t="s">
        <v>74</v>
      </c>
      <c r="F111" t="s">
        <v>2136</v>
      </c>
      <c r="G111" t="s">
        <v>74</v>
      </c>
      <c r="H111" t="s">
        <v>74</v>
      </c>
      <c r="I111" t="s">
        <v>2137</v>
      </c>
      <c r="J111" t="s">
        <v>1805</v>
      </c>
      <c r="K111" t="s">
        <v>74</v>
      </c>
      <c r="L111" t="s">
        <v>74</v>
      </c>
      <c r="M111" t="s">
        <v>78</v>
      </c>
      <c r="N111" t="s">
        <v>79</v>
      </c>
      <c r="O111" t="s">
        <v>74</v>
      </c>
      <c r="P111" t="s">
        <v>74</v>
      </c>
      <c r="Q111" t="s">
        <v>74</v>
      </c>
      <c r="R111" t="s">
        <v>74</v>
      </c>
      <c r="S111" t="s">
        <v>74</v>
      </c>
      <c r="T111" t="s">
        <v>2138</v>
      </c>
      <c r="U111" t="s">
        <v>2139</v>
      </c>
      <c r="V111" t="s">
        <v>2140</v>
      </c>
      <c r="W111" t="s">
        <v>2141</v>
      </c>
      <c r="X111" t="s">
        <v>2142</v>
      </c>
      <c r="Y111" t="s">
        <v>2143</v>
      </c>
      <c r="Z111" t="s">
        <v>2144</v>
      </c>
      <c r="AA111" t="s">
        <v>2145</v>
      </c>
      <c r="AB111" t="s">
        <v>2146</v>
      </c>
      <c r="AC111" t="s">
        <v>74</v>
      </c>
      <c r="AD111" t="s">
        <v>74</v>
      </c>
      <c r="AE111" t="s">
        <v>74</v>
      </c>
      <c r="AF111" t="s">
        <v>74</v>
      </c>
      <c r="AG111">
        <v>32</v>
      </c>
      <c r="AH111">
        <v>0</v>
      </c>
      <c r="AI111">
        <v>0</v>
      </c>
      <c r="AJ111">
        <v>0</v>
      </c>
      <c r="AK111">
        <v>0</v>
      </c>
      <c r="AL111" t="s">
        <v>1818</v>
      </c>
      <c r="AM111" t="s">
        <v>1819</v>
      </c>
      <c r="AN111" t="s">
        <v>1820</v>
      </c>
      <c r="AO111" t="s">
        <v>1821</v>
      </c>
      <c r="AP111" t="s">
        <v>1822</v>
      </c>
      <c r="AQ111" t="s">
        <v>74</v>
      </c>
      <c r="AR111" t="s">
        <v>1823</v>
      </c>
      <c r="AS111" t="s">
        <v>1824</v>
      </c>
      <c r="AT111" t="s">
        <v>74</v>
      </c>
      <c r="AU111">
        <v>2023</v>
      </c>
      <c r="AV111">
        <v>95</v>
      </c>
      <c r="AW111" t="s">
        <v>74</v>
      </c>
      <c r="AX111" t="s">
        <v>74</v>
      </c>
      <c r="AY111">
        <v>3</v>
      </c>
      <c r="AZ111" t="s">
        <v>74</v>
      </c>
      <c r="BA111" t="s">
        <v>74</v>
      </c>
      <c r="BB111" t="s">
        <v>74</v>
      </c>
      <c r="BC111" t="s">
        <v>74</v>
      </c>
      <c r="BD111" t="s">
        <v>2147</v>
      </c>
      <c r="BE111" t="s">
        <v>2148</v>
      </c>
      <c r="BF111" t="str">
        <f>HYPERLINK("http://dx.doi.org/10.1590/0001-3765202320230732","http://dx.doi.org/10.1590/0001-3765202320230732")</f>
        <v>http://dx.doi.org/10.1590/0001-3765202320230732</v>
      </c>
      <c r="BG111" t="s">
        <v>74</v>
      </c>
      <c r="BH111" t="s">
        <v>74</v>
      </c>
      <c r="BI111">
        <v>19</v>
      </c>
      <c r="BJ111" t="s">
        <v>189</v>
      </c>
      <c r="BK111" t="s">
        <v>104</v>
      </c>
      <c r="BL111" t="s">
        <v>190</v>
      </c>
      <c r="BM111" t="s">
        <v>2149</v>
      </c>
      <c r="BN111">
        <v>38126385</v>
      </c>
      <c r="BO111" t="s">
        <v>165</v>
      </c>
      <c r="BP111" t="s">
        <v>74</v>
      </c>
      <c r="BQ111" t="s">
        <v>74</v>
      </c>
      <c r="BR111" t="s">
        <v>108</v>
      </c>
      <c r="BS111" t="s">
        <v>2150</v>
      </c>
      <c r="BT111" t="str">
        <f>HYPERLINK("https%3A%2F%2Fwww.webofscience.com%2Fwos%2Fwoscc%2Ffull-record%2FWOS:001130906800001","View Full Record in Web of Science")</f>
        <v>View Full Record in Web of Science</v>
      </c>
    </row>
    <row r="112" spans="1:72" x14ac:dyDescent="0.15">
      <c r="A112" t="s">
        <v>72</v>
      </c>
      <c r="B112" t="s">
        <v>2151</v>
      </c>
      <c r="C112" t="s">
        <v>74</v>
      </c>
      <c r="D112" t="s">
        <v>74</v>
      </c>
      <c r="E112" t="s">
        <v>74</v>
      </c>
      <c r="F112" t="s">
        <v>2152</v>
      </c>
      <c r="G112" t="s">
        <v>74</v>
      </c>
      <c r="H112" t="s">
        <v>74</v>
      </c>
      <c r="I112" t="s">
        <v>2153</v>
      </c>
      <c r="J112" t="s">
        <v>1805</v>
      </c>
      <c r="K112" t="s">
        <v>74</v>
      </c>
      <c r="L112" t="s">
        <v>74</v>
      </c>
      <c r="M112" t="s">
        <v>78</v>
      </c>
      <c r="N112" t="s">
        <v>79</v>
      </c>
      <c r="O112" t="s">
        <v>74</v>
      </c>
      <c r="P112" t="s">
        <v>74</v>
      </c>
      <c r="Q112" t="s">
        <v>74</v>
      </c>
      <c r="R112" t="s">
        <v>74</v>
      </c>
      <c r="S112" t="s">
        <v>74</v>
      </c>
      <c r="T112" t="s">
        <v>2154</v>
      </c>
      <c r="U112" t="s">
        <v>2155</v>
      </c>
      <c r="V112" t="s">
        <v>2156</v>
      </c>
      <c r="W112" t="s">
        <v>2157</v>
      </c>
      <c r="X112" t="s">
        <v>2158</v>
      </c>
      <c r="Y112" t="s">
        <v>2159</v>
      </c>
      <c r="Z112" t="s">
        <v>2160</v>
      </c>
      <c r="AA112" t="s">
        <v>2161</v>
      </c>
      <c r="AB112" t="s">
        <v>2162</v>
      </c>
      <c r="AC112" t="s">
        <v>2163</v>
      </c>
      <c r="AD112" t="s">
        <v>2164</v>
      </c>
      <c r="AE112" t="s">
        <v>2165</v>
      </c>
      <c r="AF112" t="s">
        <v>74</v>
      </c>
      <c r="AG112">
        <v>32</v>
      </c>
      <c r="AH112">
        <v>0</v>
      </c>
      <c r="AI112">
        <v>0</v>
      </c>
      <c r="AJ112">
        <v>2</v>
      </c>
      <c r="AK112">
        <v>2</v>
      </c>
      <c r="AL112" t="s">
        <v>1818</v>
      </c>
      <c r="AM112" t="s">
        <v>1819</v>
      </c>
      <c r="AN112" t="s">
        <v>1820</v>
      </c>
      <c r="AO112" t="s">
        <v>1821</v>
      </c>
      <c r="AP112" t="s">
        <v>1822</v>
      </c>
      <c r="AQ112" t="s">
        <v>74</v>
      </c>
      <c r="AR112" t="s">
        <v>1823</v>
      </c>
      <c r="AS112" t="s">
        <v>1824</v>
      </c>
      <c r="AT112" t="s">
        <v>74</v>
      </c>
      <c r="AU112">
        <v>2023</v>
      </c>
      <c r="AV112">
        <v>95</v>
      </c>
      <c r="AW112" t="s">
        <v>74</v>
      </c>
      <c r="AX112" t="s">
        <v>74</v>
      </c>
      <c r="AY112">
        <v>3</v>
      </c>
      <c r="AZ112" t="s">
        <v>74</v>
      </c>
      <c r="BA112" t="s">
        <v>74</v>
      </c>
      <c r="BB112" t="s">
        <v>74</v>
      </c>
      <c r="BC112" t="s">
        <v>74</v>
      </c>
      <c r="BD112" t="s">
        <v>2166</v>
      </c>
      <c r="BE112" t="s">
        <v>2167</v>
      </c>
      <c r="BF112" t="str">
        <f>HYPERLINK("http://dx.doi.org/10.1590/0001-3765202320230181","http://dx.doi.org/10.1590/0001-3765202320230181")</f>
        <v>http://dx.doi.org/10.1590/0001-3765202320230181</v>
      </c>
      <c r="BG112" t="s">
        <v>74</v>
      </c>
      <c r="BH112" t="s">
        <v>74</v>
      </c>
      <c r="BI112">
        <v>21</v>
      </c>
      <c r="BJ112" t="s">
        <v>189</v>
      </c>
      <c r="BK112" t="s">
        <v>104</v>
      </c>
      <c r="BL112" t="s">
        <v>190</v>
      </c>
      <c r="BM112" t="s">
        <v>2168</v>
      </c>
      <c r="BN112">
        <v>38126379</v>
      </c>
      <c r="BO112" t="s">
        <v>165</v>
      </c>
      <c r="BP112" t="s">
        <v>74</v>
      </c>
      <c r="BQ112" t="s">
        <v>74</v>
      </c>
      <c r="BR112" t="s">
        <v>108</v>
      </c>
      <c r="BS112" t="s">
        <v>2169</v>
      </c>
      <c r="BT112" t="str">
        <f>HYPERLINK("https%3A%2F%2Fwww.webofscience.com%2Fwos%2Fwoscc%2Ffull-record%2FWOS:001130845300001","View Full Record in Web of Science")</f>
        <v>View Full Record in Web of Science</v>
      </c>
    </row>
    <row r="113" spans="1:72" x14ac:dyDescent="0.15">
      <c r="A113" t="s">
        <v>72</v>
      </c>
      <c r="B113" t="s">
        <v>2170</v>
      </c>
      <c r="C113" t="s">
        <v>74</v>
      </c>
      <c r="D113" t="s">
        <v>74</v>
      </c>
      <c r="E113" t="s">
        <v>74</v>
      </c>
      <c r="F113" t="s">
        <v>2171</v>
      </c>
      <c r="G113" t="s">
        <v>74</v>
      </c>
      <c r="H113" t="s">
        <v>74</v>
      </c>
      <c r="I113" t="s">
        <v>2172</v>
      </c>
      <c r="J113" t="s">
        <v>1805</v>
      </c>
      <c r="K113" t="s">
        <v>74</v>
      </c>
      <c r="L113" t="s">
        <v>74</v>
      </c>
      <c r="M113" t="s">
        <v>78</v>
      </c>
      <c r="N113" t="s">
        <v>79</v>
      </c>
      <c r="O113" t="s">
        <v>74</v>
      </c>
      <c r="P113" t="s">
        <v>74</v>
      </c>
      <c r="Q113" t="s">
        <v>74</v>
      </c>
      <c r="R113" t="s">
        <v>74</v>
      </c>
      <c r="S113" t="s">
        <v>74</v>
      </c>
      <c r="T113" t="s">
        <v>2173</v>
      </c>
      <c r="U113" t="s">
        <v>2174</v>
      </c>
      <c r="V113" t="s">
        <v>2175</v>
      </c>
      <c r="W113" t="s">
        <v>2176</v>
      </c>
      <c r="X113" t="s">
        <v>2177</v>
      </c>
      <c r="Y113" t="s">
        <v>2178</v>
      </c>
      <c r="Z113" t="s">
        <v>2179</v>
      </c>
      <c r="AA113" t="s">
        <v>74</v>
      </c>
      <c r="AB113" t="s">
        <v>2180</v>
      </c>
      <c r="AC113" t="s">
        <v>2181</v>
      </c>
      <c r="AD113" t="s">
        <v>2182</v>
      </c>
      <c r="AE113" t="s">
        <v>2183</v>
      </c>
      <c r="AF113" t="s">
        <v>74</v>
      </c>
      <c r="AG113">
        <v>36</v>
      </c>
      <c r="AH113">
        <v>0</v>
      </c>
      <c r="AI113">
        <v>0</v>
      </c>
      <c r="AJ113">
        <v>2</v>
      </c>
      <c r="AK113">
        <v>2</v>
      </c>
      <c r="AL113" t="s">
        <v>1818</v>
      </c>
      <c r="AM113" t="s">
        <v>1819</v>
      </c>
      <c r="AN113" t="s">
        <v>1820</v>
      </c>
      <c r="AO113" t="s">
        <v>1821</v>
      </c>
      <c r="AP113" t="s">
        <v>1822</v>
      </c>
      <c r="AQ113" t="s">
        <v>74</v>
      </c>
      <c r="AR113" t="s">
        <v>1823</v>
      </c>
      <c r="AS113" t="s">
        <v>1824</v>
      </c>
      <c r="AT113" t="s">
        <v>74</v>
      </c>
      <c r="AU113">
        <v>2023</v>
      </c>
      <c r="AV113">
        <v>95</v>
      </c>
      <c r="AW113" t="s">
        <v>74</v>
      </c>
      <c r="AX113" t="s">
        <v>74</v>
      </c>
      <c r="AY113">
        <v>3</v>
      </c>
      <c r="AZ113" t="s">
        <v>74</v>
      </c>
      <c r="BA113" t="s">
        <v>74</v>
      </c>
      <c r="BB113" t="s">
        <v>74</v>
      </c>
      <c r="BC113" t="s">
        <v>74</v>
      </c>
      <c r="BD113" t="s">
        <v>2184</v>
      </c>
      <c r="BE113" t="s">
        <v>2185</v>
      </c>
      <c r="BF113" t="str">
        <f>HYPERLINK("http://dx.doi.org/10.1590/0001-3765202320230685","http://dx.doi.org/10.1590/0001-3765202320230685")</f>
        <v>http://dx.doi.org/10.1590/0001-3765202320230685</v>
      </c>
      <c r="BG113" t="s">
        <v>74</v>
      </c>
      <c r="BH113" t="s">
        <v>74</v>
      </c>
      <c r="BI113">
        <v>17</v>
      </c>
      <c r="BJ113" t="s">
        <v>189</v>
      </c>
      <c r="BK113" t="s">
        <v>104</v>
      </c>
      <c r="BL113" t="s">
        <v>190</v>
      </c>
      <c r="BM113" t="s">
        <v>2186</v>
      </c>
      <c r="BN113">
        <v>38126382</v>
      </c>
      <c r="BO113" t="s">
        <v>165</v>
      </c>
      <c r="BP113" t="s">
        <v>74</v>
      </c>
      <c r="BQ113" t="s">
        <v>74</v>
      </c>
      <c r="BR113" t="s">
        <v>108</v>
      </c>
      <c r="BS113" t="s">
        <v>2187</v>
      </c>
      <c r="BT113" t="str">
        <f>HYPERLINK("https%3A%2F%2Fwww.webofscience.com%2Fwos%2Fwoscc%2Ffull-record%2FWOS:001132445900001","View Full Record in Web of Science")</f>
        <v>View Full Record in Web of Science</v>
      </c>
    </row>
    <row r="114" spans="1:72" x14ac:dyDescent="0.15">
      <c r="A114" t="s">
        <v>943</v>
      </c>
      <c r="B114" t="s">
        <v>2188</v>
      </c>
      <c r="C114" t="s">
        <v>2188</v>
      </c>
      <c r="D114" t="s">
        <v>74</v>
      </c>
      <c r="E114" t="s">
        <v>74</v>
      </c>
      <c r="F114" t="s">
        <v>2189</v>
      </c>
      <c r="G114" t="s">
        <v>2188</v>
      </c>
      <c r="H114" t="s">
        <v>74</v>
      </c>
      <c r="I114" t="s">
        <v>2190</v>
      </c>
      <c r="J114" t="s">
        <v>2191</v>
      </c>
      <c r="K114" t="s">
        <v>2192</v>
      </c>
      <c r="L114" t="s">
        <v>74</v>
      </c>
      <c r="M114" t="s">
        <v>78</v>
      </c>
      <c r="N114" t="s">
        <v>950</v>
      </c>
      <c r="O114" t="s">
        <v>74</v>
      </c>
      <c r="P114" t="s">
        <v>74</v>
      </c>
      <c r="Q114" t="s">
        <v>74</v>
      </c>
      <c r="R114" t="s">
        <v>74</v>
      </c>
      <c r="S114" t="s">
        <v>74</v>
      </c>
      <c r="T114" t="s">
        <v>74</v>
      </c>
      <c r="U114" t="s">
        <v>74</v>
      </c>
      <c r="V114" t="s">
        <v>74</v>
      </c>
      <c r="W114" t="s">
        <v>74</v>
      </c>
      <c r="X114" t="s">
        <v>74</v>
      </c>
      <c r="Y114" t="s">
        <v>74</v>
      </c>
      <c r="Z114" t="s">
        <v>74</v>
      </c>
      <c r="AA114" t="s">
        <v>74</v>
      </c>
      <c r="AB114" t="s">
        <v>74</v>
      </c>
      <c r="AC114" t="s">
        <v>74</v>
      </c>
      <c r="AD114" t="s">
        <v>74</v>
      </c>
      <c r="AE114" t="s">
        <v>74</v>
      </c>
      <c r="AF114" t="s">
        <v>74</v>
      </c>
      <c r="AG114">
        <v>0</v>
      </c>
      <c r="AH114">
        <v>0</v>
      </c>
      <c r="AI114">
        <v>0</v>
      </c>
      <c r="AJ114">
        <v>0</v>
      </c>
      <c r="AK114">
        <v>0</v>
      </c>
      <c r="AL114" t="s">
        <v>2193</v>
      </c>
      <c r="AM114" t="s">
        <v>2194</v>
      </c>
      <c r="AN114" t="s">
        <v>2195</v>
      </c>
      <c r="AO114" t="s">
        <v>74</v>
      </c>
      <c r="AP114" t="s">
        <v>74</v>
      </c>
      <c r="AQ114" t="s">
        <v>2196</v>
      </c>
      <c r="AR114" t="s">
        <v>2192</v>
      </c>
      <c r="AS114" t="s">
        <v>74</v>
      </c>
      <c r="AT114" t="s">
        <v>74</v>
      </c>
      <c r="AU114">
        <v>2023</v>
      </c>
      <c r="AV114" t="s">
        <v>74</v>
      </c>
      <c r="AW114" t="s">
        <v>74</v>
      </c>
      <c r="AX114" t="s">
        <v>74</v>
      </c>
      <c r="AY114" t="s">
        <v>74</v>
      </c>
      <c r="AZ114" t="s">
        <v>74</v>
      </c>
      <c r="BA114" t="s">
        <v>74</v>
      </c>
      <c r="BB114">
        <v>53</v>
      </c>
      <c r="BC114">
        <v>75</v>
      </c>
      <c r="BD114" t="s">
        <v>74</v>
      </c>
      <c r="BE114" t="s">
        <v>74</v>
      </c>
      <c r="BF114" t="s">
        <v>74</v>
      </c>
      <c r="BG114" t="s">
        <v>74</v>
      </c>
      <c r="BH114" t="s">
        <v>74</v>
      </c>
      <c r="BI114">
        <v>23</v>
      </c>
      <c r="BJ114" t="s">
        <v>2197</v>
      </c>
      <c r="BK114" t="s">
        <v>2198</v>
      </c>
      <c r="BL114" t="s">
        <v>2199</v>
      </c>
      <c r="BM114" t="s">
        <v>2200</v>
      </c>
      <c r="BN114" t="s">
        <v>74</v>
      </c>
      <c r="BO114" t="s">
        <v>74</v>
      </c>
      <c r="BP114" t="s">
        <v>74</v>
      </c>
      <c r="BQ114" t="s">
        <v>74</v>
      </c>
      <c r="BR114" t="s">
        <v>108</v>
      </c>
      <c r="BS114" t="s">
        <v>2201</v>
      </c>
      <c r="BT114" t="str">
        <f>HYPERLINK("https%3A%2F%2Fwww.webofscience.com%2Fwos%2Fwoscc%2Ffull-record%2FWOS:001117216500004","View Full Record in Web of Science")</f>
        <v>View Full Record in Web of Science</v>
      </c>
    </row>
    <row r="115" spans="1:72" x14ac:dyDescent="0.15">
      <c r="A115" t="s">
        <v>72</v>
      </c>
      <c r="B115" t="s">
        <v>2202</v>
      </c>
      <c r="C115" t="s">
        <v>74</v>
      </c>
      <c r="D115" t="s">
        <v>74</v>
      </c>
      <c r="E115" t="s">
        <v>74</v>
      </c>
      <c r="F115" t="s">
        <v>2203</v>
      </c>
      <c r="G115" t="s">
        <v>74</v>
      </c>
      <c r="H115" t="s">
        <v>74</v>
      </c>
      <c r="I115" t="s">
        <v>2204</v>
      </c>
      <c r="J115" t="s">
        <v>2205</v>
      </c>
      <c r="K115" t="s">
        <v>74</v>
      </c>
      <c r="L115" t="s">
        <v>74</v>
      </c>
      <c r="M115" t="s">
        <v>78</v>
      </c>
      <c r="N115" t="s">
        <v>869</v>
      </c>
      <c r="O115" t="s">
        <v>74</v>
      </c>
      <c r="P115" t="s">
        <v>74</v>
      </c>
      <c r="Q115" t="s">
        <v>74</v>
      </c>
      <c r="R115" t="s">
        <v>74</v>
      </c>
      <c r="S115" t="s">
        <v>74</v>
      </c>
      <c r="T115" t="s">
        <v>74</v>
      </c>
      <c r="U115" t="s">
        <v>74</v>
      </c>
      <c r="V115" t="s">
        <v>74</v>
      </c>
      <c r="W115" t="s">
        <v>2206</v>
      </c>
      <c r="X115" t="s">
        <v>2207</v>
      </c>
      <c r="Y115" t="s">
        <v>2208</v>
      </c>
      <c r="Z115" t="s">
        <v>74</v>
      </c>
      <c r="AA115" t="s">
        <v>74</v>
      </c>
      <c r="AB115" t="s">
        <v>74</v>
      </c>
      <c r="AC115" t="s">
        <v>74</v>
      </c>
      <c r="AD115" t="s">
        <v>74</v>
      </c>
      <c r="AE115" t="s">
        <v>74</v>
      </c>
      <c r="AF115" t="s">
        <v>74</v>
      </c>
      <c r="AG115">
        <v>1</v>
      </c>
      <c r="AH115">
        <v>0</v>
      </c>
      <c r="AI115">
        <v>0</v>
      </c>
      <c r="AJ115">
        <v>0</v>
      </c>
      <c r="AK115">
        <v>0</v>
      </c>
      <c r="AL115" t="s">
        <v>2209</v>
      </c>
      <c r="AM115" t="s">
        <v>2210</v>
      </c>
      <c r="AN115" t="s">
        <v>2211</v>
      </c>
      <c r="AO115" t="s">
        <v>2212</v>
      </c>
      <c r="AP115" t="s">
        <v>2213</v>
      </c>
      <c r="AQ115" t="s">
        <v>74</v>
      </c>
      <c r="AR115" t="s">
        <v>2214</v>
      </c>
      <c r="AS115" t="s">
        <v>2215</v>
      </c>
      <c r="AT115" t="s">
        <v>74</v>
      </c>
      <c r="AU115">
        <v>2023</v>
      </c>
      <c r="AV115">
        <v>95</v>
      </c>
      <c r="AW115">
        <v>4</v>
      </c>
      <c r="AX115" t="s">
        <v>74</v>
      </c>
      <c r="AY115" t="s">
        <v>74</v>
      </c>
      <c r="AZ115" t="s">
        <v>74</v>
      </c>
      <c r="BA115" t="s">
        <v>74</v>
      </c>
      <c r="BB115">
        <v>540</v>
      </c>
      <c r="BC115" t="s">
        <v>351</v>
      </c>
      <c r="BD115" t="s">
        <v>74</v>
      </c>
      <c r="BE115" t="s">
        <v>74</v>
      </c>
      <c r="BF115" t="s">
        <v>74</v>
      </c>
      <c r="BG115" t="s">
        <v>74</v>
      </c>
      <c r="BH115" t="s">
        <v>74</v>
      </c>
      <c r="BI115">
        <v>5</v>
      </c>
      <c r="BJ115" t="s">
        <v>2216</v>
      </c>
      <c r="BK115" t="s">
        <v>2217</v>
      </c>
      <c r="BL115" t="s">
        <v>2218</v>
      </c>
      <c r="BM115" t="s">
        <v>2219</v>
      </c>
      <c r="BN115" t="s">
        <v>74</v>
      </c>
      <c r="BO115" t="s">
        <v>74</v>
      </c>
      <c r="BP115" t="s">
        <v>74</v>
      </c>
      <c r="BQ115" t="s">
        <v>74</v>
      </c>
      <c r="BR115" t="s">
        <v>108</v>
      </c>
      <c r="BS115" t="s">
        <v>2220</v>
      </c>
      <c r="BT115" t="str">
        <f>HYPERLINK("https%3A%2F%2Fwww.webofscience.com%2Fwos%2Fwoscc%2Ffull-record%2FWOS:001123692100009","View Full Record in Web of Science")</f>
        <v>View Full Record in Web of Science</v>
      </c>
    </row>
    <row r="116" spans="1:72" x14ac:dyDescent="0.15">
      <c r="A116" t="s">
        <v>72</v>
      </c>
      <c r="B116" t="s">
        <v>2221</v>
      </c>
      <c r="C116" t="s">
        <v>74</v>
      </c>
      <c r="D116" t="s">
        <v>74</v>
      </c>
      <c r="E116" t="s">
        <v>74</v>
      </c>
      <c r="F116" t="s">
        <v>2222</v>
      </c>
      <c r="G116" t="s">
        <v>74</v>
      </c>
      <c r="H116" t="s">
        <v>74</v>
      </c>
      <c r="I116" t="s">
        <v>2223</v>
      </c>
      <c r="J116" t="s">
        <v>2224</v>
      </c>
      <c r="K116" t="s">
        <v>74</v>
      </c>
      <c r="L116" t="s">
        <v>74</v>
      </c>
      <c r="M116" t="s">
        <v>1384</v>
      </c>
      <c r="N116" t="s">
        <v>79</v>
      </c>
      <c r="O116" t="s">
        <v>74</v>
      </c>
      <c r="P116" t="s">
        <v>74</v>
      </c>
      <c r="Q116" t="s">
        <v>74</v>
      </c>
      <c r="R116" t="s">
        <v>74</v>
      </c>
      <c r="S116" t="s">
        <v>74</v>
      </c>
      <c r="T116" t="s">
        <v>2225</v>
      </c>
      <c r="U116" t="s">
        <v>2226</v>
      </c>
      <c r="V116" t="s">
        <v>2227</v>
      </c>
      <c r="W116" t="s">
        <v>2228</v>
      </c>
      <c r="X116" t="s">
        <v>2229</v>
      </c>
      <c r="Y116" t="s">
        <v>2230</v>
      </c>
      <c r="Z116" t="s">
        <v>2231</v>
      </c>
      <c r="AA116" t="s">
        <v>2232</v>
      </c>
      <c r="AB116" t="s">
        <v>2233</v>
      </c>
      <c r="AC116" t="s">
        <v>74</v>
      </c>
      <c r="AD116" t="s">
        <v>74</v>
      </c>
      <c r="AE116" t="s">
        <v>74</v>
      </c>
      <c r="AF116" t="s">
        <v>74</v>
      </c>
      <c r="AG116">
        <v>55</v>
      </c>
      <c r="AH116">
        <v>0</v>
      </c>
      <c r="AI116">
        <v>0</v>
      </c>
      <c r="AJ116">
        <v>0</v>
      </c>
      <c r="AK116">
        <v>0</v>
      </c>
      <c r="AL116" t="s">
        <v>2234</v>
      </c>
      <c r="AM116" t="s">
        <v>1372</v>
      </c>
      <c r="AN116" t="s">
        <v>2235</v>
      </c>
      <c r="AO116" t="s">
        <v>2236</v>
      </c>
      <c r="AP116" t="s">
        <v>2237</v>
      </c>
      <c r="AQ116" t="s">
        <v>74</v>
      </c>
      <c r="AR116" t="s">
        <v>2238</v>
      </c>
      <c r="AS116" t="s">
        <v>2239</v>
      </c>
      <c r="AT116" t="s">
        <v>74</v>
      </c>
      <c r="AU116">
        <v>2023</v>
      </c>
      <c r="AV116">
        <v>31</v>
      </c>
      <c r="AW116">
        <v>5</v>
      </c>
      <c r="AX116" t="s">
        <v>74</v>
      </c>
      <c r="AY116" t="s">
        <v>2240</v>
      </c>
      <c r="AZ116" t="s">
        <v>74</v>
      </c>
      <c r="BA116" t="s">
        <v>74</v>
      </c>
      <c r="BB116">
        <v>9</v>
      </c>
      <c r="BC116">
        <v>23</v>
      </c>
      <c r="BD116" t="s">
        <v>74</v>
      </c>
      <c r="BE116" t="s">
        <v>2241</v>
      </c>
      <c r="BF116" t="str">
        <f>HYPERLINK("http://dx.doi.org/10.53656/str2023-5s-1-nee","http://dx.doi.org/10.53656/str2023-5s-1-nee")</f>
        <v>http://dx.doi.org/10.53656/str2023-5s-1-nee</v>
      </c>
      <c r="BG116" t="s">
        <v>74</v>
      </c>
      <c r="BH116" t="s">
        <v>74</v>
      </c>
      <c r="BI116">
        <v>15</v>
      </c>
      <c r="BJ116" t="s">
        <v>2242</v>
      </c>
      <c r="BK116" t="s">
        <v>757</v>
      </c>
      <c r="BL116" t="s">
        <v>2242</v>
      </c>
      <c r="BM116" t="s">
        <v>2243</v>
      </c>
      <c r="BN116" t="s">
        <v>74</v>
      </c>
      <c r="BO116" t="s">
        <v>660</v>
      </c>
      <c r="BP116" t="s">
        <v>74</v>
      </c>
      <c r="BQ116" t="s">
        <v>74</v>
      </c>
      <c r="BR116" t="s">
        <v>108</v>
      </c>
      <c r="BS116" t="s">
        <v>2244</v>
      </c>
      <c r="BT116" t="str">
        <f>HYPERLINK("https%3A%2F%2Fwww.webofscience.com%2Fwos%2Fwoscc%2Ffull-record%2FWOS:001124761400001","View Full Record in Web of Science")</f>
        <v>View Full Record in Web of Science</v>
      </c>
    </row>
    <row r="117" spans="1:72" x14ac:dyDescent="0.15">
      <c r="A117" t="s">
        <v>72</v>
      </c>
      <c r="B117" t="s">
        <v>2245</v>
      </c>
      <c r="C117" t="s">
        <v>74</v>
      </c>
      <c r="D117" t="s">
        <v>74</v>
      </c>
      <c r="E117" t="s">
        <v>74</v>
      </c>
      <c r="F117" t="s">
        <v>2246</v>
      </c>
      <c r="G117" t="s">
        <v>74</v>
      </c>
      <c r="H117" t="s">
        <v>74</v>
      </c>
      <c r="I117" t="s">
        <v>2247</v>
      </c>
      <c r="J117" t="s">
        <v>2248</v>
      </c>
      <c r="K117" t="s">
        <v>74</v>
      </c>
      <c r="L117" t="s">
        <v>74</v>
      </c>
      <c r="M117" t="s">
        <v>78</v>
      </c>
      <c r="N117" t="s">
        <v>743</v>
      </c>
      <c r="O117" t="s">
        <v>74</v>
      </c>
      <c r="P117" t="s">
        <v>74</v>
      </c>
      <c r="Q117" t="s">
        <v>74</v>
      </c>
      <c r="R117" t="s">
        <v>74</v>
      </c>
      <c r="S117" t="s">
        <v>74</v>
      </c>
      <c r="T117" t="s">
        <v>74</v>
      </c>
      <c r="U117" t="s">
        <v>74</v>
      </c>
      <c r="V117" t="s">
        <v>74</v>
      </c>
      <c r="W117" t="s">
        <v>2249</v>
      </c>
      <c r="X117" t="s">
        <v>2250</v>
      </c>
      <c r="Y117" t="s">
        <v>2251</v>
      </c>
      <c r="Z117" t="s">
        <v>2252</v>
      </c>
      <c r="AA117" t="s">
        <v>2253</v>
      </c>
      <c r="AB117" t="s">
        <v>2254</v>
      </c>
      <c r="AC117" t="s">
        <v>74</v>
      </c>
      <c r="AD117" t="s">
        <v>74</v>
      </c>
      <c r="AE117" t="s">
        <v>74</v>
      </c>
      <c r="AF117" t="s">
        <v>74</v>
      </c>
      <c r="AG117">
        <v>0</v>
      </c>
      <c r="AH117">
        <v>0</v>
      </c>
      <c r="AI117">
        <v>0</v>
      </c>
      <c r="AJ117">
        <v>1</v>
      </c>
      <c r="AK117">
        <v>1</v>
      </c>
      <c r="AL117" t="s">
        <v>2255</v>
      </c>
      <c r="AM117" t="s">
        <v>2256</v>
      </c>
      <c r="AN117" t="s">
        <v>2257</v>
      </c>
      <c r="AO117" t="s">
        <v>2258</v>
      </c>
      <c r="AP117" t="s">
        <v>2259</v>
      </c>
      <c r="AQ117" t="s">
        <v>74</v>
      </c>
      <c r="AR117" t="s">
        <v>2260</v>
      </c>
      <c r="AS117" t="s">
        <v>2261</v>
      </c>
      <c r="AT117" t="s">
        <v>276</v>
      </c>
      <c r="AU117">
        <v>2023</v>
      </c>
      <c r="AV117">
        <v>73</v>
      </c>
      <c r="AW117">
        <v>1</v>
      </c>
      <c r="AX117" t="s">
        <v>74</v>
      </c>
      <c r="AY117" t="s">
        <v>74</v>
      </c>
      <c r="AZ117" t="s">
        <v>74</v>
      </c>
      <c r="BA117" t="s">
        <v>74</v>
      </c>
      <c r="BB117">
        <v>35</v>
      </c>
      <c r="BC117">
        <v>38</v>
      </c>
      <c r="BD117" t="s">
        <v>74</v>
      </c>
      <c r="BE117" t="s">
        <v>2262</v>
      </c>
      <c r="BF117" t="str">
        <f>HYPERLINK("http://dx.doi.org/10.1007/s10236-022-01535-7","http://dx.doi.org/10.1007/s10236-022-01535-7")</f>
        <v>http://dx.doi.org/10.1007/s10236-022-01535-7</v>
      </c>
      <c r="BG117" t="s">
        <v>74</v>
      </c>
      <c r="BH117" t="s">
        <v>74</v>
      </c>
      <c r="BI117">
        <v>4</v>
      </c>
      <c r="BJ117" t="s">
        <v>403</v>
      </c>
      <c r="BK117" t="s">
        <v>104</v>
      </c>
      <c r="BL117" t="s">
        <v>403</v>
      </c>
      <c r="BM117" t="s">
        <v>2263</v>
      </c>
      <c r="BN117" t="s">
        <v>74</v>
      </c>
      <c r="BO117" t="s">
        <v>2264</v>
      </c>
      <c r="BP117" t="s">
        <v>74</v>
      </c>
      <c r="BQ117" t="s">
        <v>74</v>
      </c>
      <c r="BR117" t="s">
        <v>108</v>
      </c>
      <c r="BS117" t="s">
        <v>2265</v>
      </c>
      <c r="BT117" t="str">
        <f>HYPERLINK("https%3A%2F%2Fwww.webofscience.com%2Fwos%2Fwoscc%2Ffull-record%2FWOS:001115291100003","View Full Record in Web of Science")</f>
        <v>View Full Record in Web of Science</v>
      </c>
    </row>
    <row r="118" spans="1:72" x14ac:dyDescent="0.15">
      <c r="A118" t="s">
        <v>72</v>
      </c>
      <c r="B118" t="s">
        <v>2266</v>
      </c>
      <c r="C118" t="s">
        <v>74</v>
      </c>
      <c r="D118" t="s">
        <v>74</v>
      </c>
      <c r="E118" t="s">
        <v>74</v>
      </c>
      <c r="F118" t="s">
        <v>2267</v>
      </c>
      <c r="G118" t="s">
        <v>74</v>
      </c>
      <c r="H118" t="s">
        <v>74</v>
      </c>
      <c r="I118" t="s">
        <v>2268</v>
      </c>
      <c r="J118" t="s">
        <v>1805</v>
      </c>
      <c r="K118" t="s">
        <v>74</v>
      </c>
      <c r="L118" t="s">
        <v>74</v>
      </c>
      <c r="M118" t="s">
        <v>78</v>
      </c>
      <c r="N118" t="s">
        <v>79</v>
      </c>
      <c r="O118" t="s">
        <v>74</v>
      </c>
      <c r="P118" t="s">
        <v>74</v>
      </c>
      <c r="Q118" t="s">
        <v>74</v>
      </c>
      <c r="R118" t="s">
        <v>74</v>
      </c>
      <c r="S118" t="s">
        <v>74</v>
      </c>
      <c r="T118" t="s">
        <v>2269</v>
      </c>
      <c r="U118" t="s">
        <v>2270</v>
      </c>
      <c r="V118" t="s">
        <v>2271</v>
      </c>
      <c r="W118" t="s">
        <v>2272</v>
      </c>
      <c r="X118" t="s">
        <v>2273</v>
      </c>
      <c r="Y118" t="s">
        <v>2274</v>
      </c>
      <c r="Z118" t="s">
        <v>2275</v>
      </c>
      <c r="AA118" t="s">
        <v>2276</v>
      </c>
      <c r="AB118" t="s">
        <v>2277</v>
      </c>
      <c r="AC118" t="s">
        <v>2278</v>
      </c>
      <c r="AD118" t="s">
        <v>2279</v>
      </c>
      <c r="AE118" t="s">
        <v>2280</v>
      </c>
      <c r="AF118" t="s">
        <v>74</v>
      </c>
      <c r="AG118">
        <v>81</v>
      </c>
      <c r="AH118">
        <v>0</v>
      </c>
      <c r="AI118">
        <v>0</v>
      </c>
      <c r="AJ118">
        <v>1</v>
      </c>
      <c r="AK118">
        <v>1</v>
      </c>
      <c r="AL118" t="s">
        <v>1818</v>
      </c>
      <c r="AM118" t="s">
        <v>1819</v>
      </c>
      <c r="AN118" t="s">
        <v>1820</v>
      </c>
      <c r="AO118" t="s">
        <v>1821</v>
      </c>
      <c r="AP118" t="s">
        <v>1822</v>
      </c>
      <c r="AQ118" t="s">
        <v>74</v>
      </c>
      <c r="AR118" t="s">
        <v>1823</v>
      </c>
      <c r="AS118" t="s">
        <v>1824</v>
      </c>
      <c r="AT118" t="s">
        <v>74</v>
      </c>
      <c r="AU118">
        <v>2023</v>
      </c>
      <c r="AV118">
        <v>95</v>
      </c>
      <c r="AW118" t="s">
        <v>74</v>
      </c>
      <c r="AX118" t="s">
        <v>74</v>
      </c>
      <c r="AY118">
        <v>3</v>
      </c>
      <c r="AZ118" t="s">
        <v>74</v>
      </c>
      <c r="BA118" t="s">
        <v>74</v>
      </c>
      <c r="BB118" t="s">
        <v>74</v>
      </c>
      <c r="BC118" t="s">
        <v>74</v>
      </c>
      <c r="BD118" t="s">
        <v>2281</v>
      </c>
      <c r="BE118" t="s">
        <v>2282</v>
      </c>
      <c r="BF118" t="str">
        <f>HYPERLINK("http://dx.doi.org/10.1590/0001-3765202320231268","http://dx.doi.org/10.1590/0001-3765202320231268")</f>
        <v>http://dx.doi.org/10.1590/0001-3765202320231268</v>
      </c>
      <c r="BG118" t="s">
        <v>74</v>
      </c>
      <c r="BH118" t="s">
        <v>74</v>
      </c>
      <c r="BI118">
        <v>16</v>
      </c>
      <c r="BJ118" t="s">
        <v>189</v>
      </c>
      <c r="BK118" t="s">
        <v>104</v>
      </c>
      <c r="BL118" t="s">
        <v>190</v>
      </c>
      <c r="BM118" t="s">
        <v>2283</v>
      </c>
      <c r="BN118">
        <v>38088643</v>
      </c>
      <c r="BO118" t="s">
        <v>165</v>
      </c>
      <c r="BP118" t="s">
        <v>74</v>
      </c>
      <c r="BQ118" t="s">
        <v>74</v>
      </c>
      <c r="BR118" t="s">
        <v>108</v>
      </c>
      <c r="BS118" t="s">
        <v>2284</v>
      </c>
      <c r="BT118" t="str">
        <f>HYPERLINK("https%3A%2F%2Fwww.webofscience.com%2Fwos%2Fwoscc%2Ffull-record%2FWOS:001124959900001","View Full Record in Web of Science")</f>
        <v>View Full Record in Web of Science</v>
      </c>
    </row>
    <row r="119" spans="1:72" x14ac:dyDescent="0.15">
      <c r="A119" t="s">
        <v>72</v>
      </c>
      <c r="B119" t="s">
        <v>2285</v>
      </c>
      <c r="C119" t="s">
        <v>74</v>
      </c>
      <c r="D119" t="s">
        <v>74</v>
      </c>
      <c r="E119" t="s">
        <v>74</v>
      </c>
      <c r="F119" t="s">
        <v>2286</v>
      </c>
      <c r="G119" t="s">
        <v>74</v>
      </c>
      <c r="H119" t="s">
        <v>74</v>
      </c>
      <c r="I119" t="s">
        <v>2287</v>
      </c>
      <c r="J119" t="s">
        <v>1001</v>
      </c>
      <c r="K119" t="s">
        <v>74</v>
      </c>
      <c r="L119" t="s">
        <v>74</v>
      </c>
      <c r="M119" t="s">
        <v>78</v>
      </c>
      <c r="N119" t="s">
        <v>79</v>
      </c>
      <c r="O119" t="s">
        <v>74</v>
      </c>
      <c r="P119" t="s">
        <v>74</v>
      </c>
      <c r="Q119" t="s">
        <v>74</v>
      </c>
      <c r="R119" t="s">
        <v>74</v>
      </c>
      <c r="S119" t="s">
        <v>74</v>
      </c>
      <c r="T119" t="s">
        <v>2288</v>
      </c>
      <c r="U119" t="s">
        <v>2289</v>
      </c>
      <c r="V119" t="s">
        <v>2290</v>
      </c>
      <c r="W119" t="s">
        <v>2291</v>
      </c>
      <c r="X119" t="s">
        <v>2292</v>
      </c>
      <c r="Y119" t="s">
        <v>2293</v>
      </c>
      <c r="Z119" t="s">
        <v>2294</v>
      </c>
      <c r="AA119" t="s">
        <v>2295</v>
      </c>
      <c r="AB119" t="s">
        <v>2296</v>
      </c>
      <c r="AC119" t="s">
        <v>2297</v>
      </c>
      <c r="AD119" t="s">
        <v>2298</v>
      </c>
      <c r="AE119" t="s">
        <v>2299</v>
      </c>
      <c r="AF119" t="s">
        <v>74</v>
      </c>
      <c r="AG119">
        <v>50</v>
      </c>
      <c r="AH119">
        <v>0</v>
      </c>
      <c r="AI119">
        <v>0</v>
      </c>
      <c r="AJ119">
        <v>1</v>
      </c>
      <c r="AK119">
        <v>1</v>
      </c>
      <c r="AL119" t="s">
        <v>1010</v>
      </c>
      <c r="AM119" t="s">
        <v>1011</v>
      </c>
      <c r="AN119" t="s">
        <v>1012</v>
      </c>
      <c r="AO119" t="s">
        <v>1013</v>
      </c>
      <c r="AP119" t="s">
        <v>1014</v>
      </c>
      <c r="AQ119" t="s">
        <v>74</v>
      </c>
      <c r="AR119" t="s">
        <v>1015</v>
      </c>
      <c r="AS119" t="s">
        <v>1016</v>
      </c>
      <c r="AT119" t="s">
        <v>74</v>
      </c>
      <c r="AU119">
        <v>2023</v>
      </c>
      <c r="AV119">
        <v>74</v>
      </c>
      <c r="AW119">
        <v>18</v>
      </c>
      <c r="AX119" t="s">
        <v>74</v>
      </c>
      <c r="AY119" t="s">
        <v>74</v>
      </c>
      <c r="AZ119" t="s">
        <v>74</v>
      </c>
      <c r="BA119" t="s">
        <v>74</v>
      </c>
      <c r="BB119">
        <v>1493</v>
      </c>
      <c r="BC119">
        <v>1505</v>
      </c>
      <c r="BD119" t="s">
        <v>74</v>
      </c>
      <c r="BE119" t="s">
        <v>2300</v>
      </c>
      <c r="BF119" t="str">
        <f>HYPERLINK("http://dx.doi.org/10.1071/MF23140","http://dx.doi.org/10.1071/MF23140")</f>
        <v>http://dx.doi.org/10.1071/MF23140</v>
      </c>
      <c r="BG119" t="s">
        <v>74</v>
      </c>
      <c r="BH119" t="s">
        <v>74</v>
      </c>
      <c r="BI119">
        <v>13</v>
      </c>
      <c r="BJ119" t="s">
        <v>1018</v>
      </c>
      <c r="BK119" t="s">
        <v>104</v>
      </c>
      <c r="BL119" t="s">
        <v>1019</v>
      </c>
      <c r="BM119" t="s">
        <v>2301</v>
      </c>
      <c r="BN119" t="s">
        <v>74</v>
      </c>
      <c r="BO119" t="s">
        <v>219</v>
      </c>
      <c r="BP119" t="s">
        <v>74</v>
      </c>
      <c r="BQ119" t="s">
        <v>74</v>
      </c>
      <c r="BR119" t="s">
        <v>108</v>
      </c>
      <c r="BS119" t="s">
        <v>2302</v>
      </c>
      <c r="BT119" t="str">
        <f>HYPERLINK("https%3A%2F%2Fwww.webofscience.com%2Fwos%2Fwoscc%2Ffull-record%2FWOS:001126773500004","View Full Record in Web of Science")</f>
        <v>View Full Record in Web of Science</v>
      </c>
    </row>
    <row r="120" spans="1:72" x14ac:dyDescent="0.15">
      <c r="A120" t="s">
        <v>72</v>
      </c>
      <c r="B120" t="s">
        <v>2303</v>
      </c>
      <c r="C120" t="s">
        <v>74</v>
      </c>
      <c r="D120" t="s">
        <v>74</v>
      </c>
      <c r="E120" t="s">
        <v>74</v>
      </c>
      <c r="F120" t="s">
        <v>2304</v>
      </c>
      <c r="G120" t="s">
        <v>74</v>
      </c>
      <c r="H120" t="s">
        <v>74</v>
      </c>
      <c r="I120" t="s">
        <v>2305</v>
      </c>
      <c r="J120" t="s">
        <v>1805</v>
      </c>
      <c r="K120" t="s">
        <v>74</v>
      </c>
      <c r="L120" t="s">
        <v>74</v>
      </c>
      <c r="M120" t="s">
        <v>78</v>
      </c>
      <c r="N120" t="s">
        <v>79</v>
      </c>
      <c r="O120" t="s">
        <v>74</v>
      </c>
      <c r="P120" t="s">
        <v>74</v>
      </c>
      <c r="Q120" t="s">
        <v>74</v>
      </c>
      <c r="R120" t="s">
        <v>74</v>
      </c>
      <c r="S120" t="s">
        <v>74</v>
      </c>
      <c r="T120" t="s">
        <v>2306</v>
      </c>
      <c r="U120" t="s">
        <v>2307</v>
      </c>
      <c r="V120" t="s">
        <v>2308</v>
      </c>
      <c r="W120" t="s">
        <v>2309</v>
      </c>
      <c r="X120" t="s">
        <v>2310</v>
      </c>
      <c r="Y120" t="s">
        <v>2311</v>
      </c>
      <c r="Z120" t="s">
        <v>2312</v>
      </c>
      <c r="AA120" t="s">
        <v>2313</v>
      </c>
      <c r="AB120" t="s">
        <v>2314</v>
      </c>
      <c r="AC120" t="s">
        <v>2315</v>
      </c>
      <c r="AD120" t="s">
        <v>2316</v>
      </c>
      <c r="AE120" t="s">
        <v>2317</v>
      </c>
      <c r="AF120" t="s">
        <v>74</v>
      </c>
      <c r="AG120">
        <v>91</v>
      </c>
      <c r="AH120">
        <v>0</v>
      </c>
      <c r="AI120">
        <v>0</v>
      </c>
      <c r="AJ120">
        <v>3</v>
      </c>
      <c r="AK120">
        <v>3</v>
      </c>
      <c r="AL120" t="s">
        <v>1818</v>
      </c>
      <c r="AM120" t="s">
        <v>1819</v>
      </c>
      <c r="AN120" t="s">
        <v>1820</v>
      </c>
      <c r="AO120" t="s">
        <v>1821</v>
      </c>
      <c r="AP120" t="s">
        <v>1822</v>
      </c>
      <c r="AQ120" t="s">
        <v>74</v>
      </c>
      <c r="AR120" t="s">
        <v>1823</v>
      </c>
      <c r="AS120" t="s">
        <v>1824</v>
      </c>
      <c r="AT120" t="s">
        <v>74</v>
      </c>
      <c r="AU120">
        <v>2023</v>
      </c>
      <c r="AV120">
        <v>95</v>
      </c>
      <c r="AW120" t="s">
        <v>74</v>
      </c>
      <c r="AX120" t="s">
        <v>74</v>
      </c>
      <c r="AY120">
        <v>3</v>
      </c>
      <c r="AZ120" t="s">
        <v>74</v>
      </c>
      <c r="BA120" t="s">
        <v>74</v>
      </c>
      <c r="BB120" t="s">
        <v>74</v>
      </c>
      <c r="BC120" t="s">
        <v>74</v>
      </c>
      <c r="BD120" t="s">
        <v>2318</v>
      </c>
      <c r="BE120" t="s">
        <v>2319</v>
      </c>
      <c r="BF120" t="str">
        <f>HYPERLINK("http://dx.doi.org/10.1590/0001-3765202320230283","http://dx.doi.org/10.1590/0001-3765202320230283")</f>
        <v>http://dx.doi.org/10.1590/0001-3765202320230283</v>
      </c>
      <c r="BG120" t="s">
        <v>74</v>
      </c>
      <c r="BH120" t="s">
        <v>74</v>
      </c>
      <c r="BI120">
        <v>21</v>
      </c>
      <c r="BJ120" t="s">
        <v>189</v>
      </c>
      <c r="BK120" t="s">
        <v>104</v>
      </c>
      <c r="BL120" t="s">
        <v>190</v>
      </c>
      <c r="BM120" t="s">
        <v>2320</v>
      </c>
      <c r="BN120">
        <v>38088640</v>
      </c>
      <c r="BO120" t="s">
        <v>165</v>
      </c>
      <c r="BP120" t="s">
        <v>74</v>
      </c>
      <c r="BQ120" t="s">
        <v>74</v>
      </c>
      <c r="BR120" t="s">
        <v>108</v>
      </c>
      <c r="BS120" t="s">
        <v>2321</v>
      </c>
      <c r="BT120" t="str">
        <f>HYPERLINK("https%3A%2F%2Fwww.webofscience.com%2Fwos%2Fwoscc%2Ffull-record%2FWOS:001125405300001","View Full Record in Web of Science")</f>
        <v>View Full Record in Web of Science</v>
      </c>
    </row>
    <row r="121" spans="1:72" x14ac:dyDescent="0.15">
      <c r="A121" t="s">
        <v>72</v>
      </c>
      <c r="B121" t="s">
        <v>2322</v>
      </c>
      <c r="C121" t="s">
        <v>74</v>
      </c>
      <c r="D121" t="s">
        <v>74</v>
      </c>
      <c r="E121" t="s">
        <v>74</v>
      </c>
      <c r="F121" t="s">
        <v>2323</v>
      </c>
      <c r="G121" t="s">
        <v>74</v>
      </c>
      <c r="H121" t="s">
        <v>74</v>
      </c>
      <c r="I121" t="s">
        <v>2324</v>
      </c>
      <c r="J121" t="s">
        <v>2325</v>
      </c>
      <c r="K121" t="s">
        <v>74</v>
      </c>
      <c r="L121" t="s">
        <v>74</v>
      </c>
      <c r="M121" t="s">
        <v>1384</v>
      </c>
      <c r="N121" t="s">
        <v>79</v>
      </c>
      <c r="O121" t="s">
        <v>74</v>
      </c>
      <c r="P121" t="s">
        <v>74</v>
      </c>
      <c r="Q121" t="s">
        <v>74</v>
      </c>
      <c r="R121" t="s">
        <v>74</v>
      </c>
      <c r="S121" t="s">
        <v>74</v>
      </c>
      <c r="T121" t="s">
        <v>2326</v>
      </c>
      <c r="U121" t="s">
        <v>74</v>
      </c>
      <c r="V121" t="s">
        <v>2327</v>
      </c>
      <c r="W121" t="s">
        <v>2328</v>
      </c>
      <c r="X121" t="s">
        <v>2329</v>
      </c>
      <c r="Y121" t="s">
        <v>2330</v>
      </c>
      <c r="Z121" t="s">
        <v>2331</v>
      </c>
      <c r="AA121" t="s">
        <v>74</v>
      </c>
      <c r="AB121" t="s">
        <v>74</v>
      </c>
      <c r="AC121" t="s">
        <v>2332</v>
      </c>
      <c r="AD121" t="s">
        <v>1413</v>
      </c>
      <c r="AE121" t="s">
        <v>2333</v>
      </c>
      <c r="AF121" t="s">
        <v>74</v>
      </c>
      <c r="AG121">
        <v>13</v>
      </c>
      <c r="AH121">
        <v>0</v>
      </c>
      <c r="AI121">
        <v>0</v>
      </c>
      <c r="AJ121">
        <v>0</v>
      </c>
      <c r="AK121">
        <v>0</v>
      </c>
      <c r="AL121" t="s">
        <v>2334</v>
      </c>
      <c r="AM121" t="s">
        <v>2335</v>
      </c>
      <c r="AN121" t="s">
        <v>2336</v>
      </c>
      <c r="AO121" t="s">
        <v>2337</v>
      </c>
      <c r="AP121" t="s">
        <v>74</v>
      </c>
      <c r="AQ121" t="s">
        <v>74</v>
      </c>
      <c r="AR121" t="s">
        <v>2338</v>
      </c>
      <c r="AS121" t="s">
        <v>2339</v>
      </c>
      <c r="AT121" t="s">
        <v>74</v>
      </c>
      <c r="AU121">
        <v>2023</v>
      </c>
      <c r="AV121" t="s">
        <v>74</v>
      </c>
      <c r="AW121">
        <v>3</v>
      </c>
      <c r="AX121">
        <v>3</v>
      </c>
      <c r="AY121" t="s">
        <v>74</v>
      </c>
      <c r="AZ121" t="s">
        <v>74</v>
      </c>
      <c r="BA121" t="s">
        <v>74</v>
      </c>
      <c r="BB121">
        <v>141</v>
      </c>
      <c r="BC121">
        <v>145</v>
      </c>
      <c r="BD121" t="s">
        <v>74</v>
      </c>
      <c r="BE121" t="s">
        <v>2340</v>
      </c>
      <c r="BF121" t="str">
        <f>HYPERLINK("http://dx.doi.org/10.37220/MIT.2023.61.3.055","http://dx.doi.org/10.37220/MIT.2023.61.3.055")</f>
        <v>http://dx.doi.org/10.37220/MIT.2023.61.3.055</v>
      </c>
      <c r="BG121" t="s">
        <v>74</v>
      </c>
      <c r="BH121" t="s">
        <v>74</v>
      </c>
      <c r="BI121">
        <v>5</v>
      </c>
      <c r="BJ121" t="s">
        <v>2341</v>
      </c>
      <c r="BK121" t="s">
        <v>757</v>
      </c>
      <c r="BL121" t="s">
        <v>2342</v>
      </c>
      <c r="BM121" t="s">
        <v>2343</v>
      </c>
      <c r="BN121" t="s">
        <v>74</v>
      </c>
      <c r="BO121" t="s">
        <v>660</v>
      </c>
      <c r="BP121" t="s">
        <v>74</v>
      </c>
      <c r="BQ121" t="s">
        <v>74</v>
      </c>
      <c r="BR121" t="s">
        <v>108</v>
      </c>
      <c r="BS121" t="s">
        <v>2344</v>
      </c>
      <c r="BT121" t="str">
        <f>HYPERLINK("https%3A%2F%2Fwww.webofscience.com%2Fwos%2Fwoscc%2Ffull-record%2FWOS:001112699900019","View Full Record in Web of Science")</f>
        <v>View Full Record in Web of Science</v>
      </c>
    </row>
    <row r="122" spans="1:72" x14ac:dyDescent="0.15">
      <c r="A122" t="s">
        <v>72</v>
      </c>
      <c r="B122" t="s">
        <v>2345</v>
      </c>
      <c r="C122" t="s">
        <v>74</v>
      </c>
      <c r="D122" t="s">
        <v>74</v>
      </c>
      <c r="E122" t="s">
        <v>74</v>
      </c>
      <c r="F122" t="s">
        <v>2346</v>
      </c>
      <c r="G122" t="s">
        <v>74</v>
      </c>
      <c r="H122" t="s">
        <v>74</v>
      </c>
      <c r="I122" t="s">
        <v>2347</v>
      </c>
      <c r="J122" t="s">
        <v>1805</v>
      </c>
      <c r="K122" t="s">
        <v>74</v>
      </c>
      <c r="L122" t="s">
        <v>74</v>
      </c>
      <c r="M122" t="s">
        <v>78</v>
      </c>
      <c r="N122" t="s">
        <v>79</v>
      </c>
      <c r="O122" t="s">
        <v>74</v>
      </c>
      <c r="P122" t="s">
        <v>74</v>
      </c>
      <c r="Q122" t="s">
        <v>74</v>
      </c>
      <c r="R122" t="s">
        <v>74</v>
      </c>
      <c r="S122" t="s">
        <v>74</v>
      </c>
      <c r="T122" t="s">
        <v>2348</v>
      </c>
      <c r="U122" t="s">
        <v>2349</v>
      </c>
      <c r="V122" t="s">
        <v>2350</v>
      </c>
      <c r="W122" t="s">
        <v>2351</v>
      </c>
      <c r="X122" t="s">
        <v>2352</v>
      </c>
      <c r="Y122" t="s">
        <v>2353</v>
      </c>
      <c r="Z122" t="s">
        <v>2354</v>
      </c>
      <c r="AA122" t="s">
        <v>2355</v>
      </c>
      <c r="AB122" t="s">
        <v>2356</v>
      </c>
      <c r="AC122" t="s">
        <v>2357</v>
      </c>
      <c r="AD122" t="s">
        <v>2358</v>
      </c>
      <c r="AE122" t="s">
        <v>2359</v>
      </c>
      <c r="AF122" t="s">
        <v>74</v>
      </c>
      <c r="AG122">
        <v>143</v>
      </c>
      <c r="AH122">
        <v>0</v>
      </c>
      <c r="AI122">
        <v>0</v>
      </c>
      <c r="AJ122">
        <v>1</v>
      </c>
      <c r="AK122">
        <v>1</v>
      </c>
      <c r="AL122" t="s">
        <v>1818</v>
      </c>
      <c r="AM122" t="s">
        <v>1819</v>
      </c>
      <c r="AN122" t="s">
        <v>1820</v>
      </c>
      <c r="AO122" t="s">
        <v>1821</v>
      </c>
      <c r="AP122" t="s">
        <v>1822</v>
      </c>
      <c r="AQ122" t="s">
        <v>74</v>
      </c>
      <c r="AR122" t="s">
        <v>1823</v>
      </c>
      <c r="AS122" t="s">
        <v>1824</v>
      </c>
      <c r="AT122" t="s">
        <v>74</v>
      </c>
      <c r="AU122">
        <v>2023</v>
      </c>
      <c r="AV122">
        <v>95</v>
      </c>
      <c r="AW122" t="s">
        <v>74</v>
      </c>
      <c r="AX122" t="s">
        <v>74</v>
      </c>
      <c r="AY122">
        <v>3</v>
      </c>
      <c r="AZ122" t="s">
        <v>74</v>
      </c>
      <c r="BA122" t="s">
        <v>74</v>
      </c>
      <c r="BB122" t="s">
        <v>74</v>
      </c>
      <c r="BC122" t="s">
        <v>74</v>
      </c>
      <c r="BD122" t="s">
        <v>2360</v>
      </c>
      <c r="BE122" t="s">
        <v>2361</v>
      </c>
      <c r="BF122" t="str">
        <f>HYPERLINK("http://dx.doi.org/10.1590/0001-3765202320230802","http://dx.doi.org/10.1590/0001-3765202320230802")</f>
        <v>http://dx.doi.org/10.1590/0001-3765202320230802</v>
      </c>
      <c r="BG122" t="s">
        <v>74</v>
      </c>
      <c r="BH122" t="s">
        <v>74</v>
      </c>
      <c r="BI122">
        <v>29</v>
      </c>
      <c r="BJ122" t="s">
        <v>189</v>
      </c>
      <c r="BK122" t="s">
        <v>104</v>
      </c>
      <c r="BL122" t="s">
        <v>190</v>
      </c>
      <c r="BM122" t="s">
        <v>2362</v>
      </c>
      <c r="BN122" t="s">
        <v>74</v>
      </c>
      <c r="BO122" t="s">
        <v>165</v>
      </c>
      <c r="BP122" t="s">
        <v>74</v>
      </c>
      <c r="BQ122" t="s">
        <v>74</v>
      </c>
      <c r="BR122" t="s">
        <v>108</v>
      </c>
      <c r="BS122" t="s">
        <v>2363</v>
      </c>
      <c r="BT122" t="str">
        <f>HYPERLINK("https%3A%2F%2Fwww.webofscience.com%2Fwos%2Fwoscc%2Ffull-record%2FWOS:001124990300001","View Full Record in Web of Science")</f>
        <v>View Full Record in Web of Science</v>
      </c>
    </row>
    <row r="123" spans="1:72" x14ac:dyDescent="0.15">
      <c r="A123" t="s">
        <v>72</v>
      </c>
      <c r="B123" t="s">
        <v>2364</v>
      </c>
      <c r="C123" t="s">
        <v>74</v>
      </c>
      <c r="D123" t="s">
        <v>74</v>
      </c>
      <c r="E123" t="s">
        <v>74</v>
      </c>
      <c r="F123" t="s">
        <v>2365</v>
      </c>
      <c r="G123" t="s">
        <v>74</v>
      </c>
      <c r="H123" t="s">
        <v>74</v>
      </c>
      <c r="I123" t="s">
        <v>2366</v>
      </c>
      <c r="J123" t="s">
        <v>1805</v>
      </c>
      <c r="K123" t="s">
        <v>74</v>
      </c>
      <c r="L123" t="s">
        <v>74</v>
      </c>
      <c r="M123" t="s">
        <v>78</v>
      </c>
      <c r="N123" t="s">
        <v>79</v>
      </c>
      <c r="O123" t="s">
        <v>74</v>
      </c>
      <c r="P123" t="s">
        <v>74</v>
      </c>
      <c r="Q123" t="s">
        <v>74</v>
      </c>
      <c r="R123" t="s">
        <v>74</v>
      </c>
      <c r="S123" t="s">
        <v>74</v>
      </c>
      <c r="T123" t="s">
        <v>2367</v>
      </c>
      <c r="U123" t="s">
        <v>2368</v>
      </c>
      <c r="V123" t="s">
        <v>2369</v>
      </c>
      <c r="W123" t="s">
        <v>2370</v>
      </c>
      <c r="X123" t="s">
        <v>2371</v>
      </c>
      <c r="Y123" t="s">
        <v>2372</v>
      </c>
      <c r="Z123" t="s">
        <v>2373</v>
      </c>
      <c r="AA123" t="s">
        <v>2374</v>
      </c>
      <c r="AB123" t="s">
        <v>2375</v>
      </c>
      <c r="AC123" t="s">
        <v>2376</v>
      </c>
      <c r="AD123" t="s">
        <v>2377</v>
      </c>
      <c r="AE123" t="s">
        <v>2378</v>
      </c>
      <c r="AF123" t="s">
        <v>74</v>
      </c>
      <c r="AG123">
        <v>113</v>
      </c>
      <c r="AH123">
        <v>0</v>
      </c>
      <c r="AI123">
        <v>0</v>
      </c>
      <c r="AJ123">
        <v>6</v>
      </c>
      <c r="AK123">
        <v>6</v>
      </c>
      <c r="AL123" t="s">
        <v>1818</v>
      </c>
      <c r="AM123" t="s">
        <v>1819</v>
      </c>
      <c r="AN123" t="s">
        <v>1820</v>
      </c>
      <c r="AO123" t="s">
        <v>1821</v>
      </c>
      <c r="AP123" t="s">
        <v>1822</v>
      </c>
      <c r="AQ123" t="s">
        <v>74</v>
      </c>
      <c r="AR123" t="s">
        <v>1823</v>
      </c>
      <c r="AS123" t="s">
        <v>1824</v>
      </c>
      <c r="AT123" t="s">
        <v>74</v>
      </c>
      <c r="AU123">
        <v>2023</v>
      </c>
      <c r="AV123">
        <v>95</v>
      </c>
      <c r="AW123" t="s">
        <v>74</v>
      </c>
      <c r="AX123" t="s">
        <v>74</v>
      </c>
      <c r="AY123">
        <v>3</v>
      </c>
      <c r="AZ123" t="s">
        <v>74</v>
      </c>
      <c r="BA123" t="s">
        <v>74</v>
      </c>
      <c r="BB123" t="s">
        <v>74</v>
      </c>
      <c r="BC123" t="s">
        <v>74</v>
      </c>
      <c r="BD123" t="s">
        <v>2379</v>
      </c>
      <c r="BE123" t="s">
        <v>2380</v>
      </c>
      <c r="BF123" t="str">
        <f>HYPERLINK("http://dx.doi.org/10.1590/0001-3765202320211627","http://dx.doi.org/10.1590/0001-3765202320211627")</f>
        <v>http://dx.doi.org/10.1590/0001-3765202320211627</v>
      </c>
      <c r="BG123" t="s">
        <v>74</v>
      </c>
      <c r="BH123" t="s">
        <v>74</v>
      </c>
      <c r="BI123">
        <v>26</v>
      </c>
      <c r="BJ123" t="s">
        <v>189</v>
      </c>
      <c r="BK123" t="s">
        <v>104</v>
      </c>
      <c r="BL123" t="s">
        <v>190</v>
      </c>
      <c r="BM123" t="s">
        <v>2381</v>
      </c>
      <c r="BN123">
        <v>38055509</v>
      </c>
      <c r="BO123" t="s">
        <v>165</v>
      </c>
      <c r="BP123" t="s">
        <v>74</v>
      </c>
      <c r="BQ123" t="s">
        <v>74</v>
      </c>
      <c r="BR123" t="s">
        <v>108</v>
      </c>
      <c r="BS123" t="s">
        <v>2382</v>
      </c>
      <c r="BT123" t="str">
        <f>HYPERLINK("https%3A%2F%2Fwww.webofscience.com%2Fwos%2Fwoscc%2Ffull-record%2FWOS:001124781400001","View Full Record in Web of Science")</f>
        <v>View Full Record in Web of Science</v>
      </c>
    </row>
    <row r="124" spans="1:72" x14ac:dyDescent="0.15">
      <c r="A124" t="s">
        <v>72</v>
      </c>
      <c r="B124" t="s">
        <v>2383</v>
      </c>
      <c r="C124" t="s">
        <v>74</v>
      </c>
      <c r="D124" t="s">
        <v>74</v>
      </c>
      <c r="E124" t="s">
        <v>74</v>
      </c>
      <c r="F124" t="s">
        <v>2384</v>
      </c>
      <c r="G124" t="s">
        <v>74</v>
      </c>
      <c r="H124" t="s">
        <v>74</v>
      </c>
      <c r="I124" t="s">
        <v>2385</v>
      </c>
      <c r="J124" t="s">
        <v>1805</v>
      </c>
      <c r="K124" t="s">
        <v>74</v>
      </c>
      <c r="L124" t="s">
        <v>74</v>
      </c>
      <c r="M124" t="s">
        <v>78</v>
      </c>
      <c r="N124" t="s">
        <v>79</v>
      </c>
      <c r="O124" t="s">
        <v>74</v>
      </c>
      <c r="P124" t="s">
        <v>74</v>
      </c>
      <c r="Q124" t="s">
        <v>74</v>
      </c>
      <c r="R124" t="s">
        <v>74</v>
      </c>
      <c r="S124" t="s">
        <v>74</v>
      </c>
      <c r="T124" t="s">
        <v>2386</v>
      </c>
      <c r="U124" t="s">
        <v>2387</v>
      </c>
      <c r="V124" t="s">
        <v>2388</v>
      </c>
      <c r="W124" t="s">
        <v>2389</v>
      </c>
      <c r="X124" t="s">
        <v>2390</v>
      </c>
      <c r="Y124" t="s">
        <v>2391</v>
      </c>
      <c r="Z124" t="s">
        <v>2392</v>
      </c>
      <c r="AA124" t="s">
        <v>1839</v>
      </c>
      <c r="AB124" t="s">
        <v>2393</v>
      </c>
      <c r="AC124" t="s">
        <v>2394</v>
      </c>
      <c r="AD124" t="s">
        <v>2395</v>
      </c>
      <c r="AE124" t="s">
        <v>2396</v>
      </c>
      <c r="AF124" t="s">
        <v>74</v>
      </c>
      <c r="AG124">
        <v>71</v>
      </c>
      <c r="AH124">
        <v>0</v>
      </c>
      <c r="AI124">
        <v>0</v>
      </c>
      <c r="AJ124">
        <v>1</v>
      </c>
      <c r="AK124">
        <v>1</v>
      </c>
      <c r="AL124" t="s">
        <v>1818</v>
      </c>
      <c r="AM124" t="s">
        <v>1819</v>
      </c>
      <c r="AN124" t="s">
        <v>1820</v>
      </c>
      <c r="AO124" t="s">
        <v>1821</v>
      </c>
      <c r="AP124" t="s">
        <v>1822</v>
      </c>
      <c r="AQ124" t="s">
        <v>74</v>
      </c>
      <c r="AR124" t="s">
        <v>1823</v>
      </c>
      <c r="AS124" t="s">
        <v>1824</v>
      </c>
      <c r="AT124" t="s">
        <v>74</v>
      </c>
      <c r="AU124">
        <v>2023</v>
      </c>
      <c r="AV124">
        <v>95</v>
      </c>
      <c r="AW124" t="s">
        <v>74</v>
      </c>
      <c r="AX124" t="s">
        <v>74</v>
      </c>
      <c r="AY124">
        <v>3</v>
      </c>
      <c r="AZ124" t="s">
        <v>74</v>
      </c>
      <c r="BA124" t="s">
        <v>74</v>
      </c>
      <c r="BB124" t="s">
        <v>74</v>
      </c>
      <c r="BC124" t="s">
        <v>74</v>
      </c>
      <c r="BD124" t="s">
        <v>2397</v>
      </c>
      <c r="BE124" t="s">
        <v>2398</v>
      </c>
      <c r="BF124" t="str">
        <f>HYPERLINK("http://dx.doi.org/10.1590/0001-3765202320230747","http://dx.doi.org/10.1590/0001-3765202320230747")</f>
        <v>http://dx.doi.org/10.1590/0001-3765202320230747</v>
      </c>
      <c r="BG124" t="s">
        <v>74</v>
      </c>
      <c r="BH124" t="s">
        <v>74</v>
      </c>
      <c r="BI124">
        <v>20</v>
      </c>
      <c r="BJ124" t="s">
        <v>189</v>
      </c>
      <c r="BK124" t="s">
        <v>104</v>
      </c>
      <c r="BL124" t="s">
        <v>190</v>
      </c>
      <c r="BM124" t="s">
        <v>2399</v>
      </c>
      <c r="BN124">
        <v>38088641</v>
      </c>
      <c r="BO124" t="s">
        <v>165</v>
      </c>
      <c r="BP124" t="s">
        <v>74</v>
      </c>
      <c r="BQ124" t="s">
        <v>74</v>
      </c>
      <c r="BR124" t="s">
        <v>108</v>
      </c>
      <c r="BS124" t="s">
        <v>2400</v>
      </c>
      <c r="BT124" t="str">
        <f>HYPERLINK("https%3A%2F%2Fwww.webofscience.com%2Fwos%2Fwoscc%2Ffull-record%2FWOS:001124995100001","View Full Record in Web of Science")</f>
        <v>View Full Record in Web of Science</v>
      </c>
    </row>
    <row r="125" spans="1:72" x14ac:dyDescent="0.15">
      <c r="A125" t="s">
        <v>72</v>
      </c>
      <c r="B125" t="s">
        <v>2401</v>
      </c>
      <c r="C125" t="s">
        <v>74</v>
      </c>
      <c r="D125" t="s">
        <v>74</v>
      </c>
      <c r="E125" t="s">
        <v>74</v>
      </c>
      <c r="F125" t="s">
        <v>2402</v>
      </c>
      <c r="G125" t="s">
        <v>74</v>
      </c>
      <c r="H125" t="s">
        <v>74</v>
      </c>
      <c r="I125" t="s">
        <v>2403</v>
      </c>
      <c r="J125" t="s">
        <v>1805</v>
      </c>
      <c r="K125" t="s">
        <v>74</v>
      </c>
      <c r="L125" t="s">
        <v>74</v>
      </c>
      <c r="M125" t="s">
        <v>78</v>
      </c>
      <c r="N125" t="s">
        <v>743</v>
      </c>
      <c r="O125" t="s">
        <v>74</v>
      </c>
      <c r="P125" t="s">
        <v>74</v>
      </c>
      <c r="Q125" t="s">
        <v>74</v>
      </c>
      <c r="R125" t="s">
        <v>74</v>
      </c>
      <c r="S125" t="s">
        <v>74</v>
      </c>
      <c r="T125" t="s">
        <v>74</v>
      </c>
      <c r="U125" t="s">
        <v>74</v>
      </c>
      <c r="V125" t="s">
        <v>74</v>
      </c>
      <c r="W125" t="s">
        <v>2404</v>
      </c>
      <c r="X125" t="s">
        <v>2405</v>
      </c>
      <c r="Y125" t="s">
        <v>2406</v>
      </c>
      <c r="Z125" t="s">
        <v>74</v>
      </c>
      <c r="AA125" t="s">
        <v>74</v>
      </c>
      <c r="AB125" t="s">
        <v>74</v>
      </c>
      <c r="AC125" t="s">
        <v>74</v>
      </c>
      <c r="AD125" t="s">
        <v>74</v>
      </c>
      <c r="AE125" t="s">
        <v>74</v>
      </c>
      <c r="AF125" t="s">
        <v>74</v>
      </c>
      <c r="AG125">
        <v>1</v>
      </c>
      <c r="AH125">
        <v>0</v>
      </c>
      <c r="AI125">
        <v>0</v>
      </c>
      <c r="AJ125">
        <v>0</v>
      </c>
      <c r="AK125">
        <v>0</v>
      </c>
      <c r="AL125" t="s">
        <v>1818</v>
      </c>
      <c r="AM125" t="s">
        <v>1819</v>
      </c>
      <c r="AN125" t="s">
        <v>1820</v>
      </c>
      <c r="AO125" t="s">
        <v>1821</v>
      </c>
      <c r="AP125" t="s">
        <v>1822</v>
      </c>
      <c r="AQ125" t="s">
        <v>74</v>
      </c>
      <c r="AR125" t="s">
        <v>1823</v>
      </c>
      <c r="AS125" t="s">
        <v>1824</v>
      </c>
      <c r="AT125" t="s">
        <v>74</v>
      </c>
      <c r="AU125">
        <v>2023</v>
      </c>
      <c r="AV125">
        <v>95</v>
      </c>
      <c r="AW125" t="s">
        <v>74</v>
      </c>
      <c r="AX125" t="s">
        <v>74</v>
      </c>
      <c r="AY125">
        <v>3</v>
      </c>
      <c r="AZ125" t="s">
        <v>74</v>
      </c>
      <c r="BA125" t="s">
        <v>74</v>
      </c>
      <c r="BB125" t="s">
        <v>74</v>
      </c>
      <c r="BC125" t="s">
        <v>74</v>
      </c>
      <c r="BD125" t="s">
        <v>2407</v>
      </c>
      <c r="BE125" t="s">
        <v>2408</v>
      </c>
      <c r="BF125" t="str">
        <f>HYPERLINK("http://dx.doi.org/10.1590/0001-3765202320231270","http://dx.doi.org/10.1590/0001-3765202320231270")</f>
        <v>http://dx.doi.org/10.1590/0001-3765202320231270</v>
      </c>
      <c r="BG125" t="s">
        <v>74</v>
      </c>
      <c r="BH125" t="s">
        <v>74</v>
      </c>
      <c r="BI125">
        <v>2</v>
      </c>
      <c r="BJ125" t="s">
        <v>189</v>
      </c>
      <c r="BK125" t="s">
        <v>104</v>
      </c>
      <c r="BL125" t="s">
        <v>190</v>
      </c>
      <c r="BM125" t="s">
        <v>2409</v>
      </c>
      <c r="BN125">
        <v>38088644</v>
      </c>
      <c r="BO125" t="s">
        <v>74</v>
      </c>
      <c r="BP125" t="s">
        <v>74</v>
      </c>
      <c r="BQ125" t="s">
        <v>74</v>
      </c>
      <c r="BR125" t="s">
        <v>108</v>
      </c>
      <c r="BS125" t="s">
        <v>2410</v>
      </c>
      <c r="BT125" t="str">
        <f>HYPERLINK("https%3A%2F%2Fwww.webofscience.com%2Fwos%2Fwoscc%2Ffull-record%2FWOS:001125399200001","View Full Record in Web of Science")</f>
        <v>View Full Record in Web of Science</v>
      </c>
    </row>
    <row r="126" spans="1:72" x14ac:dyDescent="0.15">
      <c r="A126" t="s">
        <v>72</v>
      </c>
      <c r="B126" t="s">
        <v>2411</v>
      </c>
      <c r="C126" t="s">
        <v>74</v>
      </c>
      <c r="D126" t="s">
        <v>74</v>
      </c>
      <c r="E126" t="s">
        <v>74</v>
      </c>
      <c r="F126" t="s">
        <v>2412</v>
      </c>
      <c r="G126" t="s">
        <v>74</v>
      </c>
      <c r="H126" t="s">
        <v>74</v>
      </c>
      <c r="I126" t="s">
        <v>2413</v>
      </c>
      <c r="J126" t="s">
        <v>1805</v>
      </c>
      <c r="K126" t="s">
        <v>74</v>
      </c>
      <c r="L126" t="s">
        <v>74</v>
      </c>
      <c r="M126" t="s">
        <v>78</v>
      </c>
      <c r="N126" t="s">
        <v>79</v>
      </c>
      <c r="O126" t="s">
        <v>74</v>
      </c>
      <c r="P126" t="s">
        <v>74</v>
      </c>
      <c r="Q126" t="s">
        <v>74</v>
      </c>
      <c r="R126" t="s">
        <v>74</v>
      </c>
      <c r="S126" t="s">
        <v>74</v>
      </c>
      <c r="T126" t="s">
        <v>2414</v>
      </c>
      <c r="U126" t="s">
        <v>2415</v>
      </c>
      <c r="V126" t="s">
        <v>2416</v>
      </c>
      <c r="W126" t="s">
        <v>2417</v>
      </c>
      <c r="X126" t="s">
        <v>2418</v>
      </c>
      <c r="Y126" t="s">
        <v>2419</v>
      </c>
      <c r="Z126" t="s">
        <v>2420</v>
      </c>
      <c r="AA126" t="s">
        <v>2421</v>
      </c>
      <c r="AB126" t="s">
        <v>2422</v>
      </c>
      <c r="AC126" t="s">
        <v>74</v>
      </c>
      <c r="AD126" t="s">
        <v>74</v>
      </c>
      <c r="AE126" t="s">
        <v>74</v>
      </c>
      <c r="AF126" t="s">
        <v>74</v>
      </c>
      <c r="AG126">
        <v>51</v>
      </c>
      <c r="AH126">
        <v>0</v>
      </c>
      <c r="AI126">
        <v>0</v>
      </c>
      <c r="AJ126">
        <v>0</v>
      </c>
      <c r="AK126">
        <v>0</v>
      </c>
      <c r="AL126" t="s">
        <v>1818</v>
      </c>
      <c r="AM126" t="s">
        <v>1819</v>
      </c>
      <c r="AN126" t="s">
        <v>1820</v>
      </c>
      <c r="AO126" t="s">
        <v>1821</v>
      </c>
      <c r="AP126" t="s">
        <v>1822</v>
      </c>
      <c r="AQ126" t="s">
        <v>74</v>
      </c>
      <c r="AR126" t="s">
        <v>1823</v>
      </c>
      <c r="AS126" t="s">
        <v>1824</v>
      </c>
      <c r="AT126" t="s">
        <v>74</v>
      </c>
      <c r="AU126">
        <v>2023</v>
      </c>
      <c r="AV126">
        <v>95</v>
      </c>
      <c r="AW126" t="s">
        <v>74</v>
      </c>
      <c r="AX126" t="s">
        <v>74</v>
      </c>
      <c r="AY126">
        <v>3</v>
      </c>
      <c r="AZ126" t="s">
        <v>74</v>
      </c>
      <c r="BA126" t="s">
        <v>74</v>
      </c>
      <c r="BB126" t="s">
        <v>74</v>
      </c>
      <c r="BC126" t="s">
        <v>74</v>
      </c>
      <c r="BD126" t="s">
        <v>2423</v>
      </c>
      <c r="BE126" t="s">
        <v>2424</v>
      </c>
      <c r="BF126" t="str">
        <f>HYPERLINK("http://dx.doi.org/10.1590/0001-3765202320220821","http://dx.doi.org/10.1590/0001-3765202320220821")</f>
        <v>http://dx.doi.org/10.1590/0001-3765202320220821</v>
      </c>
      <c r="BG126" t="s">
        <v>74</v>
      </c>
      <c r="BH126" t="s">
        <v>74</v>
      </c>
      <c r="BI126">
        <v>16</v>
      </c>
      <c r="BJ126" t="s">
        <v>189</v>
      </c>
      <c r="BK126" t="s">
        <v>104</v>
      </c>
      <c r="BL126" t="s">
        <v>190</v>
      </c>
      <c r="BM126" t="s">
        <v>2425</v>
      </c>
      <c r="BN126">
        <v>38088639</v>
      </c>
      <c r="BO126" t="s">
        <v>192</v>
      </c>
      <c r="BP126" t="s">
        <v>74</v>
      </c>
      <c r="BQ126" t="s">
        <v>74</v>
      </c>
      <c r="BR126" t="s">
        <v>108</v>
      </c>
      <c r="BS126" t="s">
        <v>2426</v>
      </c>
      <c r="BT126" t="str">
        <f>HYPERLINK("https%3A%2F%2Fwww.webofscience.com%2Fwos%2Fwoscc%2Ffull-record%2FWOS:001124994900001","View Full Record in Web of Science")</f>
        <v>View Full Record in Web of Science</v>
      </c>
    </row>
    <row r="127" spans="1:72" x14ac:dyDescent="0.15">
      <c r="A127" t="s">
        <v>894</v>
      </c>
      <c r="B127" t="s">
        <v>2427</v>
      </c>
      <c r="C127" t="s">
        <v>74</v>
      </c>
      <c r="D127" t="s">
        <v>74</v>
      </c>
      <c r="E127" t="s">
        <v>1167</v>
      </c>
      <c r="F127" t="s">
        <v>2428</v>
      </c>
      <c r="G127" t="s">
        <v>74</v>
      </c>
      <c r="H127" t="s">
        <v>2429</v>
      </c>
      <c r="I127" t="s">
        <v>2430</v>
      </c>
      <c r="J127" t="s">
        <v>2431</v>
      </c>
      <c r="K127" t="s">
        <v>2432</v>
      </c>
      <c r="L127" t="s">
        <v>74</v>
      </c>
      <c r="M127" t="s">
        <v>78</v>
      </c>
      <c r="N127" t="s">
        <v>901</v>
      </c>
      <c r="O127" t="s">
        <v>2433</v>
      </c>
      <c r="P127" t="s">
        <v>2434</v>
      </c>
      <c r="Q127" t="s">
        <v>2435</v>
      </c>
      <c r="R127" t="s">
        <v>74</v>
      </c>
      <c r="S127" t="s">
        <v>2436</v>
      </c>
      <c r="T127" t="s">
        <v>74</v>
      </c>
      <c r="U127" t="s">
        <v>74</v>
      </c>
      <c r="V127" t="s">
        <v>2437</v>
      </c>
      <c r="W127" t="s">
        <v>2438</v>
      </c>
      <c r="X127" t="s">
        <v>2439</v>
      </c>
      <c r="Y127" t="s">
        <v>2440</v>
      </c>
      <c r="Z127" t="s">
        <v>74</v>
      </c>
      <c r="AA127" t="s">
        <v>2441</v>
      </c>
      <c r="AB127" t="s">
        <v>74</v>
      </c>
      <c r="AC127" t="s">
        <v>74</v>
      </c>
      <c r="AD127" t="s">
        <v>74</v>
      </c>
      <c r="AE127" t="s">
        <v>74</v>
      </c>
      <c r="AF127" t="s">
        <v>74</v>
      </c>
      <c r="AG127">
        <v>0</v>
      </c>
      <c r="AH127">
        <v>0</v>
      </c>
      <c r="AI127">
        <v>0</v>
      </c>
      <c r="AJ127">
        <v>0</v>
      </c>
      <c r="AK127">
        <v>0</v>
      </c>
      <c r="AL127" t="s">
        <v>1167</v>
      </c>
      <c r="AM127" t="s">
        <v>93</v>
      </c>
      <c r="AN127" t="s">
        <v>1180</v>
      </c>
      <c r="AO127" t="s">
        <v>2442</v>
      </c>
      <c r="AP127" t="s">
        <v>74</v>
      </c>
      <c r="AQ127" t="s">
        <v>2443</v>
      </c>
      <c r="AR127" t="s">
        <v>2444</v>
      </c>
      <c r="AS127" t="s">
        <v>74</v>
      </c>
      <c r="AT127" t="s">
        <v>74</v>
      </c>
      <c r="AU127">
        <v>2023</v>
      </c>
      <c r="AV127" t="s">
        <v>74</v>
      </c>
      <c r="AW127" t="s">
        <v>74</v>
      </c>
      <c r="AX127" t="s">
        <v>74</v>
      </c>
      <c r="AY127" t="s">
        <v>74</v>
      </c>
      <c r="AZ127" t="s">
        <v>74</v>
      </c>
      <c r="BA127" t="s">
        <v>74</v>
      </c>
      <c r="BB127" t="s">
        <v>74</v>
      </c>
      <c r="BC127" t="s">
        <v>74</v>
      </c>
      <c r="BD127" t="s">
        <v>74</v>
      </c>
      <c r="BE127" t="s">
        <v>2445</v>
      </c>
      <c r="BF127" t="str">
        <f>HYPERLINK("http://dx.doi.org/10.1109/IRMMW-THz57677.2023.10298904","http://dx.doi.org/10.1109/IRMMW-THz57677.2023.10298904")</f>
        <v>http://dx.doi.org/10.1109/IRMMW-THz57677.2023.10298904</v>
      </c>
      <c r="BG127" t="s">
        <v>74</v>
      </c>
      <c r="BH127" t="s">
        <v>74</v>
      </c>
      <c r="BI127">
        <v>2</v>
      </c>
      <c r="BJ127" t="s">
        <v>2446</v>
      </c>
      <c r="BK127" t="s">
        <v>1186</v>
      </c>
      <c r="BL127" t="s">
        <v>2447</v>
      </c>
      <c r="BM127" t="s">
        <v>2448</v>
      </c>
      <c r="BN127" t="s">
        <v>74</v>
      </c>
      <c r="BO127" t="s">
        <v>74</v>
      </c>
      <c r="BP127" t="s">
        <v>74</v>
      </c>
      <c r="BQ127" t="s">
        <v>74</v>
      </c>
      <c r="BR127" t="s">
        <v>108</v>
      </c>
      <c r="BS127" t="s">
        <v>2449</v>
      </c>
      <c r="BT127" t="str">
        <f>HYPERLINK("https%3A%2F%2Fwww.webofscience.com%2Fwos%2Fwoscc%2Ffull-record%2FWOS:001098999800055","View Full Record in Web of Science")</f>
        <v>View Full Record in Web of Science</v>
      </c>
    </row>
    <row r="128" spans="1:72" x14ac:dyDescent="0.15">
      <c r="A128" t="s">
        <v>72</v>
      </c>
      <c r="B128" t="s">
        <v>2450</v>
      </c>
      <c r="C128" t="s">
        <v>74</v>
      </c>
      <c r="D128" t="s">
        <v>74</v>
      </c>
      <c r="E128" t="s">
        <v>74</v>
      </c>
      <c r="F128" t="s">
        <v>2451</v>
      </c>
      <c r="G128" t="s">
        <v>74</v>
      </c>
      <c r="H128" t="s">
        <v>74</v>
      </c>
      <c r="I128" t="s">
        <v>2452</v>
      </c>
      <c r="J128" t="s">
        <v>2453</v>
      </c>
      <c r="K128" t="s">
        <v>74</v>
      </c>
      <c r="L128" t="s">
        <v>74</v>
      </c>
      <c r="M128" t="s">
        <v>78</v>
      </c>
      <c r="N128" t="s">
        <v>743</v>
      </c>
      <c r="O128" t="s">
        <v>74</v>
      </c>
      <c r="P128" t="s">
        <v>74</v>
      </c>
      <c r="Q128" t="s">
        <v>74</v>
      </c>
      <c r="R128" t="s">
        <v>74</v>
      </c>
      <c r="S128" t="s">
        <v>74</v>
      </c>
      <c r="T128" t="s">
        <v>2454</v>
      </c>
      <c r="U128" t="s">
        <v>2455</v>
      </c>
      <c r="V128" t="s">
        <v>74</v>
      </c>
      <c r="W128" t="s">
        <v>2456</v>
      </c>
      <c r="X128" t="s">
        <v>2457</v>
      </c>
      <c r="Y128" t="s">
        <v>2458</v>
      </c>
      <c r="Z128" t="s">
        <v>2459</v>
      </c>
      <c r="AA128" t="s">
        <v>74</v>
      </c>
      <c r="AB128" t="s">
        <v>74</v>
      </c>
      <c r="AC128" t="s">
        <v>2460</v>
      </c>
      <c r="AD128" t="s">
        <v>2460</v>
      </c>
      <c r="AE128" t="s">
        <v>2461</v>
      </c>
      <c r="AF128" t="s">
        <v>74</v>
      </c>
      <c r="AG128">
        <v>24</v>
      </c>
      <c r="AH128">
        <v>0</v>
      </c>
      <c r="AI128">
        <v>0</v>
      </c>
      <c r="AJ128">
        <v>0</v>
      </c>
      <c r="AK128">
        <v>0</v>
      </c>
      <c r="AL128" t="s">
        <v>2462</v>
      </c>
      <c r="AM128" t="s">
        <v>2463</v>
      </c>
      <c r="AN128" t="s">
        <v>2464</v>
      </c>
      <c r="AO128" t="s">
        <v>2465</v>
      </c>
      <c r="AP128" t="s">
        <v>2466</v>
      </c>
      <c r="AQ128" t="s">
        <v>74</v>
      </c>
      <c r="AR128" t="s">
        <v>2453</v>
      </c>
      <c r="AS128" t="s">
        <v>2453</v>
      </c>
      <c r="AT128" t="s">
        <v>74</v>
      </c>
      <c r="AU128">
        <v>2023</v>
      </c>
      <c r="AV128">
        <v>70</v>
      </c>
      <c r="AW128">
        <v>3</v>
      </c>
      <c r="AX128" t="s">
        <v>74</v>
      </c>
      <c r="AY128" t="s">
        <v>74</v>
      </c>
      <c r="AZ128" t="s">
        <v>74</v>
      </c>
      <c r="BA128" t="s">
        <v>74</v>
      </c>
      <c r="BB128">
        <v>143</v>
      </c>
      <c r="BC128">
        <v>146</v>
      </c>
      <c r="BD128" t="s">
        <v>74</v>
      </c>
      <c r="BE128" t="s">
        <v>74</v>
      </c>
      <c r="BF128" t="s">
        <v>74</v>
      </c>
      <c r="BG128" t="s">
        <v>74</v>
      </c>
      <c r="BH128" t="s">
        <v>74</v>
      </c>
      <c r="BI128">
        <v>4</v>
      </c>
      <c r="BJ128" t="s">
        <v>2467</v>
      </c>
      <c r="BK128" t="s">
        <v>104</v>
      </c>
      <c r="BL128" t="s">
        <v>2468</v>
      </c>
      <c r="BM128" t="s">
        <v>2469</v>
      </c>
      <c r="BN128" t="s">
        <v>74</v>
      </c>
      <c r="BO128" t="s">
        <v>74</v>
      </c>
      <c r="BP128" t="s">
        <v>74</v>
      </c>
      <c r="BQ128" t="s">
        <v>74</v>
      </c>
      <c r="BR128" t="s">
        <v>108</v>
      </c>
      <c r="BS128" t="s">
        <v>2470</v>
      </c>
      <c r="BT128" t="str">
        <f>HYPERLINK("https%3A%2F%2Fwww.webofscience.com%2Fwos%2Fwoscc%2Ffull-record%2FWOS:001124572300005","View Full Record in Web of Science")</f>
        <v>View Full Record in Web of Science</v>
      </c>
    </row>
    <row r="129" spans="1:72" x14ac:dyDescent="0.15">
      <c r="A129" t="s">
        <v>72</v>
      </c>
      <c r="B129" t="s">
        <v>2471</v>
      </c>
      <c r="C129" t="s">
        <v>74</v>
      </c>
      <c r="D129" t="s">
        <v>74</v>
      </c>
      <c r="E129" t="s">
        <v>74</v>
      </c>
      <c r="F129" t="s">
        <v>2472</v>
      </c>
      <c r="G129" t="s">
        <v>74</v>
      </c>
      <c r="H129" t="s">
        <v>74</v>
      </c>
      <c r="I129" t="s">
        <v>2473</v>
      </c>
      <c r="J129" t="s">
        <v>1805</v>
      </c>
      <c r="K129" t="s">
        <v>74</v>
      </c>
      <c r="L129" t="s">
        <v>74</v>
      </c>
      <c r="M129" t="s">
        <v>78</v>
      </c>
      <c r="N129" t="s">
        <v>79</v>
      </c>
      <c r="O129" t="s">
        <v>74</v>
      </c>
      <c r="P129" t="s">
        <v>74</v>
      </c>
      <c r="Q129" t="s">
        <v>74</v>
      </c>
      <c r="R129" t="s">
        <v>74</v>
      </c>
      <c r="S129" t="s">
        <v>74</v>
      </c>
      <c r="T129" t="s">
        <v>2474</v>
      </c>
      <c r="U129" t="s">
        <v>2475</v>
      </c>
      <c r="V129" t="s">
        <v>2476</v>
      </c>
      <c r="W129" t="s">
        <v>2477</v>
      </c>
      <c r="X129" t="s">
        <v>1874</v>
      </c>
      <c r="Y129" t="s">
        <v>2478</v>
      </c>
      <c r="Z129" t="s">
        <v>2479</v>
      </c>
      <c r="AA129" t="s">
        <v>2374</v>
      </c>
      <c r="AB129" t="s">
        <v>2480</v>
      </c>
      <c r="AC129" t="s">
        <v>2481</v>
      </c>
      <c r="AD129" t="s">
        <v>2482</v>
      </c>
      <c r="AE129" t="s">
        <v>2483</v>
      </c>
      <c r="AF129" t="s">
        <v>74</v>
      </c>
      <c r="AG129">
        <v>45</v>
      </c>
      <c r="AH129">
        <v>0</v>
      </c>
      <c r="AI129">
        <v>0</v>
      </c>
      <c r="AJ129">
        <v>0</v>
      </c>
      <c r="AK129">
        <v>0</v>
      </c>
      <c r="AL129" t="s">
        <v>1818</v>
      </c>
      <c r="AM129" t="s">
        <v>1819</v>
      </c>
      <c r="AN129" t="s">
        <v>1820</v>
      </c>
      <c r="AO129" t="s">
        <v>1821</v>
      </c>
      <c r="AP129" t="s">
        <v>1822</v>
      </c>
      <c r="AQ129" t="s">
        <v>74</v>
      </c>
      <c r="AR129" t="s">
        <v>1823</v>
      </c>
      <c r="AS129" t="s">
        <v>1824</v>
      </c>
      <c r="AT129" t="s">
        <v>74</v>
      </c>
      <c r="AU129">
        <v>2023</v>
      </c>
      <c r="AV129">
        <v>95</v>
      </c>
      <c r="AW129" t="s">
        <v>74</v>
      </c>
      <c r="AX129" t="s">
        <v>74</v>
      </c>
      <c r="AY129">
        <v>3</v>
      </c>
      <c r="AZ129" t="s">
        <v>74</v>
      </c>
      <c r="BA129" t="s">
        <v>74</v>
      </c>
      <c r="BB129" t="s">
        <v>74</v>
      </c>
      <c r="BC129" t="s">
        <v>74</v>
      </c>
      <c r="BD129" t="s">
        <v>2484</v>
      </c>
      <c r="BE129" t="s">
        <v>2485</v>
      </c>
      <c r="BF129" t="str">
        <f>HYPERLINK("http://dx.doi.org/10.1590/0001-3765202320220158","http://dx.doi.org/10.1590/0001-3765202320220158")</f>
        <v>http://dx.doi.org/10.1590/0001-3765202320220158</v>
      </c>
      <c r="BG129" t="s">
        <v>74</v>
      </c>
      <c r="BH129" t="s">
        <v>74</v>
      </c>
      <c r="BI129">
        <v>17</v>
      </c>
      <c r="BJ129" t="s">
        <v>189</v>
      </c>
      <c r="BK129" t="s">
        <v>104</v>
      </c>
      <c r="BL129" t="s">
        <v>190</v>
      </c>
      <c r="BM129" t="s">
        <v>2486</v>
      </c>
      <c r="BN129">
        <v>38055510</v>
      </c>
      <c r="BO129" t="s">
        <v>165</v>
      </c>
      <c r="BP129" t="s">
        <v>74</v>
      </c>
      <c r="BQ129" t="s">
        <v>74</v>
      </c>
      <c r="BR129" t="s">
        <v>108</v>
      </c>
      <c r="BS129" t="s">
        <v>2487</v>
      </c>
      <c r="BT129" t="str">
        <f>HYPERLINK("https%3A%2F%2Fwww.webofscience.com%2Fwos%2Fwoscc%2Ffull-record%2FWOS:001123897400001","View Full Record in Web of Science")</f>
        <v>View Full Record in Web of Science</v>
      </c>
    </row>
    <row r="130" spans="1:72" x14ac:dyDescent="0.15">
      <c r="A130" t="s">
        <v>72</v>
      </c>
      <c r="B130" t="s">
        <v>2488</v>
      </c>
      <c r="C130" t="s">
        <v>74</v>
      </c>
      <c r="D130" t="s">
        <v>74</v>
      </c>
      <c r="E130" t="s">
        <v>74</v>
      </c>
      <c r="F130" t="s">
        <v>2489</v>
      </c>
      <c r="G130" t="s">
        <v>74</v>
      </c>
      <c r="H130" t="s">
        <v>74</v>
      </c>
      <c r="I130" t="s">
        <v>2490</v>
      </c>
      <c r="J130" t="s">
        <v>1805</v>
      </c>
      <c r="K130" t="s">
        <v>74</v>
      </c>
      <c r="L130" t="s">
        <v>74</v>
      </c>
      <c r="M130" t="s">
        <v>78</v>
      </c>
      <c r="N130" t="s">
        <v>79</v>
      </c>
      <c r="O130" t="s">
        <v>74</v>
      </c>
      <c r="P130" t="s">
        <v>74</v>
      </c>
      <c r="Q130" t="s">
        <v>74</v>
      </c>
      <c r="R130" t="s">
        <v>74</v>
      </c>
      <c r="S130" t="s">
        <v>74</v>
      </c>
      <c r="T130" t="s">
        <v>2491</v>
      </c>
      <c r="U130" t="s">
        <v>2492</v>
      </c>
      <c r="V130" t="s">
        <v>2493</v>
      </c>
      <c r="W130" t="s">
        <v>2494</v>
      </c>
      <c r="X130" t="s">
        <v>2495</v>
      </c>
      <c r="Y130" t="s">
        <v>2496</v>
      </c>
      <c r="Z130" t="s">
        <v>2497</v>
      </c>
      <c r="AA130" t="s">
        <v>2498</v>
      </c>
      <c r="AB130" t="s">
        <v>2499</v>
      </c>
      <c r="AC130" t="s">
        <v>2500</v>
      </c>
      <c r="AD130" t="s">
        <v>2501</v>
      </c>
      <c r="AE130" t="s">
        <v>2502</v>
      </c>
      <c r="AF130" t="s">
        <v>74</v>
      </c>
      <c r="AG130">
        <v>75</v>
      </c>
      <c r="AH130">
        <v>0</v>
      </c>
      <c r="AI130">
        <v>0</v>
      </c>
      <c r="AJ130">
        <v>0</v>
      </c>
      <c r="AK130">
        <v>0</v>
      </c>
      <c r="AL130" t="s">
        <v>1818</v>
      </c>
      <c r="AM130" t="s">
        <v>1819</v>
      </c>
      <c r="AN130" t="s">
        <v>1820</v>
      </c>
      <c r="AO130" t="s">
        <v>1821</v>
      </c>
      <c r="AP130" t="s">
        <v>1822</v>
      </c>
      <c r="AQ130" t="s">
        <v>74</v>
      </c>
      <c r="AR130" t="s">
        <v>1823</v>
      </c>
      <c r="AS130" t="s">
        <v>1824</v>
      </c>
      <c r="AT130" t="s">
        <v>74</v>
      </c>
      <c r="AU130">
        <v>2023</v>
      </c>
      <c r="AV130">
        <v>95</v>
      </c>
      <c r="AW130" t="s">
        <v>74</v>
      </c>
      <c r="AX130" t="s">
        <v>74</v>
      </c>
      <c r="AY130">
        <v>3</v>
      </c>
      <c r="AZ130" t="s">
        <v>74</v>
      </c>
      <c r="BA130" t="s">
        <v>74</v>
      </c>
      <c r="BB130" t="s">
        <v>74</v>
      </c>
      <c r="BC130" t="s">
        <v>74</v>
      </c>
      <c r="BD130" t="s">
        <v>2503</v>
      </c>
      <c r="BE130" t="s">
        <v>2504</v>
      </c>
      <c r="BF130" t="str">
        <f>HYPERLINK("http://dx.doi.org/10.1590/0001-3765202320220652","http://dx.doi.org/10.1590/0001-3765202320220652")</f>
        <v>http://dx.doi.org/10.1590/0001-3765202320220652</v>
      </c>
      <c r="BG130" t="s">
        <v>74</v>
      </c>
      <c r="BH130" t="s">
        <v>74</v>
      </c>
      <c r="BI130">
        <v>17</v>
      </c>
      <c r="BJ130" t="s">
        <v>189</v>
      </c>
      <c r="BK130" t="s">
        <v>104</v>
      </c>
      <c r="BL130" t="s">
        <v>190</v>
      </c>
      <c r="BM130" t="s">
        <v>2505</v>
      </c>
      <c r="BN130">
        <v>38055511</v>
      </c>
      <c r="BO130" t="s">
        <v>737</v>
      </c>
      <c r="BP130" t="s">
        <v>74</v>
      </c>
      <c r="BQ130" t="s">
        <v>74</v>
      </c>
      <c r="BR130" t="s">
        <v>108</v>
      </c>
      <c r="BS130" t="s">
        <v>2506</v>
      </c>
      <c r="BT130" t="str">
        <f>HYPERLINK("https%3A%2F%2Fwww.webofscience.com%2Fwos%2Fwoscc%2Ffull-record%2FWOS:001123852300001","View Full Record in Web of Science")</f>
        <v>View Full Record in Web of Science</v>
      </c>
    </row>
    <row r="131" spans="1:72" x14ac:dyDescent="0.15">
      <c r="A131" t="s">
        <v>72</v>
      </c>
      <c r="B131" t="s">
        <v>2507</v>
      </c>
      <c r="C131" t="s">
        <v>74</v>
      </c>
      <c r="D131" t="s">
        <v>74</v>
      </c>
      <c r="E131" t="s">
        <v>74</v>
      </c>
      <c r="F131" t="s">
        <v>2508</v>
      </c>
      <c r="G131" t="s">
        <v>74</v>
      </c>
      <c r="H131" t="s">
        <v>74</v>
      </c>
      <c r="I131" t="s">
        <v>2509</v>
      </c>
      <c r="J131" t="s">
        <v>1805</v>
      </c>
      <c r="K131" t="s">
        <v>74</v>
      </c>
      <c r="L131" t="s">
        <v>74</v>
      </c>
      <c r="M131" t="s">
        <v>78</v>
      </c>
      <c r="N131" t="s">
        <v>79</v>
      </c>
      <c r="O131" t="s">
        <v>74</v>
      </c>
      <c r="P131" t="s">
        <v>74</v>
      </c>
      <c r="Q131" t="s">
        <v>74</v>
      </c>
      <c r="R131" t="s">
        <v>74</v>
      </c>
      <c r="S131" t="s">
        <v>74</v>
      </c>
      <c r="T131" t="s">
        <v>2510</v>
      </c>
      <c r="U131" t="s">
        <v>2511</v>
      </c>
      <c r="V131" t="s">
        <v>2512</v>
      </c>
      <c r="W131" t="s">
        <v>2513</v>
      </c>
      <c r="X131" t="s">
        <v>2514</v>
      </c>
      <c r="Y131" t="s">
        <v>2515</v>
      </c>
      <c r="Z131" t="s">
        <v>2516</v>
      </c>
      <c r="AA131" t="s">
        <v>2517</v>
      </c>
      <c r="AB131" t="s">
        <v>2518</v>
      </c>
      <c r="AC131" t="s">
        <v>2519</v>
      </c>
      <c r="AD131" t="s">
        <v>2519</v>
      </c>
      <c r="AE131" t="s">
        <v>2520</v>
      </c>
      <c r="AF131" t="s">
        <v>74</v>
      </c>
      <c r="AG131">
        <v>72</v>
      </c>
      <c r="AH131">
        <v>0</v>
      </c>
      <c r="AI131">
        <v>0</v>
      </c>
      <c r="AJ131">
        <v>1</v>
      </c>
      <c r="AK131">
        <v>1</v>
      </c>
      <c r="AL131" t="s">
        <v>1818</v>
      </c>
      <c r="AM131" t="s">
        <v>1819</v>
      </c>
      <c r="AN131" t="s">
        <v>1820</v>
      </c>
      <c r="AO131" t="s">
        <v>1821</v>
      </c>
      <c r="AP131" t="s">
        <v>1822</v>
      </c>
      <c r="AQ131" t="s">
        <v>74</v>
      </c>
      <c r="AR131" t="s">
        <v>1823</v>
      </c>
      <c r="AS131" t="s">
        <v>1824</v>
      </c>
      <c r="AT131" t="s">
        <v>74</v>
      </c>
      <c r="AU131">
        <v>2023</v>
      </c>
      <c r="AV131">
        <v>95</v>
      </c>
      <c r="AW131" t="s">
        <v>74</v>
      </c>
      <c r="AX131" t="s">
        <v>74</v>
      </c>
      <c r="AY131">
        <v>3</v>
      </c>
      <c r="AZ131" t="s">
        <v>74</v>
      </c>
      <c r="BA131" t="s">
        <v>74</v>
      </c>
      <c r="BB131" t="s">
        <v>74</v>
      </c>
      <c r="BC131" t="s">
        <v>74</v>
      </c>
      <c r="BD131" t="s">
        <v>2521</v>
      </c>
      <c r="BE131" t="s">
        <v>2522</v>
      </c>
      <c r="BF131" t="str">
        <f>HYPERLINK("http://dx.doi.org/10.1590/0001-3765202320230451","http://dx.doi.org/10.1590/0001-3765202320230451")</f>
        <v>http://dx.doi.org/10.1590/0001-3765202320230451</v>
      </c>
      <c r="BG131" t="s">
        <v>74</v>
      </c>
      <c r="BH131" t="s">
        <v>74</v>
      </c>
      <c r="BI131">
        <v>24</v>
      </c>
      <c r="BJ131" t="s">
        <v>189</v>
      </c>
      <c r="BK131" t="s">
        <v>104</v>
      </c>
      <c r="BL131" t="s">
        <v>190</v>
      </c>
      <c r="BM131" t="s">
        <v>2523</v>
      </c>
      <c r="BN131">
        <v>38055512</v>
      </c>
      <c r="BO131" t="s">
        <v>165</v>
      </c>
      <c r="BP131" t="s">
        <v>74</v>
      </c>
      <c r="BQ131" t="s">
        <v>74</v>
      </c>
      <c r="BR131" t="s">
        <v>108</v>
      </c>
      <c r="BS131" t="s">
        <v>2524</v>
      </c>
      <c r="BT131" t="str">
        <f>HYPERLINK("https%3A%2F%2Fwww.webofscience.com%2Fwos%2Fwoscc%2Ffull-record%2FWOS:001123800200001","View Full Record in Web of Science")</f>
        <v>View Full Record in Web of Science</v>
      </c>
    </row>
    <row r="132" spans="1:72" x14ac:dyDescent="0.15">
      <c r="A132" t="s">
        <v>72</v>
      </c>
      <c r="B132" t="s">
        <v>2525</v>
      </c>
      <c r="C132" t="s">
        <v>74</v>
      </c>
      <c r="D132" t="s">
        <v>74</v>
      </c>
      <c r="E132" t="s">
        <v>74</v>
      </c>
      <c r="F132" t="s">
        <v>2526</v>
      </c>
      <c r="G132" t="s">
        <v>74</v>
      </c>
      <c r="H132" t="s">
        <v>74</v>
      </c>
      <c r="I132" t="s">
        <v>2527</v>
      </c>
      <c r="J132" t="s">
        <v>2528</v>
      </c>
      <c r="K132" t="s">
        <v>74</v>
      </c>
      <c r="L132" t="s">
        <v>74</v>
      </c>
      <c r="M132" t="s">
        <v>78</v>
      </c>
      <c r="N132" t="s">
        <v>79</v>
      </c>
      <c r="O132" t="s">
        <v>74</v>
      </c>
      <c r="P132" t="s">
        <v>74</v>
      </c>
      <c r="Q132" t="s">
        <v>74</v>
      </c>
      <c r="R132" t="s">
        <v>74</v>
      </c>
      <c r="S132" t="s">
        <v>74</v>
      </c>
      <c r="T132" t="s">
        <v>2529</v>
      </c>
      <c r="U132" t="s">
        <v>2530</v>
      </c>
      <c r="V132" t="s">
        <v>2531</v>
      </c>
      <c r="W132" t="s">
        <v>2532</v>
      </c>
      <c r="X132" t="s">
        <v>2533</v>
      </c>
      <c r="Y132" t="s">
        <v>2534</v>
      </c>
      <c r="Z132" t="s">
        <v>2535</v>
      </c>
      <c r="AA132" t="s">
        <v>2536</v>
      </c>
      <c r="AB132" t="s">
        <v>2537</v>
      </c>
      <c r="AC132" t="s">
        <v>74</v>
      </c>
      <c r="AD132" t="s">
        <v>74</v>
      </c>
      <c r="AE132" t="s">
        <v>74</v>
      </c>
      <c r="AF132" t="s">
        <v>74</v>
      </c>
      <c r="AG132">
        <v>35</v>
      </c>
      <c r="AH132">
        <v>0</v>
      </c>
      <c r="AI132">
        <v>0</v>
      </c>
      <c r="AJ132">
        <v>0</v>
      </c>
      <c r="AK132">
        <v>0</v>
      </c>
      <c r="AL132" t="s">
        <v>1010</v>
      </c>
      <c r="AM132" t="s">
        <v>1011</v>
      </c>
      <c r="AN132" t="s">
        <v>1012</v>
      </c>
      <c r="AO132" t="s">
        <v>2538</v>
      </c>
      <c r="AP132" t="s">
        <v>2539</v>
      </c>
      <c r="AQ132" t="s">
        <v>74</v>
      </c>
      <c r="AR132" t="s">
        <v>2540</v>
      </c>
      <c r="AS132" t="s">
        <v>2541</v>
      </c>
      <c r="AT132" t="s">
        <v>74</v>
      </c>
      <c r="AU132">
        <v>2023</v>
      </c>
      <c r="AV132">
        <v>37</v>
      </c>
      <c r="AW132">
        <v>4</v>
      </c>
      <c r="AX132" t="s">
        <v>74</v>
      </c>
      <c r="AY132" t="s">
        <v>74</v>
      </c>
      <c r="AZ132" t="s">
        <v>74</v>
      </c>
      <c r="BA132" t="s">
        <v>74</v>
      </c>
      <c r="BB132">
        <v>271</v>
      </c>
      <c r="BC132">
        <v>299</v>
      </c>
      <c r="BD132" t="s">
        <v>74</v>
      </c>
      <c r="BE132" t="s">
        <v>2542</v>
      </c>
      <c r="BF132" t="str">
        <f>HYPERLINK("http://dx.doi.org/10.1071/IS22064","http://dx.doi.org/10.1071/IS22064")</f>
        <v>http://dx.doi.org/10.1071/IS22064</v>
      </c>
      <c r="BG132" t="s">
        <v>74</v>
      </c>
      <c r="BH132" t="s">
        <v>74</v>
      </c>
      <c r="BI132">
        <v>29</v>
      </c>
      <c r="BJ132" t="s">
        <v>2543</v>
      </c>
      <c r="BK132" t="s">
        <v>104</v>
      </c>
      <c r="BL132" t="s">
        <v>2543</v>
      </c>
      <c r="BM132" t="s">
        <v>2544</v>
      </c>
      <c r="BN132" t="s">
        <v>74</v>
      </c>
      <c r="BO132" t="s">
        <v>74</v>
      </c>
      <c r="BP132" t="s">
        <v>74</v>
      </c>
      <c r="BQ132" t="s">
        <v>74</v>
      </c>
      <c r="BR132" t="s">
        <v>108</v>
      </c>
      <c r="BS132" t="s">
        <v>2545</v>
      </c>
      <c r="BT132" t="str">
        <f>HYPERLINK("https%3A%2F%2Fwww.webofscience.com%2Fwos%2Fwoscc%2Ffull-record%2FWOS:001119410000001","View Full Record in Web of Science")</f>
        <v>View Full Record in Web of Science</v>
      </c>
    </row>
    <row r="133" spans="1:72" x14ac:dyDescent="0.15">
      <c r="A133" t="s">
        <v>2240</v>
      </c>
      <c r="B133" t="s">
        <v>2546</v>
      </c>
      <c r="C133" t="s">
        <v>74</v>
      </c>
      <c r="D133" t="s">
        <v>2547</v>
      </c>
      <c r="E133" t="s">
        <v>74</v>
      </c>
      <c r="F133" t="s">
        <v>2548</v>
      </c>
      <c r="G133" t="s">
        <v>74</v>
      </c>
      <c r="H133" t="s">
        <v>74</v>
      </c>
      <c r="I133" t="s">
        <v>2549</v>
      </c>
      <c r="J133" t="s">
        <v>2550</v>
      </c>
      <c r="K133" t="s">
        <v>2551</v>
      </c>
      <c r="L133" t="s">
        <v>74</v>
      </c>
      <c r="M133" t="s">
        <v>78</v>
      </c>
      <c r="N133" t="s">
        <v>2552</v>
      </c>
      <c r="O133" t="s">
        <v>74</v>
      </c>
      <c r="P133" t="s">
        <v>74</v>
      </c>
      <c r="Q133" t="s">
        <v>74</v>
      </c>
      <c r="R133" t="s">
        <v>74</v>
      </c>
      <c r="S133" t="s">
        <v>74</v>
      </c>
      <c r="T133" t="s">
        <v>74</v>
      </c>
      <c r="U133" t="s">
        <v>2553</v>
      </c>
      <c r="V133" t="s">
        <v>2554</v>
      </c>
      <c r="W133" t="s">
        <v>2555</v>
      </c>
      <c r="X133" t="s">
        <v>2556</v>
      </c>
      <c r="Y133" t="s">
        <v>2557</v>
      </c>
      <c r="Z133" t="s">
        <v>2558</v>
      </c>
      <c r="AA133" t="s">
        <v>74</v>
      </c>
      <c r="AB133" t="s">
        <v>2559</v>
      </c>
      <c r="AC133" t="s">
        <v>2560</v>
      </c>
      <c r="AD133" t="s">
        <v>2561</v>
      </c>
      <c r="AE133" t="s">
        <v>2562</v>
      </c>
      <c r="AF133" t="s">
        <v>74</v>
      </c>
      <c r="AG133">
        <v>237</v>
      </c>
      <c r="AH133">
        <v>2</v>
      </c>
      <c r="AI133">
        <v>2</v>
      </c>
      <c r="AJ133">
        <v>3</v>
      </c>
      <c r="AK133">
        <v>3</v>
      </c>
      <c r="AL133" t="s">
        <v>2563</v>
      </c>
      <c r="AM133" t="s">
        <v>2564</v>
      </c>
      <c r="AN133" t="s">
        <v>2565</v>
      </c>
      <c r="AO133" t="s">
        <v>2566</v>
      </c>
      <c r="AP133" t="s">
        <v>2567</v>
      </c>
      <c r="AQ133" t="s">
        <v>2568</v>
      </c>
      <c r="AR133" t="s">
        <v>2569</v>
      </c>
      <c r="AS133" t="s">
        <v>2570</v>
      </c>
      <c r="AT133" t="s">
        <v>74</v>
      </c>
      <c r="AU133">
        <v>2023</v>
      </c>
      <c r="AV133">
        <v>94</v>
      </c>
      <c r="AW133" t="s">
        <v>74</v>
      </c>
      <c r="AX133" t="s">
        <v>74</v>
      </c>
      <c r="AY133" t="s">
        <v>74</v>
      </c>
      <c r="AZ133" t="s">
        <v>74</v>
      </c>
      <c r="BA133" t="s">
        <v>74</v>
      </c>
      <c r="BB133">
        <v>1</v>
      </c>
      <c r="BC133">
        <v>68</v>
      </c>
      <c r="BD133" t="s">
        <v>74</v>
      </c>
      <c r="BE133" t="s">
        <v>2571</v>
      </c>
      <c r="BF133" t="str">
        <f>HYPERLINK("http://dx.doi.org/10.1016/bs.amb.2023.01.001","http://dx.doi.org/10.1016/bs.amb.2023.01.001")</f>
        <v>http://dx.doi.org/10.1016/bs.amb.2023.01.001</v>
      </c>
      <c r="BG133" t="s">
        <v>74</v>
      </c>
      <c r="BH133" t="s">
        <v>74</v>
      </c>
      <c r="BI133">
        <v>68</v>
      </c>
      <c r="BJ133" t="s">
        <v>2572</v>
      </c>
      <c r="BK133" t="s">
        <v>968</v>
      </c>
      <c r="BL133" t="s">
        <v>2572</v>
      </c>
      <c r="BM133" t="s">
        <v>2573</v>
      </c>
      <c r="BN133">
        <v>37244676</v>
      </c>
      <c r="BO133" t="s">
        <v>74</v>
      </c>
      <c r="BP133" t="s">
        <v>74</v>
      </c>
      <c r="BQ133" t="s">
        <v>74</v>
      </c>
      <c r="BR133" t="s">
        <v>108</v>
      </c>
      <c r="BS133" t="s">
        <v>2574</v>
      </c>
      <c r="BT133" t="str">
        <f>HYPERLINK("https%3A%2F%2Fwww.webofscience.com%2Fwos%2Fwoscc%2Ffull-record%2FWOS:001089400800001","View Full Record in Web of Science")</f>
        <v>View Full Record in Web of Science</v>
      </c>
    </row>
    <row r="134" spans="1:72" x14ac:dyDescent="0.15">
      <c r="A134" t="s">
        <v>72</v>
      </c>
      <c r="B134" t="s">
        <v>2575</v>
      </c>
      <c r="C134" t="s">
        <v>74</v>
      </c>
      <c r="D134" t="s">
        <v>74</v>
      </c>
      <c r="E134" t="s">
        <v>74</v>
      </c>
      <c r="F134" t="s">
        <v>2576</v>
      </c>
      <c r="G134" t="s">
        <v>74</v>
      </c>
      <c r="H134" t="s">
        <v>74</v>
      </c>
      <c r="I134" t="s">
        <v>2577</v>
      </c>
      <c r="J134" t="s">
        <v>2578</v>
      </c>
      <c r="K134" t="s">
        <v>74</v>
      </c>
      <c r="L134" t="s">
        <v>74</v>
      </c>
      <c r="M134" t="s">
        <v>78</v>
      </c>
      <c r="N134" t="s">
        <v>79</v>
      </c>
      <c r="O134" t="s">
        <v>74</v>
      </c>
      <c r="P134" t="s">
        <v>74</v>
      </c>
      <c r="Q134" t="s">
        <v>74</v>
      </c>
      <c r="R134" t="s">
        <v>74</v>
      </c>
      <c r="S134" t="s">
        <v>74</v>
      </c>
      <c r="T134" t="s">
        <v>2579</v>
      </c>
      <c r="U134" t="s">
        <v>2580</v>
      </c>
      <c r="V134" t="s">
        <v>2581</v>
      </c>
      <c r="W134" t="s">
        <v>2582</v>
      </c>
      <c r="X134" t="s">
        <v>2583</v>
      </c>
      <c r="Y134" t="s">
        <v>2584</v>
      </c>
      <c r="Z134" t="s">
        <v>2585</v>
      </c>
      <c r="AA134" t="s">
        <v>74</v>
      </c>
      <c r="AB134" t="s">
        <v>74</v>
      </c>
      <c r="AC134" t="s">
        <v>2586</v>
      </c>
      <c r="AD134" t="s">
        <v>2587</v>
      </c>
      <c r="AE134" t="s">
        <v>2588</v>
      </c>
      <c r="AF134" t="s">
        <v>74</v>
      </c>
      <c r="AG134">
        <v>126</v>
      </c>
      <c r="AH134">
        <v>0</v>
      </c>
      <c r="AI134">
        <v>0</v>
      </c>
      <c r="AJ134">
        <v>5</v>
      </c>
      <c r="AK134">
        <v>5</v>
      </c>
      <c r="AL134" t="s">
        <v>422</v>
      </c>
      <c r="AM134" t="s">
        <v>208</v>
      </c>
      <c r="AN134" t="s">
        <v>423</v>
      </c>
      <c r="AO134" t="s">
        <v>2589</v>
      </c>
      <c r="AP134" t="s">
        <v>74</v>
      </c>
      <c r="AQ134" t="s">
        <v>74</v>
      </c>
      <c r="AR134" t="s">
        <v>2590</v>
      </c>
      <c r="AS134" t="s">
        <v>2591</v>
      </c>
      <c r="AT134" t="s">
        <v>2592</v>
      </c>
      <c r="AU134">
        <v>2023</v>
      </c>
      <c r="AV134">
        <v>11</v>
      </c>
      <c r="AW134">
        <v>1</v>
      </c>
      <c r="AX134" t="s">
        <v>74</v>
      </c>
      <c r="AY134" t="s">
        <v>74</v>
      </c>
      <c r="AZ134" t="s">
        <v>74</v>
      </c>
      <c r="BA134" t="s">
        <v>74</v>
      </c>
      <c r="BB134" t="s">
        <v>74</v>
      </c>
      <c r="BC134" t="s">
        <v>74</v>
      </c>
      <c r="BD134" t="s">
        <v>2593</v>
      </c>
      <c r="BE134" t="s">
        <v>2594</v>
      </c>
      <c r="BF134" t="str">
        <f>HYPERLINK("http://dx.doi.org/10.1093/conphys/coad063","http://dx.doi.org/10.1093/conphys/coad063")</f>
        <v>http://dx.doi.org/10.1093/conphys/coad063</v>
      </c>
      <c r="BG134" t="s">
        <v>74</v>
      </c>
      <c r="BH134" t="s">
        <v>74</v>
      </c>
      <c r="BI134">
        <v>19</v>
      </c>
      <c r="BJ134" t="s">
        <v>2595</v>
      </c>
      <c r="BK134" t="s">
        <v>104</v>
      </c>
      <c r="BL134" t="s">
        <v>2596</v>
      </c>
      <c r="BM134" t="s">
        <v>2597</v>
      </c>
      <c r="BN134">
        <v>38053739</v>
      </c>
      <c r="BO134" t="s">
        <v>192</v>
      </c>
      <c r="BP134" t="s">
        <v>74</v>
      </c>
      <c r="BQ134" t="s">
        <v>74</v>
      </c>
      <c r="BR134" t="s">
        <v>108</v>
      </c>
      <c r="BS134" t="s">
        <v>2598</v>
      </c>
      <c r="BT134" t="str">
        <f>HYPERLINK("https%3A%2F%2Fwww.webofscience.com%2Fwos%2Fwoscc%2Ffull-record%2FWOS:001112460600001","View Full Record in Web of Science")</f>
        <v>View Full Record in Web of Science</v>
      </c>
    </row>
    <row r="135" spans="1:72" x14ac:dyDescent="0.15">
      <c r="A135" t="s">
        <v>72</v>
      </c>
      <c r="B135" t="s">
        <v>2599</v>
      </c>
      <c r="C135" t="s">
        <v>74</v>
      </c>
      <c r="D135" t="s">
        <v>74</v>
      </c>
      <c r="E135" t="s">
        <v>74</v>
      </c>
      <c r="F135" t="s">
        <v>2600</v>
      </c>
      <c r="G135" t="s">
        <v>74</v>
      </c>
      <c r="H135" t="s">
        <v>74</v>
      </c>
      <c r="I135" t="s">
        <v>2601</v>
      </c>
      <c r="J135" t="s">
        <v>2602</v>
      </c>
      <c r="K135" t="s">
        <v>74</v>
      </c>
      <c r="L135" t="s">
        <v>74</v>
      </c>
      <c r="M135" t="s">
        <v>78</v>
      </c>
      <c r="N135" t="s">
        <v>79</v>
      </c>
      <c r="O135" t="s">
        <v>74</v>
      </c>
      <c r="P135" t="s">
        <v>74</v>
      </c>
      <c r="Q135" t="s">
        <v>74</v>
      </c>
      <c r="R135" t="s">
        <v>74</v>
      </c>
      <c r="S135" t="s">
        <v>74</v>
      </c>
      <c r="T135" t="s">
        <v>2603</v>
      </c>
      <c r="U135" t="s">
        <v>74</v>
      </c>
      <c r="V135" t="s">
        <v>2604</v>
      </c>
      <c r="W135" t="s">
        <v>2605</v>
      </c>
      <c r="X135" t="s">
        <v>2606</v>
      </c>
      <c r="Y135" t="s">
        <v>2607</v>
      </c>
      <c r="Z135" t="s">
        <v>2608</v>
      </c>
      <c r="AA135" t="s">
        <v>74</v>
      </c>
      <c r="AB135" t="s">
        <v>2609</v>
      </c>
      <c r="AC135" t="s">
        <v>2610</v>
      </c>
      <c r="AD135" t="s">
        <v>2611</v>
      </c>
      <c r="AE135" t="s">
        <v>2612</v>
      </c>
      <c r="AF135" t="s">
        <v>74</v>
      </c>
      <c r="AG135">
        <v>19</v>
      </c>
      <c r="AH135">
        <v>0</v>
      </c>
      <c r="AI135">
        <v>0</v>
      </c>
      <c r="AJ135">
        <v>4</v>
      </c>
      <c r="AK135">
        <v>4</v>
      </c>
      <c r="AL135" t="s">
        <v>1743</v>
      </c>
      <c r="AM135" t="s">
        <v>1744</v>
      </c>
      <c r="AN135" t="s">
        <v>1745</v>
      </c>
      <c r="AO135" t="s">
        <v>2613</v>
      </c>
      <c r="AP135" t="s">
        <v>2614</v>
      </c>
      <c r="AQ135" t="s">
        <v>74</v>
      </c>
      <c r="AR135" t="s">
        <v>2615</v>
      </c>
      <c r="AS135" t="s">
        <v>2616</v>
      </c>
      <c r="AT135" t="s">
        <v>74</v>
      </c>
      <c r="AU135">
        <v>2023</v>
      </c>
      <c r="AV135">
        <v>20</v>
      </c>
      <c r="AW135" t="s">
        <v>74</v>
      </c>
      <c r="AX135" t="s">
        <v>74</v>
      </c>
      <c r="AY135" t="s">
        <v>74</v>
      </c>
      <c r="AZ135" t="s">
        <v>74</v>
      </c>
      <c r="BA135" t="s">
        <v>74</v>
      </c>
      <c r="BB135" t="s">
        <v>74</v>
      </c>
      <c r="BC135" t="s">
        <v>74</v>
      </c>
      <c r="BD135">
        <v>1503605</v>
      </c>
      <c r="BE135" t="s">
        <v>2617</v>
      </c>
      <c r="BF135" t="str">
        <f>HYPERLINK("http://dx.doi.org/10.1109/LGRS.2023.3311875","http://dx.doi.org/10.1109/LGRS.2023.3311875")</f>
        <v>http://dx.doi.org/10.1109/LGRS.2023.3311875</v>
      </c>
      <c r="BG135" t="s">
        <v>74</v>
      </c>
      <c r="BH135" t="s">
        <v>74</v>
      </c>
      <c r="BI135">
        <v>5</v>
      </c>
      <c r="BJ135" t="s">
        <v>1751</v>
      </c>
      <c r="BK135" t="s">
        <v>104</v>
      </c>
      <c r="BL135" t="s">
        <v>1752</v>
      </c>
      <c r="BM135" t="s">
        <v>2618</v>
      </c>
      <c r="BN135" t="s">
        <v>74</v>
      </c>
      <c r="BO135" t="s">
        <v>74</v>
      </c>
      <c r="BP135" t="s">
        <v>74</v>
      </c>
      <c r="BQ135" t="s">
        <v>74</v>
      </c>
      <c r="BR135" t="s">
        <v>108</v>
      </c>
      <c r="BS135" t="s">
        <v>2619</v>
      </c>
      <c r="BT135" t="str">
        <f>HYPERLINK("https%3A%2F%2Fwww.webofscience.com%2Fwos%2Fwoscc%2Ffull-record%2FWOS:001105113300004","View Full Record in Web of Science")</f>
        <v>View Full Record in Web of Science</v>
      </c>
    </row>
    <row r="136" spans="1:72" x14ac:dyDescent="0.15">
      <c r="A136" t="s">
        <v>72</v>
      </c>
      <c r="B136" t="s">
        <v>2620</v>
      </c>
      <c r="C136" t="s">
        <v>74</v>
      </c>
      <c r="D136" t="s">
        <v>74</v>
      </c>
      <c r="E136" t="s">
        <v>74</v>
      </c>
      <c r="F136" t="s">
        <v>2621</v>
      </c>
      <c r="G136" t="s">
        <v>74</v>
      </c>
      <c r="H136" t="s">
        <v>74</v>
      </c>
      <c r="I136" t="s">
        <v>2622</v>
      </c>
      <c r="J136" t="s">
        <v>2623</v>
      </c>
      <c r="K136" t="s">
        <v>74</v>
      </c>
      <c r="L136" t="s">
        <v>74</v>
      </c>
      <c r="M136" t="s">
        <v>1384</v>
      </c>
      <c r="N136" t="s">
        <v>79</v>
      </c>
      <c r="O136" t="s">
        <v>74</v>
      </c>
      <c r="P136" t="s">
        <v>74</v>
      </c>
      <c r="Q136" t="s">
        <v>74</v>
      </c>
      <c r="R136" t="s">
        <v>74</v>
      </c>
      <c r="S136" t="s">
        <v>74</v>
      </c>
      <c r="T136" t="s">
        <v>2624</v>
      </c>
      <c r="U136" t="s">
        <v>74</v>
      </c>
      <c r="V136" t="s">
        <v>2625</v>
      </c>
      <c r="W136" t="s">
        <v>2626</v>
      </c>
      <c r="X136" t="s">
        <v>2627</v>
      </c>
      <c r="Y136" t="s">
        <v>2628</v>
      </c>
      <c r="Z136" t="s">
        <v>2629</v>
      </c>
      <c r="AA136" t="s">
        <v>74</v>
      </c>
      <c r="AB136" t="s">
        <v>74</v>
      </c>
      <c r="AC136" t="s">
        <v>2630</v>
      </c>
      <c r="AD136" t="s">
        <v>1413</v>
      </c>
      <c r="AE136" t="s">
        <v>2631</v>
      </c>
      <c r="AF136" t="s">
        <v>74</v>
      </c>
      <c r="AG136">
        <v>9</v>
      </c>
      <c r="AH136">
        <v>0</v>
      </c>
      <c r="AI136">
        <v>0</v>
      </c>
      <c r="AJ136">
        <v>0</v>
      </c>
      <c r="AK136">
        <v>0</v>
      </c>
      <c r="AL136" t="s">
        <v>2632</v>
      </c>
      <c r="AM136" t="s">
        <v>1393</v>
      </c>
      <c r="AN136" t="s">
        <v>2633</v>
      </c>
      <c r="AO136" t="s">
        <v>2634</v>
      </c>
      <c r="AP136" t="s">
        <v>2635</v>
      </c>
      <c r="AQ136" t="s">
        <v>74</v>
      </c>
      <c r="AR136" t="s">
        <v>2636</v>
      </c>
      <c r="AS136" t="s">
        <v>2637</v>
      </c>
      <c r="AT136" t="s">
        <v>74</v>
      </c>
      <c r="AU136">
        <v>2023</v>
      </c>
      <c r="AV136">
        <v>18</v>
      </c>
      <c r="AW136">
        <v>3</v>
      </c>
      <c r="AX136" t="s">
        <v>74</v>
      </c>
      <c r="AY136" t="s">
        <v>74</v>
      </c>
      <c r="AZ136" t="s">
        <v>74</v>
      </c>
      <c r="BA136" t="s">
        <v>74</v>
      </c>
      <c r="BB136">
        <v>133</v>
      </c>
      <c r="BC136">
        <v>143</v>
      </c>
      <c r="BD136" t="s">
        <v>74</v>
      </c>
      <c r="BE136" t="s">
        <v>2638</v>
      </c>
      <c r="BF136" t="str">
        <f>HYPERLINK("http://dx.doi.org/10.18470/1992-1098-2023-3-133-143","http://dx.doi.org/10.18470/1992-1098-2023-3-133-143")</f>
        <v>http://dx.doi.org/10.18470/1992-1098-2023-3-133-143</v>
      </c>
      <c r="BG136" t="s">
        <v>74</v>
      </c>
      <c r="BH136" t="s">
        <v>74</v>
      </c>
      <c r="BI136">
        <v>11</v>
      </c>
      <c r="BJ136" t="s">
        <v>2639</v>
      </c>
      <c r="BK136" t="s">
        <v>757</v>
      </c>
      <c r="BL136" t="s">
        <v>217</v>
      </c>
      <c r="BM136" t="s">
        <v>2640</v>
      </c>
      <c r="BN136" t="s">
        <v>74</v>
      </c>
      <c r="BO136" t="s">
        <v>165</v>
      </c>
      <c r="BP136" t="s">
        <v>74</v>
      </c>
      <c r="BQ136" t="s">
        <v>74</v>
      </c>
      <c r="BR136" t="s">
        <v>108</v>
      </c>
      <c r="BS136" t="s">
        <v>2641</v>
      </c>
      <c r="BT136" t="str">
        <f>HYPERLINK("https%3A%2F%2Fwww.webofscience.com%2Fwos%2Fwoscc%2Ffull-record%2FWOS:001098833500012","View Full Record in Web of Science")</f>
        <v>View Full Record in Web of Science</v>
      </c>
    </row>
    <row r="137" spans="1:72" x14ac:dyDescent="0.15">
      <c r="A137" t="s">
        <v>72</v>
      </c>
      <c r="B137" t="s">
        <v>2642</v>
      </c>
      <c r="C137" t="s">
        <v>74</v>
      </c>
      <c r="D137" t="s">
        <v>74</v>
      </c>
      <c r="E137" t="s">
        <v>74</v>
      </c>
      <c r="F137" t="s">
        <v>2643</v>
      </c>
      <c r="G137" t="s">
        <v>74</v>
      </c>
      <c r="H137" t="s">
        <v>74</v>
      </c>
      <c r="I137" t="s">
        <v>2644</v>
      </c>
      <c r="J137" t="s">
        <v>2645</v>
      </c>
      <c r="K137" t="s">
        <v>74</v>
      </c>
      <c r="L137" t="s">
        <v>74</v>
      </c>
      <c r="M137" t="s">
        <v>1384</v>
      </c>
      <c r="N137" t="s">
        <v>79</v>
      </c>
      <c r="O137" t="s">
        <v>74</v>
      </c>
      <c r="P137" t="s">
        <v>74</v>
      </c>
      <c r="Q137" t="s">
        <v>74</v>
      </c>
      <c r="R137" t="s">
        <v>74</v>
      </c>
      <c r="S137" t="s">
        <v>74</v>
      </c>
      <c r="T137" t="s">
        <v>2646</v>
      </c>
      <c r="U137" t="s">
        <v>2647</v>
      </c>
      <c r="V137" t="s">
        <v>2648</v>
      </c>
      <c r="W137" t="s">
        <v>2649</v>
      </c>
      <c r="X137" t="s">
        <v>2650</v>
      </c>
      <c r="Y137" t="s">
        <v>2651</v>
      </c>
      <c r="Z137" t="s">
        <v>2652</v>
      </c>
      <c r="AA137" t="s">
        <v>74</v>
      </c>
      <c r="AB137" t="s">
        <v>74</v>
      </c>
      <c r="AC137" t="s">
        <v>2653</v>
      </c>
      <c r="AD137" t="s">
        <v>2654</v>
      </c>
      <c r="AE137" t="s">
        <v>2655</v>
      </c>
      <c r="AF137" t="s">
        <v>74</v>
      </c>
      <c r="AG137">
        <v>174</v>
      </c>
      <c r="AH137">
        <v>2</v>
      </c>
      <c r="AI137">
        <v>2</v>
      </c>
      <c r="AJ137">
        <v>1</v>
      </c>
      <c r="AK137">
        <v>1</v>
      </c>
      <c r="AL137" t="s">
        <v>2656</v>
      </c>
      <c r="AM137" t="s">
        <v>2657</v>
      </c>
      <c r="AN137" t="s">
        <v>2658</v>
      </c>
      <c r="AO137" t="s">
        <v>2659</v>
      </c>
      <c r="AP137" t="s">
        <v>2660</v>
      </c>
      <c r="AQ137" t="s">
        <v>74</v>
      </c>
      <c r="AR137" t="s">
        <v>2645</v>
      </c>
      <c r="AS137" t="s">
        <v>2661</v>
      </c>
      <c r="AT137" t="s">
        <v>74</v>
      </c>
      <c r="AU137">
        <v>2023</v>
      </c>
      <c r="AV137" t="s">
        <v>74</v>
      </c>
      <c r="AW137">
        <v>1</v>
      </c>
      <c r="AX137" t="s">
        <v>74</v>
      </c>
      <c r="AY137" t="s">
        <v>74</v>
      </c>
      <c r="AZ137" t="s">
        <v>74</v>
      </c>
      <c r="BA137" t="s">
        <v>74</v>
      </c>
      <c r="BB137">
        <v>193</v>
      </c>
      <c r="BC137">
        <v>228</v>
      </c>
      <c r="BD137" t="s">
        <v>74</v>
      </c>
      <c r="BE137" t="s">
        <v>2662</v>
      </c>
      <c r="BF137" t="str">
        <f>HYPERLINK("http://dx.doi.org/10.55086/sp231193228","http://dx.doi.org/10.55086/sp231193228")</f>
        <v>http://dx.doi.org/10.55086/sp231193228</v>
      </c>
      <c r="BG137" t="s">
        <v>74</v>
      </c>
      <c r="BH137" t="s">
        <v>74</v>
      </c>
      <c r="BI137">
        <v>36</v>
      </c>
      <c r="BJ137" t="s">
        <v>2663</v>
      </c>
      <c r="BK137" t="s">
        <v>757</v>
      </c>
      <c r="BL137" t="s">
        <v>2663</v>
      </c>
      <c r="BM137" t="s">
        <v>2664</v>
      </c>
      <c r="BN137" t="s">
        <v>74</v>
      </c>
      <c r="BO137" t="s">
        <v>74</v>
      </c>
      <c r="BP137" t="s">
        <v>74</v>
      </c>
      <c r="BQ137" t="s">
        <v>74</v>
      </c>
      <c r="BR137" t="s">
        <v>108</v>
      </c>
      <c r="BS137" t="s">
        <v>2665</v>
      </c>
      <c r="BT137" t="str">
        <f>HYPERLINK("https%3A%2F%2Fwww.webofscience.com%2Fwos%2Fwoscc%2Ffull-record%2FWOS:001097514500010","View Full Record in Web of Science")</f>
        <v>View Full Record in Web of Science</v>
      </c>
    </row>
    <row r="138" spans="1:72" x14ac:dyDescent="0.15">
      <c r="A138" t="s">
        <v>72</v>
      </c>
      <c r="B138" t="s">
        <v>2666</v>
      </c>
      <c r="C138" t="s">
        <v>74</v>
      </c>
      <c r="D138" t="s">
        <v>74</v>
      </c>
      <c r="E138" t="s">
        <v>74</v>
      </c>
      <c r="F138" t="s">
        <v>2667</v>
      </c>
      <c r="G138" t="s">
        <v>74</v>
      </c>
      <c r="H138" t="s">
        <v>74</v>
      </c>
      <c r="I138" t="s">
        <v>2668</v>
      </c>
      <c r="J138" t="s">
        <v>2669</v>
      </c>
      <c r="K138" t="s">
        <v>74</v>
      </c>
      <c r="L138" t="s">
        <v>74</v>
      </c>
      <c r="M138" t="s">
        <v>78</v>
      </c>
      <c r="N138" t="s">
        <v>79</v>
      </c>
      <c r="O138" t="s">
        <v>74</v>
      </c>
      <c r="P138" t="s">
        <v>74</v>
      </c>
      <c r="Q138" t="s">
        <v>74</v>
      </c>
      <c r="R138" t="s">
        <v>74</v>
      </c>
      <c r="S138" t="s">
        <v>74</v>
      </c>
      <c r="T138" t="s">
        <v>2670</v>
      </c>
      <c r="U138" t="s">
        <v>2671</v>
      </c>
      <c r="V138" t="s">
        <v>2672</v>
      </c>
      <c r="W138" t="s">
        <v>2673</v>
      </c>
      <c r="X138" t="s">
        <v>2674</v>
      </c>
      <c r="Y138" t="s">
        <v>2675</v>
      </c>
      <c r="Z138" t="s">
        <v>2676</v>
      </c>
      <c r="AA138" t="s">
        <v>2677</v>
      </c>
      <c r="AB138" t="s">
        <v>2678</v>
      </c>
      <c r="AC138" t="s">
        <v>74</v>
      </c>
      <c r="AD138" t="s">
        <v>74</v>
      </c>
      <c r="AE138" t="s">
        <v>74</v>
      </c>
      <c r="AF138" t="s">
        <v>74</v>
      </c>
      <c r="AG138">
        <v>36</v>
      </c>
      <c r="AH138">
        <v>0</v>
      </c>
      <c r="AI138">
        <v>0</v>
      </c>
      <c r="AJ138">
        <v>1</v>
      </c>
      <c r="AK138">
        <v>1</v>
      </c>
      <c r="AL138" t="s">
        <v>2679</v>
      </c>
      <c r="AM138" t="s">
        <v>1766</v>
      </c>
      <c r="AN138" t="s">
        <v>1767</v>
      </c>
      <c r="AO138" t="s">
        <v>2680</v>
      </c>
      <c r="AP138" t="s">
        <v>2681</v>
      </c>
      <c r="AQ138" t="s">
        <v>74</v>
      </c>
      <c r="AR138" t="s">
        <v>2682</v>
      </c>
      <c r="AS138" t="s">
        <v>2683</v>
      </c>
      <c r="AT138" t="s">
        <v>74</v>
      </c>
      <c r="AU138">
        <v>2023</v>
      </c>
      <c r="AV138">
        <v>44</v>
      </c>
      <c r="AW138">
        <v>4</v>
      </c>
      <c r="AX138" t="s">
        <v>74</v>
      </c>
      <c r="AY138" t="s">
        <v>74</v>
      </c>
      <c r="AZ138" t="s">
        <v>74</v>
      </c>
      <c r="BA138" t="s">
        <v>74</v>
      </c>
      <c r="BB138">
        <v>385</v>
      </c>
      <c r="BC138">
        <v>399</v>
      </c>
      <c r="BD138" t="s">
        <v>74</v>
      </c>
      <c r="BE138" t="s">
        <v>2684</v>
      </c>
      <c r="BF138" t="str">
        <f>HYPERLINK("http://dx.doi.org/10.24425/ppr.2023.145437","http://dx.doi.org/10.24425/ppr.2023.145437")</f>
        <v>http://dx.doi.org/10.24425/ppr.2023.145437</v>
      </c>
      <c r="BG138" t="s">
        <v>74</v>
      </c>
      <c r="BH138" t="s">
        <v>74</v>
      </c>
      <c r="BI138">
        <v>15</v>
      </c>
      <c r="BJ138" t="s">
        <v>734</v>
      </c>
      <c r="BK138" t="s">
        <v>104</v>
      </c>
      <c r="BL138" t="s">
        <v>735</v>
      </c>
      <c r="BM138" t="s">
        <v>2685</v>
      </c>
      <c r="BN138" t="s">
        <v>74</v>
      </c>
      <c r="BO138" t="s">
        <v>165</v>
      </c>
      <c r="BP138" t="s">
        <v>74</v>
      </c>
      <c r="BQ138" t="s">
        <v>74</v>
      </c>
      <c r="BR138" t="s">
        <v>108</v>
      </c>
      <c r="BS138" t="s">
        <v>2686</v>
      </c>
      <c r="BT138" t="str">
        <f>HYPERLINK("https%3A%2F%2Fwww.webofscience.com%2Fwos%2Fwoscc%2Ffull-record%2FWOS:001100775700003","View Full Record in Web of Science")</f>
        <v>View Full Record in Web of Science</v>
      </c>
    </row>
    <row r="139" spans="1:72" x14ac:dyDescent="0.15">
      <c r="A139" t="s">
        <v>72</v>
      </c>
      <c r="B139" t="s">
        <v>2687</v>
      </c>
      <c r="C139" t="s">
        <v>74</v>
      </c>
      <c r="D139" t="s">
        <v>74</v>
      </c>
      <c r="E139" t="s">
        <v>74</v>
      </c>
      <c r="F139" t="s">
        <v>2688</v>
      </c>
      <c r="G139" t="s">
        <v>74</v>
      </c>
      <c r="H139" t="s">
        <v>74</v>
      </c>
      <c r="I139" t="s">
        <v>2689</v>
      </c>
      <c r="J139" t="s">
        <v>1805</v>
      </c>
      <c r="K139" t="s">
        <v>74</v>
      </c>
      <c r="L139" t="s">
        <v>74</v>
      </c>
      <c r="M139" t="s">
        <v>78</v>
      </c>
      <c r="N139" t="s">
        <v>79</v>
      </c>
      <c r="O139" t="s">
        <v>74</v>
      </c>
      <c r="P139" t="s">
        <v>74</v>
      </c>
      <c r="Q139" t="s">
        <v>74</v>
      </c>
      <c r="R139" t="s">
        <v>74</v>
      </c>
      <c r="S139" t="s">
        <v>74</v>
      </c>
      <c r="T139" t="s">
        <v>2690</v>
      </c>
      <c r="U139" t="s">
        <v>2691</v>
      </c>
      <c r="V139" t="s">
        <v>2692</v>
      </c>
      <c r="W139" t="s">
        <v>2693</v>
      </c>
      <c r="X139" t="s">
        <v>2694</v>
      </c>
      <c r="Y139" t="s">
        <v>2695</v>
      </c>
      <c r="Z139" t="s">
        <v>2696</v>
      </c>
      <c r="AA139" t="s">
        <v>2697</v>
      </c>
      <c r="AB139" t="s">
        <v>2698</v>
      </c>
      <c r="AC139" t="s">
        <v>74</v>
      </c>
      <c r="AD139" t="s">
        <v>74</v>
      </c>
      <c r="AE139" t="s">
        <v>74</v>
      </c>
      <c r="AF139" t="s">
        <v>74</v>
      </c>
      <c r="AG139">
        <v>29</v>
      </c>
      <c r="AH139">
        <v>0</v>
      </c>
      <c r="AI139">
        <v>0</v>
      </c>
      <c r="AJ139">
        <v>0</v>
      </c>
      <c r="AK139">
        <v>0</v>
      </c>
      <c r="AL139" t="s">
        <v>1818</v>
      </c>
      <c r="AM139" t="s">
        <v>1819</v>
      </c>
      <c r="AN139" t="s">
        <v>1820</v>
      </c>
      <c r="AO139" t="s">
        <v>1821</v>
      </c>
      <c r="AP139" t="s">
        <v>1822</v>
      </c>
      <c r="AQ139" t="s">
        <v>74</v>
      </c>
      <c r="AR139" t="s">
        <v>1823</v>
      </c>
      <c r="AS139" t="s">
        <v>1824</v>
      </c>
      <c r="AT139" t="s">
        <v>74</v>
      </c>
      <c r="AU139">
        <v>2023</v>
      </c>
      <c r="AV139">
        <v>95</v>
      </c>
      <c r="AW139">
        <v>3</v>
      </c>
      <c r="AX139" t="s">
        <v>74</v>
      </c>
      <c r="AY139" t="s">
        <v>74</v>
      </c>
      <c r="AZ139" t="s">
        <v>74</v>
      </c>
      <c r="BA139" t="s">
        <v>74</v>
      </c>
      <c r="BB139" t="s">
        <v>74</v>
      </c>
      <c r="BC139" t="s">
        <v>74</v>
      </c>
      <c r="BD139" t="s">
        <v>2699</v>
      </c>
      <c r="BE139" t="s">
        <v>2700</v>
      </c>
      <c r="BF139" t="str">
        <f>HYPERLINK("http://dx.doi.org/10.1590/0001-3765202320210816","http://dx.doi.org/10.1590/0001-3765202320210816")</f>
        <v>http://dx.doi.org/10.1590/0001-3765202320210816</v>
      </c>
      <c r="BG139" t="s">
        <v>74</v>
      </c>
      <c r="BH139" t="s">
        <v>74</v>
      </c>
      <c r="BI139">
        <v>14</v>
      </c>
      <c r="BJ139" t="s">
        <v>189</v>
      </c>
      <c r="BK139" t="s">
        <v>104</v>
      </c>
      <c r="BL139" t="s">
        <v>190</v>
      </c>
      <c r="BM139" t="s">
        <v>2701</v>
      </c>
      <c r="BN139">
        <v>37937655</v>
      </c>
      <c r="BO139" t="s">
        <v>165</v>
      </c>
      <c r="BP139" t="s">
        <v>74</v>
      </c>
      <c r="BQ139" t="s">
        <v>74</v>
      </c>
      <c r="BR139" t="s">
        <v>108</v>
      </c>
      <c r="BS139" t="s">
        <v>2702</v>
      </c>
      <c r="BT139" t="str">
        <f>HYPERLINK("https%3A%2F%2Fwww.webofscience.com%2Fwos%2Fwoscc%2Ffull-record%2FWOS:001101027400001","View Full Record in Web of Science")</f>
        <v>View Full Record in Web of Science</v>
      </c>
    </row>
    <row r="140" spans="1:72" x14ac:dyDescent="0.15">
      <c r="A140" t="s">
        <v>72</v>
      </c>
      <c r="B140" t="s">
        <v>2703</v>
      </c>
      <c r="C140" t="s">
        <v>74</v>
      </c>
      <c r="D140" t="s">
        <v>74</v>
      </c>
      <c r="E140" t="s">
        <v>74</v>
      </c>
      <c r="F140" t="s">
        <v>2704</v>
      </c>
      <c r="G140" t="s">
        <v>74</v>
      </c>
      <c r="H140" t="s">
        <v>74</v>
      </c>
      <c r="I140" t="s">
        <v>2705</v>
      </c>
      <c r="J140" t="s">
        <v>1805</v>
      </c>
      <c r="K140" t="s">
        <v>74</v>
      </c>
      <c r="L140" t="s">
        <v>74</v>
      </c>
      <c r="M140" t="s">
        <v>78</v>
      </c>
      <c r="N140" t="s">
        <v>79</v>
      </c>
      <c r="O140" t="s">
        <v>74</v>
      </c>
      <c r="P140" t="s">
        <v>74</v>
      </c>
      <c r="Q140" t="s">
        <v>74</v>
      </c>
      <c r="R140" t="s">
        <v>74</v>
      </c>
      <c r="S140" t="s">
        <v>74</v>
      </c>
      <c r="T140" t="s">
        <v>2706</v>
      </c>
      <c r="U140" t="s">
        <v>2707</v>
      </c>
      <c r="V140" t="s">
        <v>2708</v>
      </c>
      <c r="W140" t="s">
        <v>2709</v>
      </c>
      <c r="X140" t="s">
        <v>2710</v>
      </c>
      <c r="Y140" t="s">
        <v>2711</v>
      </c>
      <c r="Z140" t="s">
        <v>74</v>
      </c>
      <c r="AA140" t="s">
        <v>74</v>
      </c>
      <c r="AB140" t="s">
        <v>74</v>
      </c>
      <c r="AC140" t="s">
        <v>2712</v>
      </c>
      <c r="AD140" t="s">
        <v>2713</v>
      </c>
      <c r="AE140" t="s">
        <v>2714</v>
      </c>
      <c r="AF140" t="s">
        <v>74</v>
      </c>
      <c r="AG140">
        <v>85</v>
      </c>
      <c r="AH140">
        <v>0</v>
      </c>
      <c r="AI140">
        <v>0</v>
      </c>
      <c r="AJ140">
        <v>1</v>
      </c>
      <c r="AK140">
        <v>1</v>
      </c>
      <c r="AL140" t="s">
        <v>1818</v>
      </c>
      <c r="AM140" t="s">
        <v>1819</v>
      </c>
      <c r="AN140" t="s">
        <v>1820</v>
      </c>
      <c r="AO140" t="s">
        <v>1821</v>
      </c>
      <c r="AP140" t="s">
        <v>1822</v>
      </c>
      <c r="AQ140" t="s">
        <v>74</v>
      </c>
      <c r="AR140" t="s">
        <v>1823</v>
      </c>
      <c r="AS140" t="s">
        <v>1824</v>
      </c>
      <c r="AT140" t="s">
        <v>74</v>
      </c>
      <c r="AU140">
        <v>2023</v>
      </c>
      <c r="AV140">
        <v>95</v>
      </c>
      <c r="AW140">
        <v>3</v>
      </c>
      <c r="AX140" t="s">
        <v>74</v>
      </c>
      <c r="AY140" t="s">
        <v>74</v>
      </c>
      <c r="AZ140" t="s">
        <v>74</v>
      </c>
      <c r="BA140" t="s">
        <v>74</v>
      </c>
      <c r="BB140" t="s">
        <v>74</v>
      </c>
      <c r="BC140" t="s">
        <v>74</v>
      </c>
      <c r="BD140" t="s">
        <v>2715</v>
      </c>
      <c r="BE140" t="s">
        <v>2716</v>
      </c>
      <c r="BF140" t="str">
        <f>HYPERLINK("http://dx.doi.org/10.1590/0001-3765202320220591","http://dx.doi.org/10.1590/0001-3765202320220591")</f>
        <v>http://dx.doi.org/10.1590/0001-3765202320220591</v>
      </c>
      <c r="BG140" t="s">
        <v>74</v>
      </c>
      <c r="BH140" t="s">
        <v>74</v>
      </c>
      <c r="BI140">
        <v>14</v>
      </c>
      <c r="BJ140" t="s">
        <v>189</v>
      </c>
      <c r="BK140" t="s">
        <v>104</v>
      </c>
      <c r="BL140" t="s">
        <v>190</v>
      </c>
      <c r="BM140" t="s">
        <v>2717</v>
      </c>
      <c r="BN140">
        <v>37937657</v>
      </c>
      <c r="BO140" t="s">
        <v>165</v>
      </c>
      <c r="BP140" t="s">
        <v>74</v>
      </c>
      <c r="BQ140" t="s">
        <v>74</v>
      </c>
      <c r="BR140" t="s">
        <v>108</v>
      </c>
      <c r="BS140" t="s">
        <v>2718</v>
      </c>
      <c r="BT140" t="str">
        <f>HYPERLINK("https%3A%2F%2Fwww.webofscience.com%2Fwos%2Fwoscc%2Ffull-record%2FWOS:001101023900001","View Full Record in Web of Science")</f>
        <v>View Full Record in Web of Science</v>
      </c>
    </row>
    <row r="141" spans="1:72" x14ac:dyDescent="0.15">
      <c r="A141" t="s">
        <v>72</v>
      </c>
      <c r="B141" t="s">
        <v>2719</v>
      </c>
      <c r="C141" t="s">
        <v>74</v>
      </c>
      <c r="D141" t="s">
        <v>74</v>
      </c>
      <c r="E141" t="s">
        <v>74</v>
      </c>
      <c r="F141" t="s">
        <v>2720</v>
      </c>
      <c r="G141" t="s">
        <v>74</v>
      </c>
      <c r="H141" t="s">
        <v>74</v>
      </c>
      <c r="I141" t="s">
        <v>2721</v>
      </c>
      <c r="J141" t="s">
        <v>1805</v>
      </c>
      <c r="K141" t="s">
        <v>74</v>
      </c>
      <c r="L141" t="s">
        <v>74</v>
      </c>
      <c r="M141" t="s">
        <v>78</v>
      </c>
      <c r="N141" t="s">
        <v>79</v>
      </c>
      <c r="O141" t="s">
        <v>74</v>
      </c>
      <c r="P141" t="s">
        <v>74</v>
      </c>
      <c r="Q141" t="s">
        <v>74</v>
      </c>
      <c r="R141" t="s">
        <v>74</v>
      </c>
      <c r="S141" t="s">
        <v>74</v>
      </c>
      <c r="T141" t="s">
        <v>2722</v>
      </c>
      <c r="U141" t="s">
        <v>2723</v>
      </c>
      <c r="V141" t="s">
        <v>2724</v>
      </c>
      <c r="W141" t="s">
        <v>2725</v>
      </c>
      <c r="X141" t="s">
        <v>2726</v>
      </c>
      <c r="Y141" t="s">
        <v>2727</v>
      </c>
      <c r="Z141" t="s">
        <v>2728</v>
      </c>
      <c r="AA141" t="s">
        <v>2729</v>
      </c>
      <c r="AB141" t="s">
        <v>2730</v>
      </c>
      <c r="AC141" t="s">
        <v>2731</v>
      </c>
      <c r="AD141" t="s">
        <v>2732</v>
      </c>
      <c r="AE141" t="s">
        <v>2733</v>
      </c>
      <c r="AF141" t="s">
        <v>74</v>
      </c>
      <c r="AG141">
        <v>59</v>
      </c>
      <c r="AH141">
        <v>0</v>
      </c>
      <c r="AI141">
        <v>0</v>
      </c>
      <c r="AJ141">
        <v>0</v>
      </c>
      <c r="AK141">
        <v>0</v>
      </c>
      <c r="AL141" t="s">
        <v>1818</v>
      </c>
      <c r="AM141" t="s">
        <v>1819</v>
      </c>
      <c r="AN141" t="s">
        <v>1820</v>
      </c>
      <c r="AO141" t="s">
        <v>1821</v>
      </c>
      <c r="AP141" t="s">
        <v>1822</v>
      </c>
      <c r="AQ141" t="s">
        <v>74</v>
      </c>
      <c r="AR141" t="s">
        <v>1823</v>
      </c>
      <c r="AS141" t="s">
        <v>1824</v>
      </c>
      <c r="AT141" t="s">
        <v>74</v>
      </c>
      <c r="AU141">
        <v>2023</v>
      </c>
      <c r="AV141">
        <v>95</v>
      </c>
      <c r="AW141" t="s">
        <v>74</v>
      </c>
      <c r="AX141" t="s">
        <v>74</v>
      </c>
      <c r="AY141">
        <v>3</v>
      </c>
      <c r="AZ141" t="s">
        <v>74</v>
      </c>
      <c r="BA141" t="s">
        <v>74</v>
      </c>
      <c r="BB141" t="s">
        <v>74</v>
      </c>
      <c r="BC141" t="s">
        <v>74</v>
      </c>
      <c r="BD141" t="s">
        <v>2734</v>
      </c>
      <c r="BE141" t="s">
        <v>2735</v>
      </c>
      <c r="BF141" t="str">
        <f>HYPERLINK("http://dx.doi.org/10.1590/0001-3765202320230342","http://dx.doi.org/10.1590/0001-3765202320230342")</f>
        <v>http://dx.doi.org/10.1590/0001-3765202320230342</v>
      </c>
      <c r="BG141" t="s">
        <v>74</v>
      </c>
      <c r="BH141" t="s">
        <v>74</v>
      </c>
      <c r="BI141">
        <v>19</v>
      </c>
      <c r="BJ141" t="s">
        <v>189</v>
      </c>
      <c r="BK141" t="s">
        <v>104</v>
      </c>
      <c r="BL141" t="s">
        <v>190</v>
      </c>
      <c r="BM141" t="s">
        <v>2736</v>
      </c>
      <c r="BN141">
        <v>37937658</v>
      </c>
      <c r="BO141" t="s">
        <v>165</v>
      </c>
      <c r="BP141" t="s">
        <v>74</v>
      </c>
      <c r="BQ141" t="s">
        <v>74</v>
      </c>
      <c r="BR141" t="s">
        <v>108</v>
      </c>
      <c r="BS141" t="s">
        <v>2737</v>
      </c>
      <c r="BT141" t="str">
        <f>HYPERLINK("https%3A%2F%2Fwww.webofscience.com%2Fwos%2Fwoscc%2Ffull-record%2FWOS:001101037200001","View Full Record in Web of Science")</f>
        <v>View Full Record in Web of Science</v>
      </c>
    </row>
    <row r="142" spans="1:72" x14ac:dyDescent="0.15">
      <c r="A142" t="s">
        <v>72</v>
      </c>
      <c r="B142" t="s">
        <v>2738</v>
      </c>
      <c r="C142" t="s">
        <v>74</v>
      </c>
      <c r="D142" t="s">
        <v>74</v>
      </c>
      <c r="E142" t="s">
        <v>74</v>
      </c>
      <c r="F142" t="s">
        <v>2739</v>
      </c>
      <c r="G142" t="s">
        <v>74</v>
      </c>
      <c r="H142" t="s">
        <v>74</v>
      </c>
      <c r="I142" t="s">
        <v>2740</v>
      </c>
      <c r="J142" t="s">
        <v>2741</v>
      </c>
      <c r="K142" t="s">
        <v>74</v>
      </c>
      <c r="L142" t="s">
        <v>74</v>
      </c>
      <c r="M142" t="s">
        <v>78</v>
      </c>
      <c r="N142" t="s">
        <v>79</v>
      </c>
      <c r="O142" t="s">
        <v>74</v>
      </c>
      <c r="P142" t="s">
        <v>74</v>
      </c>
      <c r="Q142" t="s">
        <v>74</v>
      </c>
      <c r="R142" t="s">
        <v>74</v>
      </c>
      <c r="S142" t="s">
        <v>74</v>
      </c>
      <c r="T142" t="s">
        <v>2742</v>
      </c>
      <c r="U142" t="s">
        <v>2743</v>
      </c>
      <c r="V142" t="s">
        <v>2744</v>
      </c>
      <c r="W142" t="s">
        <v>2745</v>
      </c>
      <c r="X142" t="s">
        <v>2746</v>
      </c>
      <c r="Y142" t="s">
        <v>2747</v>
      </c>
      <c r="Z142" t="s">
        <v>2748</v>
      </c>
      <c r="AA142" t="s">
        <v>2749</v>
      </c>
      <c r="AB142" t="s">
        <v>2750</v>
      </c>
      <c r="AC142" t="s">
        <v>2751</v>
      </c>
      <c r="AD142" t="s">
        <v>2752</v>
      </c>
      <c r="AE142" t="s">
        <v>2753</v>
      </c>
      <c r="AF142" t="s">
        <v>74</v>
      </c>
      <c r="AG142">
        <v>82</v>
      </c>
      <c r="AH142">
        <v>0</v>
      </c>
      <c r="AI142">
        <v>0</v>
      </c>
      <c r="AJ142">
        <v>1</v>
      </c>
      <c r="AK142">
        <v>1</v>
      </c>
      <c r="AL142" t="s">
        <v>2754</v>
      </c>
      <c r="AM142" t="s">
        <v>1393</v>
      </c>
      <c r="AN142" t="s">
        <v>2755</v>
      </c>
      <c r="AO142" t="s">
        <v>2756</v>
      </c>
      <c r="AP142" t="s">
        <v>74</v>
      </c>
      <c r="AQ142" t="s">
        <v>74</v>
      </c>
      <c r="AR142" t="s">
        <v>2757</v>
      </c>
      <c r="AS142" t="s">
        <v>2758</v>
      </c>
      <c r="AT142" t="s">
        <v>74</v>
      </c>
      <c r="AU142">
        <v>2023</v>
      </c>
      <c r="AV142">
        <v>23</v>
      </c>
      <c r="AW142">
        <v>3</v>
      </c>
      <c r="AX142" t="s">
        <v>74</v>
      </c>
      <c r="AY142" t="s">
        <v>74</v>
      </c>
      <c r="AZ142" t="s">
        <v>74</v>
      </c>
      <c r="BA142" t="s">
        <v>74</v>
      </c>
      <c r="BB142" t="s">
        <v>74</v>
      </c>
      <c r="BC142" t="s">
        <v>74</v>
      </c>
      <c r="BD142" t="s">
        <v>2759</v>
      </c>
      <c r="BE142" t="s">
        <v>2760</v>
      </c>
      <c r="BF142" t="str">
        <f>HYPERLINK("http://dx.doi.org/10.2205/2023es000848","http://dx.doi.org/10.2205/2023es000848")</f>
        <v>http://dx.doi.org/10.2205/2023es000848</v>
      </c>
      <c r="BG142" t="s">
        <v>74</v>
      </c>
      <c r="BH142" t="s">
        <v>74</v>
      </c>
      <c r="BI142">
        <v>26</v>
      </c>
      <c r="BJ142" t="s">
        <v>455</v>
      </c>
      <c r="BK142" t="s">
        <v>757</v>
      </c>
      <c r="BL142" t="s">
        <v>456</v>
      </c>
      <c r="BM142" t="s">
        <v>2761</v>
      </c>
      <c r="BN142" t="s">
        <v>74</v>
      </c>
      <c r="BO142" t="s">
        <v>660</v>
      </c>
      <c r="BP142" t="s">
        <v>74</v>
      </c>
      <c r="BQ142" t="s">
        <v>74</v>
      </c>
      <c r="BR142" t="s">
        <v>108</v>
      </c>
      <c r="BS142" t="s">
        <v>2762</v>
      </c>
      <c r="BT142" t="str">
        <f>HYPERLINK("https%3A%2F%2Fwww.webofscience.com%2Fwos%2Fwoscc%2Ffull-record%2FWOS:001106490200001","View Full Record in Web of Science")</f>
        <v>View Full Record in Web of Science</v>
      </c>
    </row>
    <row r="143" spans="1:72" x14ac:dyDescent="0.15">
      <c r="A143" t="s">
        <v>72</v>
      </c>
      <c r="B143" t="s">
        <v>2763</v>
      </c>
      <c r="C143" t="s">
        <v>74</v>
      </c>
      <c r="D143" t="s">
        <v>74</v>
      </c>
      <c r="E143" t="s">
        <v>74</v>
      </c>
      <c r="F143" t="s">
        <v>2764</v>
      </c>
      <c r="G143" t="s">
        <v>74</v>
      </c>
      <c r="H143" t="s">
        <v>74</v>
      </c>
      <c r="I143" t="s">
        <v>2765</v>
      </c>
      <c r="J143" t="s">
        <v>1805</v>
      </c>
      <c r="K143" t="s">
        <v>74</v>
      </c>
      <c r="L143" t="s">
        <v>74</v>
      </c>
      <c r="M143" t="s">
        <v>78</v>
      </c>
      <c r="N143" t="s">
        <v>743</v>
      </c>
      <c r="O143" t="s">
        <v>74</v>
      </c>
      <c r="P143" t="s">
        <v>74</v>
      </c>
      <c r="Q143" t="s">
        <v>74</v>
      </c>
      <c r="R143" t="s">
        <v>74</v>
      </c>
      <c r="S143" t="s">
        <v>74</v>
      </c>
      <c r="T143" t="s">
        <v>74</v>
      </c>
      <c r="U143" t="s">
        <v>74</v>
      </c>
      <c r="V143" t="s">
        <v>74</v>
      </c>
      <c r="W143" t="s">
        <v>2766</v>
      </c>
      <c r="X143" t="s">
        <v>2767</v>
      </c>
      <c r="Y143" t="s">
        <v>2768</v>
      </c>
      <c r="Z143" t="s">
        <v>2769</v>
      </c>
      <c r="AA143" t="s">
        <v>74</v>
      </c>
      <c r="AB143" t="s">
        <v>74</v>
      </c>
      <c r="AC143" t="s">
        <v>74</v>
      </c>
      <c r="AD143" t="s">
        <v>74</v>
      </c>
      <c r="AE143" t="s">
        <v>74</v>
      </c>
      <c r="AF143" t="s">
        <v>74</v>
      </c>
      <c r="AG143">
        <v>8</v>
      </c>
      <c r="AH143">
        <v>0</v>
      </c>
      <c r="AI143">
        <v>0</v>
      </c>
      <c r="AJ143">
        <v>0</v>
      </c>
      <c r="AK143">
        <v>0</v>
      </c>
      <c r="AL143" t="s">
        <v>1818</v>
      </c>
      <c r="AM143" t="s">
        <v>1819</v>
      </c>
      <c r="AN143" t="s">
        <v>1820</v>
      </c>
      <c r="AO143" t="s">
        <v>1821</v>
      </c>
      <c r="AP143" t="s">
        <v>1822</v>
      </c>
      <c r="AQ143" t="s">
        <v>74</v>
      </c>
      <c r="AR143" t="s">
        <v>1823</v>
      </c>
      <c r="AS143" t="s">
        <v>1824</v>
      </c>
      <c r="AT143" t="s">
        <v>74</v>
      </c>
      <c r="AU143">
        <v>2023</v>
      </c>
      <c r="AV143">
        <v>95</v>
      </c>
      <c r="AW143" t="s">
        <v>74</v>
      </c>
      <c r="AX143" t="s">
        <v>74</v>
      </c>
      <c r="AY143">
        <v>3</v>
      </c>
      <c r="AZ143" t="s">
        <v>74</v>
      </c>
      <c r="BA143" t="s">
        <v>74</v>
      </c>
      <c r="BB143" t="s">
        <v>74</v>
      </c>
      <c r="BC143" t="s">
        <v>74</v>
      </c>
      <c r="BD143" t="s">
        <v>2770</v>
      </c>
      <c r="BE143" t="s">
        <v>2771</v>
      </c>
      <c r="BF143" t="str">
        <f>HYPERLINK("http://dx.doi.org/10.1590/0001-37652023202395S3","http://dx.doi.org/10.1590/0001-37652023202395S3")</f>
        <v>http://dx.doi.org/10.1590/0001-37652023202395S3</v>
      </c>
      <c r="BG143" t="s">
        <v>74</v>
      </c>
      <c r="BH143" t="s">
        <v>74</v>
      </c>
      <c r="BI143">
        <v>2</v>
      </c>
      <c r="BJ143" t="s">
        <v>189</v>
      </c>
      <c r="BK143" t="s">
        <v>104</v>
      </c>
      <c r="BL143" t="s">
        <v>190</v>
      </c>
      <c r="BM143" t="s">
        <v>2772</v>
      </c>
      <c r="BN143">
        <v>37937659</v>
      </c>
      <c r="BO143" t="s">
        <v>165</v>
      </c>
      <c r="BP143" t="s">
        <v>74</v>
      </c>
      <c r="BQ143" t="s">
        <v>74</v>
      </c>
      <c r="BR143" t="s">
        <v>108</v>
      </c>
      <c r="BS143" t="s">
        <v>2773</v>
      </c>
      <c r="BT143" t="str">
        <f>HYPERLINK("https%3A%2F%2Fwww.webofscience.com%2Fwos%2Fwoscc%2Ffull-record%2FWOS:001103627400001","View Full Record in Web of Science")</f>
        <v>View Full Record in Web of Science</v>
      </c>
    </row>
    <row r="144" spans="1:72" x14ac:dyDescent="0.15">
      <c r="A144" t="s">
        <v>72</v>
      </c>
      <c r="B144" t="s">
        <v>2774</v>
      </c>
      <c r="C144" t="s">
        <v>74</v>
      </c>
      <c r="D144" t="s">
        <v>74</v>
      </c>
      <c r="E144" t="s">
        <v>74</v>
      </c>
      <c r="F144" t="s">
        <v>2775</v>
      </c>
      <c r="G144" t="s">
        <v>74</v>
      </c>
      <c r="H144" t="s">
        <v>74</v>
      </c>
      <c r="I144" t="s">
        <v>2776</v>
      </c>
      <c r="J144" t="s">
        <v>1025</v>
      </c>
      <c r="K144" t="s">
        <v>74</v>
      </c>
      <c r="L144" t="s">
        <v>74</v>
      </c>
      <c r="M144" t="s">
        <v>78</v>
      </c>
      <c r="N144" t="s">
        <v>79</v>
      </c>
      <c r="O144" t="s">
        <v>74</v>
      </c>
      <c r="P144" t="s">
        <v>74</v>
      </c>
      <c r="Q144" t="s">
        <v>74</v>
      </c>
      <c r="R144" t="s">
        <v>74</v>
      </c>
      <c r="S144" t="s">
        <v>74</v>
      </c>
      <c r="T144" t="s">
        <v>2777</v>
      </c>
      <c r="U144" t="s">
        <v>2778</v>
      </c>
      <c r="V144" t="s">
        <v>2779</v>
      </c>
      <c r="W144" t="s">
        <v>2780</v>
      </c>
      <c r="X144" t="s">
        <v>2781</v>
      </c>
      <c r="Y144" t="s">
        <v>2782</v>
      </c>
      <c r="Z144" t="s">
        <v>2783</v>
      </c>
      <c r="AA144" t="s">
        <v>2784</v>
      </c>
      <c r="AB144" t="s">
        <v>2785</v>
      </c>
      <c r="AC144" t="s">
        <v>2786</v>
      </c>
      <c r="AD144" t="s">
        <v>2787</v>
      </c>
      <c r="AE144" t="s">
        <v>2788</v>
      </c>
      <c r="AF144" t="s">
        <v>74</v>
      </c>
      <c r="AG144">
        <v>23</v>
      </c>
      <c r="AH144">
        <v>0</v>
      </c>
      <c r="AI144">
        <v>0</v>
      </c>
      <c r="AJ144">
        <v>2</v>
      </c>
      <c r="AK144">
        <v>2</v>
      </c>
      <c r="AL144" t="s">
        <v>1032</v>
      </c>
      <c r="AM144" t="s">
        <v>1033</v>
      </c>
      <c r="AN144" t="s">
        <v>1034</v>
      </c>
      <c r="AO144" t="s">
        <v>1035</v>
      </c>
      <c r="AP144" t="s">
        <v>1036</v>
      </c>
      <c r="AQ144" t="s">
        <v>74</v>
      </c>
      <c r="AR144" t="s">
        <v>1037</v>
      </c>
      <c r="AS144" t="s">
        <v>1038</v>
      </c>
      <c r="AT144" t="s">
        <v>74</v>
      </c>
      <c r="AU144">
        <v>2023</v>
      </c>
      <c r="AV144">
        <v>13</v>
      </c>
      <c r="AW144">
        <v>1</v>
      </c>
      <c r="AX144" t="s">
        <v>74</v>
      </c>
      <c r="AY144" t="s">
        <v>74</v>
      </c>
      <c r="AZ144" t="s">
        <v>74</v>
      </c>
      <c r="BA144" t="s">
        <v>74</v>
      </c>
      <c r="BB144">
        <v>112</v>
      </c>
      <c r="BC144">
        <v>120</v>
      </c>
      <c r="BD144" t="s">
        <v>74</v>
      </c>
      <c r="BE144" t="s">
        <v>2789</v>
      </c>
      <c r="BF144" t="str">
        <f>HYPERLINK("http://dx.doi.org/10.5817/CPR2023-1-10","http://dx.doi.org/10.5817/CPR2023-1-10")</f>
        <v>http://dx.doi.org/10.5817/CPR2023-1-10</v>
      </c>
      <c r="BG144" t="s">
        <v>74</v>
      </c>
      <c r="BH144" t="s">
        <v>74</v>
      </c>
      <c r="BI144">
        <v>9</v>
      </c>
      <c r="BJ144" t="s">
        <v>734</v>
      </c>
      <c r="BK144" t="s">
        <v>757</v>
      </c>
      <c r="BL144" t="s">
        <v>735</v>
      </c>
      <c r="BM144" t="s">
        <v>2790</v>
      </c>
      <c r="BN144" t="s">
        <v>74</v>
      </c>
      <c r="BO144" t="s">
        <v>165</v>
      </c>
      <c r="BP144" t="s">
        <v>74</v>
      </c>
      <c r="BQ144" t="s">
        <v>74</v>
      </c>
      <c r="BR144" t="s">
        <v>108</v>
      </c>
      <c r="BS144" t="s">
        <v>2791</v>
      </c>
      <c r="BT144" t="str">
        <f>HYPERLINK("https%3A%2F%2Fwww.webofscience.com%2Fwos%2Fwoscc%2Ffull-record%2FWOS:001098584100001","View Full Record in Web of Science")</f>
        <v>View Full Record in Web of Science</v>
      </c>
    </row>
    <row r="145" spans="1:72" x14ac:dyDescent="0.15">
      <c r="A145" t="s">
        <v>72</v>
      </c>
      <c r="B145" t="s">
        <v>2792</v>
      </c>
      <c r="C145" t="s">
        <v>74</v>
      </c>
      <c r="D145" t="s">
        <v>74</v>
      </c>
      <c r="E145" t="s">
        <v>74</v>
      </c>
      <c r="F145" t="s">
        <v>2793</v>
      </c>
      <c r="G145" t="s">
        <v>74</v>
      </c>
      <c r="H145" t="s">
        <v>74</v>
      </c>
      <c r="I145" t="s">
        <v>2794</v>
      </c>
      <c r="J145" t="s">
        <v>1805</v>
      </c>
      <c r="K145" t="s">
        <v>74</v>
      </c>
      <c r="L145" t="s">
        <v>74</v>
      </c>
      <c r="M145" t="s">
        <v>78</v>
      </c>
      <c r="N145" t="s">
        <v>79</v>
      </c>
      <c r="O145" t="s">
        <v>74</v>
      </c>
      <c r="P145" t="s">
        <v>74</v>
      </c>
      <c r="Q145" t="s">
        <v>74</v>
      </c>
      <c r="R145" t="s">
        <v>74</v>
      </c>
      <c r="S145" t="s">
        <v>74</v>
      </c>
      <c r="T145" t="s">
        <v>2795</v>
      </c>
      <c r="U145" t="s">
        <v>2796</v>
      </c>
      <c r="V145" t="s">
        <v>2797</v>
      </c>
      <c r="W145" t="s">
        <v>2798</v>
      </c>
      <c r="X145" t="s">
        <v>2799</v>
      </c>
      <c r="Y145" t="s">
        <v>2800</v>
      </c>
      <c r="Z145" t="s">
        <v>2801</v>
      </c>
      <c r="AA145" t="s">
        <v>2802</v>
      </c>
      <c r="AB145" t="s">
        <v>2803</v>
      </c>
      <c r="AC145" t="s">
        <v>2804</v>
      </c>
      <c r="AD145" t="s">
        <v>2805</v>
      </c>
      <c r="AE145" t="s">
        <v>2806</v>
      </c>
      <c r="AF145" t="s">
        <v>74</v>
      </c>
      <c r="AG145">
        <v>39</v>
      </c>
      <c r="AH145">
        <v>0</v>
      </c>
      <c r="AI145">
        <v>0</v>
      </c>
      <c r="AJ145">
        <v>0</v>
      </c>
      <c r="AK145">
        <v>0</v>
      </c>
      <c r="AL145" t="s">
        <v>1818</v>
      </c>
      <c r="AM145" t="s">
        <v>1819</v>
      </c>
      <c r="AN145" t="s">
        <v>1820</v>
      </c>
      <c r="AO145" t="s">
        <v>1821</v>
      </c>
      <c r="AP145" t="s">
        <v>1822</v>
      </c>
      <c r="AQ145" t="s">
        <v>74</v>
      </c>
      <c r="AR145" t="s">
        <v>1823</v>
      </c>
      <c r="AS145" t="s">
        <v>1824</v>
      </c>
      <c r="AT145" t="s">
        <v>74</v>
      </c>
      <c r="AU145">
        <v>2023</v>
      </c>
      <c r="AV145">
        <v>95</v>
      </c>
      <c r="AW145">
        <v>3</v>
      </c>
      <c r="AX145" t="s">
        <v>74</v>
      </c>
      <c r="AY145" t="s">
        <v>74</v>
      </c>
      <c r="AZ145" t="s">
        <v>74</v>
      </c>
      <c r="BA145" t="s">
        <v>74</v>
      </c>
      <c r="BB145" t="s">
        <v>74</v>
      </c>
      <c r="BC145" t="s">
        <v>74</v>
      </c>
      <c r="BD145" t="s">
        <v>2807</v>
      </c>
      <c r="BE145" t="s">
        <v>2808</v>
      </c>
      <c r="BF145" t="str">
        <f>HYPERLINK("http://dx.doi.org/10.1590/0001-3765202320210836","http://dx.doi.org/10.1590/0001-3765202320210836")</f>
        <v>http://dx.doi.org/10.1590/0001-3765202320210836</v>
      </c>
      <c r="BG145" t="s">
        <v>74</v>
      </c>
      <c r="BH145" t="s">
        <v>74</v>
      </c>
      <c r="BI145">
        <v>19</v>
      </c>
      <c r="BJ145" t="s">
        <v>189</v>
      </c>
      <c r="BK145" t="s">
        <v>104</v>
      </c>
      <c r="BL145" t="s">
        <v>190</v>
      </c>
      <c r="BM145" t="s">
        <v>2809</v>
      </c>
      <c r="BN145">
        <v>37937656</v>
      </c>
      <c r="BO145" t="s">
        <v>165</v>
      </c>
      <c r="BP145" t="s">
        <v>74</v>
      </c>
      <c r="BQ145" t="s">
        <v>74</v>
      </c>
      <c r="BR145" t="s">
        <v>108</v>
      </c>
      <c r="BS145" t="s">
        <v>2810</v>
      </c>
      <c r="BT145" t="str">
        <f>HYPERLINK("https%3A%2F%2Fwww.webofscience.com%2Fwos%2Fwoscc%2Ffull-record%2FWOS:001101024300001","View Full Record in Web of Science")</f>
        <v>View Full Record in Web of Science</v>
      </c>
    </row>
    <row r="146" spans="1:72" x14ac:dyDescent="0.15">
      <c r="A146" t="s">
        <v>72</v>
      </c>
      <c r="B146" t="s">
        <v>2811</v>
      </c>
      <c r="C146" t="s">
        <v>74</v>
      </c>
      <c r="D146" t="s">
        <v>74</v>
      </c>
      <c r="E146" t="s">
        <v>74</v>
      </c>
      <c r="F146" t="s">
        <v>2812</v>
      </c>
      <c r="G146" t="s">
        <v>74</v>
      </c>
      <c r="H146" t="s">
        <v>74</v>
      </c>
      <c r="I146" t="s">
        <v>2813</v>
      </c>
      <c r="J146" t="s">
        <v>2814</v>
      </c>
      <c r="K146" t="s">
        <v>74</v>
      </c>
      <c r="L146" t="s">
        <v>74</v>
      </c>
      <c r="M146" t="s">
        <v>78</v>
      </c>
      <c r="N146" t="s">
        <v>79</v>
      </c>
      <c r="O146" t="s">
        <v>74</v>
      </c>
      <c r="P146" t="s">
        <v>74</v>
      </c>
      <c r="Q146" t="s">
        <v>74</v>
      </c>
      <c r="R146" t="s">
        <v>74</v>
      </c>
      <c r="S146" t="s">
        <v>74</v>
      </c>
      <c r="T146" t="s">
        <v>2815</v>
      </c>
      <c r="U146" t="s">
        <v>2816</v>
      </c>
      <c r="V146" t="s">
        <v>2817</v>
      </c>
      <c r="W146" t="s">
        <v>2818</v>
      </c>
      <c r="X146" t="s">
        <v>2819</v>
      </c>
      <c r="Y146" t="s">
        <v>2820</v>
      </c>
      <c r="Z146" t="s">
        <v>2821</v>
      </c>
      <c r="AA146" t="s">
        <v>2822</v>
      </c>
      <c r="AB146" t="s">
        <v>2823</v>
      </c>
      <c r="AC146" t="s">
        <v>74</v>
      </c>
      <c r="AD146" t="s">
        <v>74</v>
      </c>
      <c r="AE146" t="s">
        <v>74</v>
      </c>
      <c r="AF146" t="s">
        <v>74</v>
      </c>
      <c r="AG146">
        <v>61</v>
      </c>
      <c r="AH146">
        <v>1</v>
      </c>
      <c r="AI146">
        <v>1</v>
      </c>
      <c r="AJ146">
        <v>3</v>
      </c>
      <c r="AK146">
        <v>3</v>
      </c>
      <c r="AL146" t="s">
        <v>2824</v>
      </c>
      <c r="AM146" t="s">
        <v>2825</v>
      </c>
      <c r="AN146" t="s">
        <v>2826</v>
      </c>
      <c r="AO146" t="s">
        <v>2827</v>
      </c>
      <c r="AP146" t="s">
        <v>74</v>
      </c>
      <c r="AQ146" t="s">
        <v>74</v>
      </c>
      <c r="AR146" t="s">
        <v>2814</v>
      </c>
      <c r="AS146" t="s">
        <v>2828</v>
      </c>
      <c r="AT146" t="s">
        <v>2829</v>
      </c>
      <c r="AU146">
        <v>2023</v>
      </c>
      <c r="AV146">
        <v>127</v>
      </c>
      <c r="AW146">
        <v>1</v>
      </c>
      <c r="AX146" t="s">
        <v>74</v>
      </c>
      <c r="AY146" t="s">
        <v>74</v>
      </c>
      <c r="AZ146" t="s">
        <v>74</v>
      </c>
      <c r="BA146" t="s">
        <v>74</v>
      </c>
      <c r="BB146">
        <v>23</v>
      </c>
      <c r="BC146">
        <v>42</v>
      </c>
      <c r="BD146" t="s">
        <v>74</v>
      </c>
      <c r="BE146" t="s">
        <v>2830</v>
      </c>
      <c r="BF146" t="str">
        <f>HYPERLINK("http://dx.doi.org/10.28974/idojaras.2023.1.2","http://dx.doi.org/10.28974/idojaras.2023.1.2")</f>
        <v>http://dx.doi.org/10.28974/idojaras.2023.1.2</v>
      </c>
      <c r="BG146" t="s">
        <v>74</v>
      </c>
      <c r="BH146" t="s">
        <v>74</v>
      </c>
      <c r="BI146">
        <v>20</v>
      </c>
      <c r="BJ146" t="s">
        <v>532</v>
      </c>
      <c r="BK146" t="s">
        <v>104</v>
      </c>
      <c r="BL146" t="s">
        <v>532</v>
      </c>
      <c r="BM146" t="s">
        <v>2831</v>
      </c>
      <c r="BN146" t="s">
        <v>74</v>
      </c>
      <c r="BO146" t="s">
        <v>2832</v>
      </c>
      <c r="BP146" t="s">
        <v>74</v>
      </c>
      <c r="BQ146" t="s">
        <v>74</v>
      </c>
      <c r="BR146" t="s">
        <v>108</v>
      </c>
      <c r="BS146" t="s">
        <v>2833</v>
      </c>
      <c r="BT146" t="str">
        <f>HYPERLINK("https%3A%2F%2Fwww.webofscience.com%2Fwos%2Fwoscc%2Ffull-record%2FWOS:001094775300002","View Full Record in Web of Science")</f>
        <v>View Full Record in Web of Science</v>
      </c>
    </row>
    <row r="147" spans="1:72" x14ac:dyDescent="0.15">
      <c r="A147" t="s">
        <v>72</v>
      </c>
      <c r="B147" t="s">
        <v>2834</v>
      </c>
      <c r="C147" t="s">
        <v>74</v>
      </c>
      <c r="D147" t="s">
        <v>74</v>
      </c>
      <c r="E147" t="s">
        <v>74</v>
      </c>
      <c r="F147" t="s">
        <v>2835</v>
      </c>
      <c r="G147" t="s">
        <v>74</v>
      </c>
      <c r="H147" t="s">
        <v>74</v>
      </c>
      <c r="I147" t="s">
        <v>2836</v>
      </c>
      <c r="J147" t="s">
        <v>2837</v>
      </c>
      <c r="K147" t="s">
        <v>74</v>
      </c>
      <c r="L147" t="s">
        <v>74</v>
      </c>
      <c r="M147" t="s">
        <v>78</v>
      </c>
      <c r="N147" t="s">
        <v>79</v>
      </c>
      <c r="O147" t="s">
        <v>74</v>
      </c>
      <c r="P147" t="s">
        <v>74</v>
      </c>
      <c r="Q147" t="s">
        <v>74</v>
      </c>
      <c r="R147" t="s">
        <v>74</v>
      </c>
      <c r="S147" t="s">
        <v>74</v>
      </c>
      <c r="T147" t="s">
        <v>2838</v>
      </c>
      <c r="U147" t="s">
        <v>2839</v>
      </c>
      <c r="V147" t="s">
        <v>2840</v>
      </c>
      <c r="W147" t="s">
        <v>2841</v>
      </c>
      <c r="X147" t="s">
        <v>2842</v>
      </c>
      <c r="Y147" t="s">
        <v>2843</v>
      </c>
      <c r="Z147" t="s">
        <v>2844</v>
      </c>
      <c r="AA147" t="s">
        <v>74</v>
      </c>
      <c r="AB147" t="s">
        <v>2845</v>
      </c>
      <c r="AC147" t="s">
        <v>2846</v>
      </c>
      <c r="AD147" t="s">
        <v>2847</v>
      </c>
      <c r="AE147" t="s">
        <v>2848</v>
      </c>
      <c r="AF147" t="s">
        <v>74</v>
      </c>
      <c r="AG147">
        <v>59</v>
      </c>
      <c r="AH147">
        <v>0</v>
      </c>
      <c r="AI147">
        <v>0</v>
      </c>
      <c r="AJ147">
        <v>5</v>
      </c>
      <c r="AK147">
        <v>5</v>
      </c>
      <c r="AL147" t="s">
        <v>2849</v>
      </c>
      <c r="AM147" t="s">
        <v>2850</v>
      </c>
      <c r="AN147" t="s">
        <v>2851</v>
      </c>
      <c r="AO147" t="s">
        <v>2852</v>
      </c>
      <c r="AP147" t="s">
        <v>2853</v>
      </c>
      <c r="AQ147" t="s">
        <v>74</v>
      </c>
      <c r="AR147" t="s">
        <v>2854</v>
      </c>
      <c r="AS147" t="s">
        <v>2855</v>
      </c>
      <c r="AT147" t="s">
        <v>74</v>
      </c>
      <c r="AU147">
        <v>2023</v>
      </c>
      <c r="AV147">
        <v>27</v>
      </c>
      <c r="AW147">
        <v>5</v>
      </c>
      <c r="AX147" t="s">
        <v>74</v>
      </c>
      <c r="AY147" t="s">
        <v>74</v>
      </c>
      <c r="AZ147" t="s">
        <v>74</v>
      </c>
      <c r="BA147" t="s">
        <v>74</v>
      </c>
      <c r="BB147">
        <v>463</v>
      </c>
      <c r="BC147">
        <v>470</v>
      </c>
      <c r="BD147" t="s">
        <v>74</v>
      </c>
      <c r="BE147" t="s">
        <v>2856</v>
      </c>
      <c r="BF147" t="str">
        <f>HYPERLINK("http://dx.doi.org/10.18699/VJGB-23-56","http://dx.doi.org/10.18699/VJGB-23-56")</f>
        <v>http://dx.doi.org/10.18699/VJGB-23-56</v>
      </c>
      <c r="BG147" t="s">
        <v>74</v>
      </c>
      <c r="BH147" t="s">
        <v>74</v>
      </c>
      <c r="BI147">
        <v>8</v>
      </c>
      <c r="BJ147" t="s">
        <v>2857</v>
      </c>
      <c r="BK147" t="s">
        <v>757</v>
      </c>
      <c r="BL147" t="s">
        <v>2858</v>
      </c>
      <c r="BM147" t="s">
        <v>2859</v>
      </c>
      <c r="BN147">
        <v>37867610</v>
      </c>
      <c r="BO147" t="s">
        <v>192</v>
      </c>
      <c r="BP147" t="s">
        <v>74</v>
      </c>
      <c r="BQ147" t="s">
        <v>74</v>
      </c>
      <c r="BR147" t="s">
        <v>108</v>
      </c>
      <c r="BS147" t="s">
        <v>2860</v>
      </c>
      <c r="BT147" t="str">
        <f>HYPERLINK("https%3A%2F%2Fwww.webofscience.com%2Fwos%2Fwoscc%2Ffull-record%2FWOS:001097388000005","View Full Record in Web of Science")</f>
        <v>View Full Record in Web of Science</v>
      </c>
    </row>
    <row r="148" spans="1:72" x14ac:dyDescent="0.15">
      <c r="A148" t="s">
        <v>72</v>
      </c>
      <c r="B148" t="s">
        <v>2861</v>
      </c>
      <c r="C148" t="s">
        <v>74</v>
      </c>
      <c r="D148" t="s">
        <v>74</v>
      </c>
      <c r="E148" t="s">
        <v>74</v>
      </c>
      <c r="F148" t="s">
        <v>2862</v>
      </c>
      <c r="G148" t="s">
        <v>74</v>
      </c>
      <c r="H148" t="s">
        <v>74</v>
      </c>
      <c r="I148" t="s">
        <v>2863</v>
      </c>
      <c r="J148" t="s">
        <v>1732</v>
      </c>
      <c r="K148" t="s">
        <v>74</v>
      </c>
      <c r="L148" t="s">
        <v>74</v>
      </c>
      <c r="M148" t="s">
        <v>78</v>
      </c>
      <c r="N148" t="s">
        <v>79</v>
      </c>
      <c r="O148" t="s">
        <v>74</v>
      </c>
      <c r="P148" t="s">
        <v>74</v>
      </c>
      <c r="Q148" t="s">
        <v>74</v>
      </c>
      <c r="R148" t="s">
        <v>74</v>
      </c>
      <c r="S148" t="s">
        <v>74</v>
      </c>
      <c r="T148" t="s">
        <v>2864</v>
      </c>
      <c r="U148" t="s">
        <v>2865</v>
      </c>
      <c r="V148" t="s">
        <v>2866</v>
      </c>
      <c r="W148" t="s">
        <v>2867</v>
      </c>
      <c r="X148" t="s">
        <v>2868</v>
      </c>
      <c r="Y148" t="s">
        <v>2869</v>
      </c>
      <c r="Z148" t="s">
        <v>2870</v>
      </c>
      <c r="AA148" t="s">
        <v>2871</v>
      </c>
      <c r="AB148" t="s">
        <v>2872</v>
      </c>
      <c r="AC148" t="s">
        <v>2873</v>
      </c>
      <c r="AD148" t="s">
        <v>2874</v>
      </c>
      <c r="AE148" t="s">
        <v>2875</v>
      </c>
      <c r="AF148" t="s">
        <v>74</v>
      </c>
      <c r="AG148">
        <v>64</v>
      </c>
      <c r="AH148">
        <v>0</v>
      </c>
      <c r="AI148">
        <v>0</v>
      </c>
      <c r="AJ148">
        <v>11</v>
      </c>
      <c r="AK148">
        <v>11</v>
      </c>
      <c r="AL148" t="s">
        <v>1743</v>
      </c>
      <c r="AM148" t="s">
        <v>1744</v>
      </c>
      <c r="AN148" t="s">
        <v>1745</v>
      </c>
      <c r="AO148" t="s">
        <v>1746</v>
      </c>
      <c r="AP148" t="s">
        <v>1747</v>
      </c>
      <c r="AQ148" t="s">
        <v>74</v>
      </c>
      <c r="AR148" t="s">
        <v>1748</v>
      </c>
      <c r="AS148" t="s">
        <v>1749</v>
      </c>
      <c r="AT148" t="s">
        <v>74</v>
      </c>
      <c r="AU148">
        <v>2023</v>
      </c>
      <c r="AV148">
        <v>61</v>
      </c>
      <c r="AW148" t="s">
        <v>74</v>
      </c>
      <c r="AX148" t="s">
        <v>74</v>
      </c>
      <c r="AY148" t="s">
        <v>74</v>
      </c>
      <c r="AZ148" t="s">
        <v>74</v>
      </c>
      <c r="BA148" t="s">
        <v>74</v>
      </c>
      <c r="BB148" t="s">
        <v>74</v>
      </c>
      <c r="BC148" t="s">
        <v>74</v>
      </c>
      <c r="BD148">
        <v>4302712</v>
      </c>
      <c r="BE148" t="s">
        <v>2876</v>
      </c>
      <c r="BF148" t="str">
        <f>HYPERLINK("http://dx.doi.org/10.1109/TGRS.2023.3323506","http://dx.doi.org/10.1109/TGRS.2023.3323506")</f>
        <v>http://dx.doi.org/10.1109/TGRS.2023.3323506</v>
      </c>
      <c r="BG148" t="s">
        <v>74</v>
      </c>
      <c r="BH148" t="s">
        <v>74</v>
      </c>
      <c r="BI148">
        <v>12</v>
      </c>
      <c r="BJ148" t="s">
        <v>1751</v>
      </c>
      <c r="BK148" t="s">
        <v>104</v>
      </c>
      <c r="BL148" t="s">
        <v>1752</v>
      </c>
      <c r="BM148" t="s">
        <v>2877</v>
      </c>
      <c r="BN148" t="s">
        <v>74</v>
      </c>
      <c r="BO148" t="s">
        <v>74</v>
      </c>
      <c r="BP148" t="s">
        <v>74</v>
      </c>
      <c r="BQ148" t="s">
        <v>74</v>
      </c>
      <c r="BR148" t="s">
        <v>108</v>
      </c>
      <c r="BS148" t="s">
        <v>2878</v>
      </c>
      <c r="BT148" t="str">
        <f>HYPERLINK("https%3A%2F%2Fwww.webofscience.com%2Fwos%2Fwoscc%2Ffull-record%2FWOS:001090483200026","View Full Record in Web of Science")</f>
        <v>View Full Record in Web of Science</v>
      </c>
    </row>
    <row r="149" spans="1:72" x14ac:dyDescent="0.15">
      <c r="A149" t="s">
        <v>72</v>
      </c>
      <c r="B149" t="s">
        <v>2879</v>
      </c>
      <c r="C149" t="s">
        <v>74</v>
      </c>
      <c r="D149" t="s">
        <v>74</v>
      </c>
      <c r="E149" t="s">
        <v>74</v>
      </c>
      <c r="F149" t="s">
        <v>2880</v>
      </c>
      <c r="G149" t="s">
        <v>74</v>
      </c>
      <c r="H149" t="s">
        <v>74</v>
      </c>
      <c r="I149" t="s">
        <v>2881</v>
      </c>
      <c r="J149" t="s">
        <v>2882</v>
      </c>
      <c r="K149" t="s">
        <v>74</v>
      </c>
      <c r="L149" t="s">
        <v>74</v>
      </c>
      <c r="M149" t="s">
        <v>78</v>
      </c>
      <c r="N149" t="s">
        <v>79</v>
      </c>
      <c r="O149" t="s">
        <v>74</v>
      </c>
      <c r="P149" t="s">
        <v>74</v>
      </c>
      <c r="Q149" t="s">
        <v>74</v>
      </c>
      <c r="R149" t="s">
        <v>74</v>
      </c>
      <c r="S149" t="s">
        <v>74</v>
      </c>
      <c r="T149" t="s">
        <v>2883</v>
      </c>
      <c r="U149" t="s">
        <v>2884</v>
      </c>
      <c r="V149" t="s">
        <v>2885</v>
      </c>
      <c r="W149" t="s">
        <v>2886</v>
      </c>
      <c r="X149" t="s">
        <v>2887</v>
      </c>
      <c r="Y149" t="s">
        <v>2888</v>
      </c>
      <c r="Z149" t="s">
        <v>2889</v>
      </c>
      <c r="AA149" t="s">
        <v>74</v>
      </c>
      <c r="AB149" t="s">
        <v>2890</v>
      </c>
      <c r="AC149" t="s">
        <v>2891</v>
      </c>
      <c r="AD149" t="s">
        <v>2891</v>
      </c>
      <c r="AE149" t="s">
        <v>2892</v>
      </c>
      <c r="AF149" t="s">
        <v>74</v>
      </c>
      <c r="AG149">
        <v>28</v>
      </c>
      <c r="AH149">
        <v>0</v>
      </c>
      <c r="AI149">
        <v>0</v>
      </c>
      <c r="AJ149">
        <v>0</v>
      </c>
      <c r="AK149">
        <v>0</v>
      </c>
      <c r="AL149" t="s">
        <v>1010</v>
      </c>
      <c r="AM149" t="s">
        <v>1011</v>
      </c>
      <c r="AN149" t="s">
        <v>1012</v>
      </c>
      <c r="AO149" t="s">
        <v>2893</v>
      </c>
      <c r="AP149" t="s">
        <v>2894</v>
      </c>
      <c r="AQ149" t="s">
        <v>74</v>
      </c>
      <c r="AR149" t="s">
        <v>2895</v>
      </c>
      <c r="AS149" t="s">
        <v>2896</v>
      </c>
      <c r="AT149" t="s">
        <v>74</v>
      </c>
      <c r="AU149">
        <v>2023</v>
      </c>
      <c r="AV149">
        <v>29</v>
      </c>
      <c r="AW149">
        <v>5</v>
      </c>
      <c r="AX149" t="s">
        <v>74</v>
      </c>
      <c r="AY149" t="s">
        <v>74</v>
      </c>
      <c r="AZ149" t="s">
        <v>74</v>
      </c>
      <c r="BA149" t="s">
        <v>74</v>
      </c>
      <c r="BB149">
        <v>456</v>
      </c>
      <c r="BC149">
        <v>460</v>
      </c>
      <c r="BD149" t="s">
        <v>74</v>
      </c>
      <c r="BE149" t="s">
        <v>2897</v>
      </c>
      <c r="BF149" t="str">
        <f>HYPERLINK("http://dx.doi.org/10.1071/PC22047","http://dx.doi.org/10.1071/PC22047")</f>
        <v>http://dx.doi.org/10.1071/PC22047</v>
      </c>
      <c r="BG149" t="s">
        <v>74</v>
      </c>
      <c r="BH149" t="s">
        <v>74</v>
      </c>
      <c r="BI149">
        <v>5</v>
      </c>
      <c r="BJ149" t="s">
        <v>305</v>
      </c>
      <c r="BK149" t="s">
        <v>757</v>
      </c>
      <c r="BL149" t="s">
        <v>306</v>
      </c>
      <c r="BM149" t="s">
        <v>2898</v>
      </c>
      <c r="BN149" t="s">
        <v>74</v>
      </c>
      <c r="BO149" t="s">
        <v>219</v>
      </c>
      <c r="BP149" t="s">
        <v>74</v>
      </c>
      <c r="BQ149" t="s">
        <v>74</v>
      </c>
      <c r="BR149" t="s">
        <v>108</v>
      </c>
      <c r="BS149" t="s">
        <v>2899</v>
      </c>
      <c r="BT149" t="str">
        <f>HYPERLINK("https%3A%2F%2Fwww.webofscience.com%2Fwos%2Fwoscc%2Ffull-record%2FWOS:001092610200008","View Full Record in Web of Science")</f>
        <v>View Full Record in Web of Science</v>
      </c>
    </row>
    <row r="150" spans="1:72" x14ac:dyDescent="0.15">
      <c r="A150" t="s">
        <v>72</v>
      </c>
      <c r="B150" t="s">
        <v>2900</v>
      </c>
      <c r="C150" t="s">
        <v>74</v>
      </c>
      <c r="D150" t="s">
        <v>74</v>
      </c>
      <c r="E150" t="s">
        <v>74</v>
      </c>
      <c r="F150" t="s">
        <v>2901</v>
      </c>
      <c r="G150" t="s">
        <v>74</v>
      </c>
      <c r="H150" t="s">
        <v>74</v>
      </c>
      <c r="I150" t="s">
        <v>2902</v>
      </c>
      <c r="J150" t="s">
        <v>2903</v>
      </c>
      <c r="K150" t="s">
        <v>74</v>
      </c>
      <c r="L150" t="s">
        <v>74</v>
      </c>
      <c r="M150" t="s">
        <v>78</v>
      </c>
      <c r="N150" t="s">
        <v>256</v>
      </c>
      <c r="O150" t="s">
        <v>74</v>
      </c>
      <c r="P150" t="s">
        <v>74</v>
      </c>
      <c r="Q150" t="s">
        <v>74</v>
      </c>
      <c r="R150" t="s">
        <v>74</v>
      </c>
      <c r="S150" t="s">
        <v>74</v>
      </c>
      <c r="T150" t="s">
        <v>2904</v>
      </c>
      <c r="U150" t="s">
        <v>2905</v>
      </c>
      <c r="V150" t="s">
        <v>2906</v>
      </c>
      <c r="W150" t="s">
        <v>2907</v>
      </c>
      <c r="X150" t="s">
        <v>2908</v>
      </c>
      <c r="Y150" t="s">
        <v>2909</v>
      </c>
      <c r="Z150" t="s">
        <v>2910</v>
      </c>
      <c r="AA150" t="s">
        <v>2911</v>
      </c>
      <c r="AB150" t="s">
        <v>2912</v>
      </c>
      <c r="AC150" t="s">
        <v>2913</v>
      </c>
      <c r="AD150" t="s">
        <v>2914</v>
      </c>
      <c r="AE150" t="s">
        <v>2915</v>
      </c>
      <c r="AF150" t="s">
        <v>74</v>
      </c>
      <c r="AG150">
        <v>125</v>
      </c>
      <c r="AH150">
        <v>0</v>
      </c>
      <c r="AI150">
        <v>0</v>
      </c>
      <c r="AJ150">
        <v>5</v>
      </c>
      <c r="AK150">
        <v>5</v>
      </c>
      <c r="AL150" t="s">
        <v>2916</v>
      </c>
      <c r="AM150" t="s">
        <v>2917</v>
      </c>
      <c r="AN150" t="s">
        <v>2918</v>
      </c>
      <c r="AO150" t="s">
        <v>2919</v>
      </c>
      <c r="AP150" t="s">
        <v>2920</v>
      </c>
      <c r="AQ150" t="s">
        <v>74</v>
      </c>
      <c r="AR150" t="s">
        <v>2921</v>
      </c>
      <c r="AS150" t="s">
        <v>2922</v>
      </c>
      <c r="AT150" t="s">
        <v>74</v>
      </c>
      <c r="AU150">
        <v>2023</v>
      </c>
      <c r="AV150">
        <v>43</v>
      </c>
      <c r="AW150">
        <v>3</v>
      </c>
      <c r="AX150" t="s">
        <v>74</v>
      </c>
      <c r="AY150" t="s">
        <v>74</v>
      </c>
      <c r="AZ150" t="s">
        <v>74</v>
      </c>
      <c r="BA150" t="s">
        <v>74</v>
      </c>
      <c r="BB150">
        <v>388</v>
      </c>
      <c r="BC150">
        <v>395</v>
      </c>
      <c r="BD150" t="s">
        <v>74</v>
      </c>
      <c r="BE150" t="s">
        <v>2923</v>
      </c>
      <c r="BF150" t="str">
        <f>HYPERLINK("http://dx.doi.org/10.29261/pakvetj/2023.091","http://dx.doi.org/10.29261/pakvetj/2023.091")</f>
        <v>http://dx.doi.org/10.29261/pakvetj/2023.091</v>
      </c>
      <c r="BG150" t="s">
        <v>74</v>
      </c>
      <c r="BH150" t="s">
        <v>74</v>
      </c>
      <c r="BI150">
        <v>8</v>
      </c>
      <c r="BJ150" t="s">
        <v>2924</v>
      </c>
      <c r="BK150" t="s">
        <v>104</v>
      </c>
      <c r="BL150" t="s">
        <v>2924</v>
      </c>
      <c r="BM150" t="s">
        <v>2925</v>
      </c>
      <c r="BN150" t="s">
        <v>74</v>
      </c>
      <c r="BO150" t="s">
        <v>165</v>
      </c>
      <c r="BP150" t="s">
        <v>74</v>
      </c>
      <c r="BQ150" t="s">
        <v>74</v>
      </c>
      <c r="BR150" t="s">
        <v>108</v>
      </c>
      <c r="BS150" t="s">
        <v>2926</v>
      </c>
      <c r="BT150" t="str">
        <f>HYPERLINK("https%3A%2F%2Fwww.webofscience.com%2Fwos%2Fwoscc%2Ffull-record%2FWOS:001085009600002","View Full Record in Web of Science")</f>
        <v>View Full Record in Web of Science</v>
      </c>
    </row>
    <row r="151" spans="1:72" x14ac:dyDescent="0.15">
      <c r="A151" t="s">
        <v>72</v>
      </c>
      <c r="B151" t="s">
        <v>2927</v>
      </c>
      <c r="C151" t="s">
        <v>74</v>
      </c>
      <c r="D151" t="s">
        <v>74</v>
      </c>
      <c r="E151" t="s">
        <v>74</v>
      </c>
      <c r="F151" t="s">
        <v>2928</v>
      </c>
      <c r="G151" t="s">
        <v>74</v>
      </c>
      <c r="H151" t="s">
        <v>74</v>
      </c>
      <c r="I151" t="s">
        <v>2929</v>
      </c>
      <c r="J151" t="s">
        <v>975</v>
      </c>
      <c r="K151" t="s">
        <v>74</v>
      </c>
      <c r="L151" t="s">
        <v>74</v>
      </c>
      <c r="M151" t="s">
        <v>78</v>
      </c>
      <c r="N151" t="s">
        <v>79</v>
      </c>
      <c r="O151" t="s">
        <v>74</v>
      </c>
      <c r="P151" t="s">
        <v>74</v>
      </c>
      <c r="Q151" t="s">
        <v>74</v>
      </c>
      <c r="R151" t="s">
        <v>74</v>
      </c>
      <c r="S151" t="s">
        <v>74</v>
      </c>
      <c r="T151" t="s">
        <v>1596</v>
      </c>
      <c r="U151" t="s">
        <v>2930</v>
      </c>
      <c r="V151" t="s">
        <v>2931</v>
      </c>
      <c r="W151" t="s">
        <v>2932</v>
      </c>
      <c r="X151" t="s">
        <v>1600</v>
      </c>
      <c r="Y151" t="s">
        <v>2933</v>
      </c>
      <c r="Z151" t="s">
        <v>1602</v>
      </c>
      <c r="AA151" t="s">
        <v>74</v>
      </c>
      <c r="AB151" t="s">
        <v>74</v>
      </c>
      <c r="AC151" t="s">
        <v>2934</v>
      </c>
      <c r="AD151" t="s">
        <v>1604</v>
      </c>
      <c r="AE151" t="s">
        <v>2935</v>
      </c>
      <c r="AF151" t="s">
        <v>74</v>
      </c>
      <c r="AG151">
        <v>50</v>
      </c>
      <c r="AH151">
        <v>0</v>
      </c>
      <c r="AI151">
        <v>0</v>
      </c>
      <c r="AJ151">
        <v>0</v>
      </c>
      <c r="AK151">
        <v>0</v>
      </c>
      <c r="AL151" t="s">
        <v>987</v>
      </c>
      <c r="AM151" t="s">
        <v>988</v>
      </c>
      <c r="AN151" t="s">
        <v>989</v>
      </c>
      <c r="AO151" t="s">
        <v>990</v>
      </c>
      <c r="AP151" t="s">
        <v>991</v>
      </c>
      <c r="AQ151" t="s">
        <v>74</v>
      </c>
      <c r="AR151" t="s">
        <v>992</v>
      </c>
      <c r="AS151" t="s">
        <v>993</v>
      </c>
      <c r="AT151" t="s">
        <v>74</v>
      </c>
      <c r="AU151">
        <v>2023</v>
      </c>
      <c r="AV151">
        <v>118</v>
      </c>
      <c r="AW151" t="s">
        <v>74</v>
      </c>
      <c r="AX151" t="s">
        <v>74</v>
      </c>
      <c r="AY151" t="s">
        <v>74</v>
      </c>
      <c r="AZ151" t="s">
        <v>74</v>
      </c>
      <c r="BA151" t="s">
        <v>74</v>
      </c>
      <c r="BB151" t="s">
        <v>74</v>
      </c>
      <c r="BC151" t="s">
        <v>74</v>
      </c>
      <c r="BD151">
        <v>221202</v>
      </c>
      <c r="BE151" t="s">
        <v>1607</v>
      </c>
      <c r="BF151" t="str">
        <f>HYPERLINK("http://dx.doi.org/10.2465/jmps.221202","http://dx.doi.org/10.2465/jmps.221202")</f>
        <v>http://dx.doi.org/10.2465/jmps.221202</v>
      </c>
      <c r="BG151" t="s">
        <v>74</v>
      </c>
      <c r="BH151" t="s">
        <v>74</v>
      </c>
      <c r="BI151">
        <v>11</v>
      </c>
      <c r="BJ151" t="s">
        <v>995</v>
      </c>
      <c r="BK151" t="s">
        <v>104</v>
      </c>
      <c r="BL151" t="s">
        <v>995</v>
      </c>
      <c r="BM151" t="s">
        <v>996</v>
      </c>
      <c r="BN151" t="s">
        <v>74</v>
      </c>
      <c r="BO151" t="s">
        <v>165</v>
      </c>
      <c r="BP151" t="s">
        <v>74</v>
      </c>
      <c r="BQ151" t="s">
        <v>74</v>
      </c>
      <c r="BR151" t="s">
        <v>108</v>
      </c>
      <c r="BS151" t="s">
        <v>2936</v>
      </c>
      <c r="BT151" t="str">
        <f>HYPERLINK("https%3A%2F%2Fwww.webofscience.com%2Fwos%2Fwoscc%2Ffull-record%2FWOS:001089014300006","View Full Record in Web of Science")</f>
        <v>View Full Record in Web of Science</v>
      </c>
    </row>
    <row r="152" spans="1:72" x14ac:dyDescent="0.15">
      <c r="A152" t="s">
        <v>72</v>
      </c>
      <c r="B152" t="s">
        <v>2937</v>
      </c>
      <c r="C152" t="s">
        <v>74</v>
      </c>
      <c r="D152" t="s">
        <v>74</v>
      </c>
      <c r="E152" t="s">
        <v>74</v>
      </c>
      <c r="F152" t="s">
        <v>2938</v>
      </c>
      <c r="G152" t="s">
        <v>74</v>
      </c>
      <c r="H152" t="s">
        <v>74</v>
      </c>
      <c r="I152" t="s">
        <v>2939</v>
      </c>
      <c r="J152" t="s">
        <v>975</v>
      </c>
      <c r="K152" t="s">
        <v>74</v>
      </c>
      <c r="L152" t="s">
        <v>74</v>
      </c>
      <c r="M152" t="s">
        <v>78</v>
      </c>
      <c r="N152" t="s">
        <v>79</v>
      </c>
      <c r="O152" t="s">
        <v>74</v>
      </c>
      <c r="P152" t="s">
        <v>74</v>
      </c>
      <c r="Q152" t="s">
        <v>74</v>
      </c>
      <c r="R152" t="s">
        <v>74</v>
      </c>
      <c r="S152" t="s">
        <v>74</v>
      </c>
      <c r="T152" t="s">
        <v>2940</v>
      </c>
      <c r="U152" t="s">
        <v>2941</v>
      </c>
      <c r="V152" t="s">
        <v>2942</v>
      </c>
      <c r="W152" t="s">
        <v>2943</v>
      </c>
      <c r="X152" t="s">
        <v>2944</v>
      </c>
      <c r="Y152" t="s">
        <v>2945</v>
      </c>
      <c r="Z152" t="s">
        <v>2946</v>
      </c>
      <c r="AA152" t="s">
        <v>74</v>
      </c>
      <c r="AB152" t="s">
        <v>2947</v>
      </c>
      <c r="AC152" t="s">
        <v>2948</v>
      </c>
      <c r="AD152" t="s">
        <v>2949</v>
      </c>
      <c r="AE152" t="s">
        <v>2950</v>
      </c>
      <c r="AF152" t="s">
        <v>74</v>
      </c>
      <c r="AG152">
        <v>66</v>
      </c>
      <c r="AH152">
        <v>1</v>
      </c>
      <c r="AI152">
        <v>1</v>
      </c>
      <c r="AJ152">
        <v>6</v>
      </c>
      <c r="AK152">
        <v>6</v>
      </c>
      <c r="AL152" t="s">
        <v>987</v>
      </c>
      <c r="AM152" t="s">
        <v>988</v>
      </c>
      <c r="AN152" t="s">
        <v>989</v>
      </c>
      <c r="AO152" t="s">
        <v>990</v>
      </c>
      <c r="AP152" t="s">
        <v>991</v>
      </c>
      <c r="AQ152" t="s">
        <v>74</v>
      </c>
      <c r="AR152" t="s">
        <v>992</v>
      </c>
      <c r="AS152" t="s">
        <v>993</v>
      </c>
      <c r="AT152" t="s">
        <v>74</v>
      </c>
      <c r="AU152">
        <v>2023</v>
      </c>
      <c r="AV152">
        <v>118</v>
      </c>
      <c r="AW152" t="s">
        <v>74</v>
      </c>
      <c r="AX152" t="s">
        <v>74</v>
      </c>
      <c r="AY152" t="s">
        <v>74</v>
      </c>
      <c r="AZ152" t="s">
        <v>74</v>
      </c>
      <c r="BA152" t="s">
        <v>74</v>
      </c>
      <c r="BB152" t="s">
        <v>74</v>
      </c>
      <c r="BC152" t="s">
        <v>74</v>
      </c>
      <c r="BD152">
        <v>230125</v>
      </c>
      <c r="BE152" t="s">
        <v>2951</v>
      </c>
      <c r="BF152" t="str">
        <f>HYPERLINK("http://dx.doi.org/10.2465/jmps.230125","http://dx.doi.org/10.2465/jmps.230125")</f>
        <v>http://dx.doi.org/10.2465/jmps.230125</v>
      </c>
      <c r="BG152" t="s">
        <v>74</v>
      </c>
      <c r="BH152" t="s">
        <v>74</v>
      </c>
      <c r="BI152">
        <v>24</v>
      </c>
      <c r="BJ152" t="s">
        <v>995</v>
      </c>
      <c r="BK152" t="s">
        <v>104</v>
      </c>
      <c r="BL152" t="s">
        <v>995</v>
      </c>
      <c r="BM152" t="s">
        <v>996</v>
      </c>
      <c r="BN152" t="s">
        <v>74</v>
      </c>
      <c r="BO152" t="s">
        <v>165</v>
      </c>
      <c r="BP152" t="s">
        <v>74</v>
      </c>
      <c r="BQ152" t="s">
        <v>74</v>
      </c>
      <c r="BR152" t="s">
        <v>108</v>
      </c>
      <c r="BS152" t="s">
        <v>2952</v>
      </c>
      <c r="BT152" t="str">
        <f>HYPERLINK("https%3A%2F%2Fwww.webofscience.com%2Fwos%2Fwoscc%2Ffull-record%2FWOS:001089014300010","View Full Record in Web of Science")</f>
        <v>View Full Record in Web of Science</v>
      </c>
    </row>
    <row r="153" spans="1:72" x14ac:dyDescent="0.15">
      <c r="A153" t="s">
        <v>72</v>
      </c>
      <c r="B153" t="s">
        <v>1506</v>
      </c>
      <c r="C153" t="s">
        <v>74</v>
      </c>
      <c r="D153" t="s">
        <v>74</v>
      </c>
      <c r="E153" t="s">
        <v>74</v>
      </c>
      <c r="F153" t="s">
        <v>2953</v>
      </c>
      <c r="G153" t="s">
        <v>74</v>
      </c>
      <c r="H153" t="s">
        <v>74</v>
      </c>
      <c r="I153" t="s">
        <v>1508</v>
      </c>
      <c r="J153" t="s">
        <v>975</v>
      </c>
      <c r="K153" t="s">
        <v>74</v>
      </c>
      <c r="L153" t="s">
        <v>74</v>
      </c>
      <c r="M153" t="s">
        <v>78</v>
      </c>
      <c r="N153" t="s">
        <v>79</v>
      </c>
      <c r="O153" t="s">
        <v>74</v>
      </c>
      <c r="P153" t="s">
        <v>74</v>
      </c>
      <c r="Q153" t="s">
        <v>74</v>
      </c>
      <c r="R153" t="s">
        <v>74</v>
      </c>
      <c r="S153" t="s">
        <v>74</v>
      </c>
      <c r="T153" t="s">
        <v>1509</v>
      </c>
      <c r="U153" t="s">
        <v>1510</v>
      </c>
      <c r="V153" t="s">
        <v>1511</v>
      </c>
      <c r="W153" t="s">
        <v>2954</v>
      </c>
      <c r="X153" t="s">
        <v>1513</v>
      </c>
      <c r="Y153" t="s">
        <v>1514</v>
      </c>
      <c r="Z153" t="s">
        <v>1515</v>
      </c>
      <c r="AA153" t="s">
        <v>74</v>
      </c>
      <c r="AB153" t="s">
        <v>74</v>
      </c>
      <c r="AC153" t="s">
        <v>1516</v>
      </c>
      <c r="AD153" t="s">
        <v>1517</v>
      </c>
      <c r="AE153" t="s">
        <v>2955</v>
      </c>
      <c r="AF153" t="s">
        <v>74</v>
      </c>
      <c r="AG153">
        <v>63</v>
      </c>
      <c r="AH153">
        <v>0</v>
      </c>
      <c r="AI153">
        <v>0</v>
      </c>
      <c r="AJ153">
        <v>1</v>
      </c>
      <c r="AK153">
        <v>1</v>
      </c>
      <c r="AL153" t="s">
        <v>987</v>
      </c>
      <c r="AM153" t="s">
        <v>988</v>
      </c>
      <c r="AN153" t="s">
        <v>989</v>
      </c>
      <c r="AO153" t="s">
        <v>990</v>
      </c>
      <c r="AP153" t="s">
        <v>991</v>
      </c>
      <c r="AQ153" t="s">
        <v>74</v>
      </c>
      <c r="AR153" t="s">
        <v>992</v>
      </c>
      <c r="AS153" t="s">
        <v>993</v>
      </c>
      <c r="AT153" t="s">
        <v>74</v>
      </c>
      <c r="AU153">
        <v>2023</v>
      </c>
      <c r="AV153">
        <v>118</v>
      </c>
      <c r="AW153" t="s">
        <v>74</v>
      </c>
      <c r="AX153" t="s">
        <v>74</v>
      </c>
      <c r="AY153" t="s">
        <v>74</v>
      </c>
      <c r="AZ153" t="s">
        <v>74</v>
      </c>
      <c r="BA153" t="s">
        <v>74</v>
      </c>
      <c r="BB153" t="s">
        <v>74</v>
      </c>
      <c r="BC153" t="s">
        <v>74</v>
      </c>
      <c r="BD153">
        <v>221220</v>
      </c>
      <c r="BE153" t="s">
        <v>1520</v>
      </c>
      <c r="BF153" t="str">
        <f>HYPERLINK("http://dx.doi.org/10.2465/jmps.221220","http://dx.doi.org/10.2465/jmps.221220")</f>
        <v>http://dx.doi.org/10.2465/jmps.221220</v>
      </c>
      <c r="BG153" t="s">
        <v>74</v>
      </c>
      <c r="BH153" t="s">
        <v>74</v>
      </c>
      <c r="BI153">
        <v>20</v>
      </c>
      <c r="BJ153" t="s">
        <v>995</v>
      </c>
      <c r="BK153" t="s">
        <v>104</v>
      </c>
      <c r="BL153" t="s">
        <v>995</v>
      </c>
      <c r="BM153" t="s">
        <v>996</v>
      </c>
      <c r="BN153" t="s">
        <v>74</v>
      </c>
      <c r="BO153" t="s">
        <v>165</v>
      </c>
      <c r="BP153" t="s">
        <v>74</v>
      </c>
      <c r="BQ153" t="s">
        <v>74</v>
      </c>
      <c r="BR153" t="s">
        <v>108</v>
      </c>
      <c r="BS153" t="s">
        <v>2956</v>
      </c>
      <c r="BT153" t="str">
        <f>HYPERLINK("https%3A%2F%2Fwww.webofscience.com%2Fwos%2Fwoscc%2Ffull-record%2FWOS:001089014300009","View Full Record in Web of Science")</f>
        <v>View Full Record in Web of Science</v>
      </c>
    </row>
    <row r="154" spans="1:72" x14ac:dyDescent="0.15">
      <c r="A154" t="s">
        <v>72</v>
      </c>
      <c r="B154" t="s">
        <v>1609</v>
      </c>
      <c r="C154" t="s">
        <v>74</v>
      </c>
      <c r="D154" t="s">
        <v>74</v>
      </c>
      <c r="E154" t="s">
        <v>74</v>
      </c>
      <c r="F154" t="s">
        <v>1610</v>
      </c>
      <c r="G154" t="s">
        <v>74</v>
      </c>
      <c r="H154" t="s">
        <v>74</v>
      </c>
      <c r="I154" t="s">
        <v>2957</v>
      </c>
      <c r="J154" t="s">
        <v>975</v>
      </c>
      <c r="K154" t="s">
        <v>74</v>
      </c>
      <c r="L154" t="s">
        <v>74</v>
      </c>
      <c r="M154" t="s">
        <v>78</v>
      </c>
      <c r="N154" t="s">
        <v>79</v>
      </c>
      <c r="O154" t="s">
        <v>74</v>
      </c>
      <c r="P154" t="s">
        <v>74</v>
      </c>
      <c r="Q154" t="s">
        <v>74</v>
      </c>
      <c r="R154" t="s">
        <v>74</v>
      </c>
      <c r="S154" t="s">
        <v>74</v>
      </c>
      <c r="T154" t="s">
        <v>2958</v>
      </c>
      <c r="U154" t="s">
        <v>2959</v>
      </c>
      <c r="V154" t="s">
        <v>2960</v>
      </c>
      <c r="W154" t="s">
        <v>2961</v>
      </c>
      <c r="X154" t="s">
        <v>1616</v>
      </c>
      <c r="Y154" t="s">
        <v>2962</v>
      </c>
      <c r="Z154" t="s">
        <v>1618</v>
      </c>
      <c r="AA154" t="s">
        <v>74</v>
      </c>
      <c r="AB154" t="s">
        <v>74</v>
      </c>
      <c r="AC154" t="s">
        <v>1619</v>
      </c>
      <c r="AD154" t="s">
        <v>1620</v>
      </c>
      <c r="AE154" t="s">
        <v>2963</v>
      </c>
      <c r="AF154" t="s">
        <v>74</v>
      </c>
      <c r="AG154">
        <v>56</v>
      </c>
      <c r="AH154">
        <v>0</v>
      </c>
      <c r="AI154">
        <v>0</v>
      </c>
      <c r="AJ154">
        <v>3</v>
      </c>
      <c r="AK154">
        <v>3</v>
      </c>
      <c r="AL154" t="s">
        <v>987</v>
      </c>
      <c r="AM154" t="s">
        <v>988</v>
      </c>
      <c r="AN154" t="s">
        <v>989</v>
      </c>
      <c r="AO154" t="s">
        <v>990</v>
      </c>
      <c r="AP154" t="s">
        <v>991</v>
      </c>
      <c r="AQ154" t="s">
        <v>74</v>
      </c>
      <c r="AR154" t="s">
        <v>992</v>
      </c>
      <c r="AS154" t="s">
        <v>993</v>
      </c>
      <c r="AT154" t="s">
        <v>74</v>
      </c>
      <c r="AU154">
        <v>2023</v>
      </c>
      <c r="AV154">
        <v>118</v>
      </c>
      <c r="AW154" t="s">
        <v>74</v>
      </c>
      <c r="AX154" t="s">
        <v>74</v>
      </c>
      <c r="AY154" t="s">
        <v>74</v>
      </c>
      <c r="AZ154" t="s">
        <v>74</v>
      </c>
      <c r="BA154" t="s">
        <v>74</v>
      </c>
      <c r="BB154" t="s">
        <v>74</v>
      </c>
      <c r="BC154" t="s">
        <v>74</v>
      </c>
      <c r="BD154">
        <v>221201</v>
      </c>
      <c r="BE154" t="s">
        <v>1623</v>
      </c>
      <c r="BF154" t="str">
        <f>HYPERLINK("http://dx.doi.org/10.2465/jmps.221201","http://dx.doi.org/10.2465/jmps.221201")</f>
        <v>http://dx.doi.org/10.2465/jmps.221201</v>
      </c>
      <c r="BG154" t="s">
        <v>74</v>
      </c>
      <c r="BH154" t="s">
        <v>74</v>
      </c>
      <c r="BI154">
        <v>23</v>
      </c>
      <c r="BJ154" t="s">
        <v>995</v>
      </c>
      <c r="BK154" t="s">
        <v>104</v>
      </c>
      <c r="BL154" t="s">
        <v>995</v>
      </c>
      <c r="BM154" t="s">
        <v>996</v>
      </c>
      <c r="BN154" t="s">
        <v>74</v>
      </c>
      <c r="BO154" t="s">
        <v>165</v>
      </c>
      <c r="BP154" t="s">
        <v>74</v>
      </c>
      <c r="BQ154" t="s">
        <v>74</v>
      </c>
      <c r="BR154" t="s">
        <v>108</v>
      </c>
      <c r="BS154" t="s">
        <v>2964</v>
      </c>
      <c r="BT154" t="str">
        <f>HYPERLINK("https%3A%2F%2Fwww.webofscience.com%2Fwos%2Fwoscc%2Ffull-record%2FWOS:001089014300005","View Full Record in Web of Science")</f>
        <v>View Full Record in Web of Science</v>
      </c>
    </row>
    <row r="155" spans="1:72" x14ac:dyDescent="0.15">
      <c r="A155" t="s">
        <v>72</v>
      </c>
      <c r="B155" t="s">
        <v>1523</v>
      </c>
      <c r="C155" t="s">
        <v>74</v>
      </c>
      <c r="D155" t="s">
        <v>74</v>
      </c>
      <c r="E155" t="s">
        <v>74</v>
      </c>
      <c r="F155" t="s">
        <v>1524</v>
      </c>
      <c r="G155" t="s">
        <v>74</v>
      </c>
      <c r="H155" t="s">
        <v>74</v>
      </c>
      <c r="I155" t="s">
        <v>1525</v>
      </c>
      <c r="J155" t="s">
        <v>975</v>
      </c>
      <c r="K155" t="s">
        <v>74</v>
      </c>
      <c r="L155" t="s">
        <v>74</v>
      </c>
      <c r="M155" t="s">
        <v>78</v>
      </c>
      <c r="N155" t="s">
        <v>79</v>
      </c>
      <c r="O155" t="s">
        <v>74</v>
      </c>
      <c r="P155" t="s">
        <v>74</v>
      </c>
      <c r="Q155" t="s">
        <v>74</v>
      </c>
      <c r="R155" t="s">
        <v>74</v>
      </c>
      <c r="S155" t="s">
        <v>74</v>
      </c>
      <c r="T155" t="s">
        <v>2965</v>
      </c>
      <c r="U155" t="s">
        <v>1527</v>
      </c>
      <c r="V155" t="s">
        <v>2966</v>
      </c>
      <c r="W155" t="s">
        <v>2967</v>
      </c>
      <c r="X155" t="s">
        <v>2968</v>
      </c>
      <c r="Y155" t="s">
        <v>2969</v>
      </c>
      <c r="Z155" t="s">
        <v>1532</v>
      </c>
      <c r="AA155" t="s">
        <v>2970</v>
      </c>
      <c r="AB155" t="s">
        <v>2971</v>
      </c>
      <c r="AC155" t="s">
        <v>2972</v>
      </c>
      <c r="AD155" t="s">
        <v>2973</v>
      </c>
      <c r="AE155" t="s">
        <v>1535</v>
      </c>
      <c r="AF155" t="s">
        <v>74</v>
      </c>
      <c r="AG155">
        <v>46</v>
      </c>
      <c r="AH155">
        <v>6</v>
      </c>
      <c r="AI155">
        <v>6</v>
      </c>
      <c r="AJ155">
        <v>3</v>
      </c>
      <c r="AK155">
        <v>3</v>
      </c>
      <c r="AL155" t="s">
        <v>987</v>
      </c>
      <c r="AM155" t="s">
        <v>988</v>
      </c>
      <c r="AN155" t="s">
        <v>989</v>
      </c>
      <c r="AO155" t="s">
        <v>990</v>
      </c>
      <c r="AP155" t="s">
        <v>991</v>
      </c>
      <c r="AQ155" t="s">
        <v>74</v>
      </c>
      <c r="AR155" t="s">
        <v>992</v>
      </c>
      <c r="AS155" t="s">
        <v>993</v>
      </c>
      <c r="AT155" t="s">
        <v>74</v>
      </c>
      <c r="AU155">
        <v>2023</v>
      </c>
      <c r="AV155">
        <v>118</v>
      </c>
      <c r="AW155" t="s">
        <v>74</v>
      </c>
      <c r="AX155" t="s">
        <v>74</v>
      </c>
      <c r="AY155" t="s">
        <v>74</v>
      </c>
      <c r="AZ155" t="s">
        <v>74</v>
      </c>
      <c r="BA155" t="s">
        <v>74</v>
      </c>
      <c r="BB155" t="s">
        <v>74</v>
      </c>
      <c r="BC155" t="s">
        <v>74</v>
      </c>
      <c r="BD155" t="s">
        <v>2974</v>
      </c>
      <c r="BE155" t="s">
        <v>1536</v>
      </c>
      <c r="BF155" t="str">
        <f>HYPERLINK("http://dx.doi.org/10.2465/jmps.221124","http://dx.doi.org/10.2465/jmps.221124")</f>
        <v>http://dx.doi.org/10.2465/jmps.221124</v>
      </c>
      <c r="BG155" t="s">
        <v>74</v>
      </c>
      <c r="BH155" t="s">
        <v>74</v>
      </c>
      <c r="BI155">
        <v>17</v>
      </c>
      <c r="BJ155" t="s">
        <v>995</v>
      </c>
      <c r="BK155" t="s">
        <v>104</v>
      </c>
      <c r="BL155" t="s">
        <v>995</v>
      </c>
      <c r="BM155" t="s">
        <v>996</v>
      </c>
      <c r="BN155" t="s">
        <v>74</v>
      </c>
      <c r="BO155" t="s">
        <v>165</v>
      </c>
      <c r="BP155" t="s">
        <v>74</v>
      </c>
      <c r="BQ155" t="s">
        <v>74</v>
      </c>
      <c r="BR155" t="s">
        <v>108</v>
      </c>
      <c r="BS155" t="s">
        <v>2975</v>
      </c>
      <c r="BT155" t="str">
        <f>HYPERLINK("https%3A%2F%2Fwww.webofscience.com%2Fwos%2Fwoscc%2Ffull-record%2FWOS:001089014300002","View Full Record in Web of Science")</f>
        <v>View Full Record in Web of Science</v>
      </c>
    </row>
    <row r="156" spans="1:72" x14ac:dyDescent="0.15">
      <c r="A156" t="s">
        <v>72</v>
      </c>
      <c r="B156" t="s">
        <v>2976</v>
      </c>
      <c r="C156" t="s">
        <v>74</v>
      </c>
      <c r="D156" t="s">
        <v>74</v>
      </c>
      <c r="E156" t="s">
        <v>74</v>
      </c>
      <c r="F156" t="s">
        <v>2977</v>
      </c>
      <c r="G156" t="s">
        <v>74</v>
      </c>
      <c r="H156" t="s">
        <v>74</v>
      </c>
      <c r="I156" t="s">
        <v>2978</v>
      </c>
      <c r="J156" t="s">
        <v>975</v>
      </c>
      <c r="K156" t="s">
        <v>74</v>
      </c>
      <c r="L156" t="s">
        <v>74</v>
      </c>
      <c r="M156" t="s">
        <v>78</v>
      </c>
      <c r="N156" t="s">
        <v>79</v>
      </c>
      <c r="O156" t="s">
        <v>74</v>
      </c>
      <c r="P156" t="s">
        <v>74</v>
      </c>
      <c r="Q156" t="s">
        <v>74</v>
      </c>
      <c r="R156" t="s">
        <v>74</v>
      </c>
      <c r="S156" t="s">
        <v>74</v>
      </c>
      <c r="T156" t="s">
        <v>2979</v>
      </c>
      <c r="U156" t="s">
        <v>2980</v>
      </c>
      <c r="V156" t="s">
        <v>2981</v>
      </c>
      <c r="W156" t="s">
        <v>2982</v>
      </c>
      <c r="X156" t="s">
        <v>2983</v>
      </c>
      <c r="Y156" t="s">
        <v>2984</v>
      </c>
      <c r="Z156" t="s">
        <v>2985</v>
      </c>
      <c r="AA156" t="s">
        <v>74</v>
      </c>
      <c r="AB156" t="s">
        <v>74</v>
      </c>
      <c r="AC156" t="s">
        <v>2986</v>
      </c>
      <c r="AD156" t="s">
        <v>2987</v>
      </c>
      <c r="AE156" t="s">
        <v>2988</v>
      </c>
      <c r="AF156" t="s">
        <v>74</v>
      </c>
      <c r="AG156">
        <v>68</v>
      </c>
      <c r="AH156">
        <v>1</v>
      </c>
      <c r="AI156">
        <v>1</v>
      </c>
      <c r="AJ156">
        <v>2</v>
      </c>
      <c r="AK156">
        <v>2</v>
      </c>
      <c r="AL156" t="s">
        <v>987</v>
      </c>
      <c r="AM156" t="s">
        <v>988</v>
      </c>
      <c r="AN156" t="s">
        <v>989</v>
      </c>
      <c r="AO156" t="s">
        <v>990</v>
      </c>
      <c r="AP156" t="s">
        <v>991</v>
      </c>
      <c r="AQ156" t="s">
        <v>74</v>
      </c>
      <c r="AR156" t="s">
        <v>992</v>
      </c>
      <c r="AS156" t="s">
        <v>993</v>
      </c>
      <c r="AT156" t="s">
        <v>74</v>
      </c>
      <c r="AU156">
        <v>2023</v>
      </c>
      <c r="AV156">
        <v>118</v>
      </c>
      <c r="AW156" t="s">
        <v>74</v>
      </c>
      <c r="AX156" t="s">
        <v>74</v>
      </c>
      <c r="AY156" t="s">
        <v>74</v>
      </c>
      <c r="AZ156" t="s">
        <v>74</v>
      </c>
      <c r="BA156" t="s">
        <v>74</v>
      </c>
      <c r="BB156" t="s">
        <v>74</v>
      </c>
      <c r="BC156" t="s">
        <v>74</v>
      </c>
      <c r="BD156">
        <v>230331</v>
      </c>
      <c r="BE156" t="s">
        <v>2989</v>
      </c>
      <c r="BF156" t="str">
        <f>HYPERLINK("http://dx.doi.org/10.2465/jmps.230331","http://dx.doi.org/10.2465/jmps.230331")</f>
        <v>http://dx.doi.org/10.2465/jmps.230331</v>
      </c>
      <c r="BG156" t="s">
        <v>74</v>
      </c>
      <c r="BH156" t="s">
        <v>74</v>
      </c>
      <c r="BI156">
        <v>19</v>
      </c>
      <c r="BJ156" t="s">
        <v>995</v>
      </c>
      <c r="BK156" t="s">
        <v>104</v>
      </c>
      <c r="BL156" t="s">
        <v>995</v>
      </c>
      <c r="BM156" t="s">
        <v>996</v>
      </c>
      <c r="BN156" t="s">
        <v>74</v>
      </c>
      <c r="BO156" t="s">
        <v>165</v>
      </c>
      <c r="BP156" t="s">
        <v>74</v>
      </c>
      <c r="BQ156" t="s">
        <v>74</v>
      </c>
      <c r="BR156" t="s">
        <v>108</v>
      </c>
      <c r="BS156" t="s">
        <v>2990</v>
      </c>
      <c r="BT156" t="str">
        <f>HYPERLINK("https%3A%2F%2Fwww.webofscience.com%2Fwos%2Fwoscc%2Ffull-record%2FWOS:001089014300014","View Full Record in Web of Science")</f>
        <v>View Full Record in Web of Science</v>
      </c>
    </row>
    <row r="157" spans="1:72" x14ac:dyDescent="0.15">
      <c r="A157" t="s">
        <v>72</v>
      </c>
      <c r="B157" t="s">
        <v>2991</v>
      </c>
      <c r="C157" t="s">
        <v>74</v>
      </c>
      <c r="D157" t="s">
        <v>74</v>
      </c>
      <c r="E157" t="s">
        <v>74</v>
      </c>
      <c r="F157" t="s">
        <v>2992</v>
      </c>
      <c r="G157" t="s">
        <v>74</v>
      </c>
      <c r="H157" t="s">
        <v>74</v>
      </c>
      <c r="I157" t="s">
        <v>2993</v>
      </c>
      <c r="J157" t="s">
        <v>975</v>
      </c>
      <c r="K157" t="s">
        <v>74</v>
      </c>
      <c r="L157" t="s">
        <v>74</v>
      </c>
      <c r="M157" t="s">
        <v>78</v>
      </c>
      <c r="N157" t="s">
        <v>79</v>
      </c>
      <c r="O157" t="s">
        <v>74</v>
      </c>
      <c r="P157" t="s">
        <v>74</v>
      </c>
      <c r="Q157" t="s">
        <v>74</v>
      </c>
      <c r="R157" t="s">
        <v>74</v>
      </c>
      <c r="S157" t="s">
        <v>74</v>
      </c>
      <c r="T157" t="s">
        <v>1573</v>
      </c>
      <c r="U157" t="s">
        <v>1574</v>
      </c>
      <c r="V157" t="s">
        <v>2994</v>
      </c>
      <c r="W157" t="s">
        <v>2995</v>
      </c>
      <c r="X157" t="s">
        <v>1577</v>
      </c>
      <c r="Y157" t="s">
        <v>2996</v>
      </c>
      <c r="Z157" t="s">
        <v>1579</v>
      </c>
      <c r="AA157" t="s">
        <v>74</v>
      </c>
      <c r="AB157" t="s">
        <v>74</v>
      </c>
      <c r="AC157" t="s">
        <v>2997</v>
      </c>
      <c r="AD157" t="s">
        <v>2998</v>
      </c>
      <c r="AE157" t="s">
        <v>2999</v>
      </c>
      <c r="AF157" t="s">
        <v>74</v>
      </c>
      <c r="AG157">
        <v>51</v>
      </c>
      <c r="AH157">
        <v>1</v>
      </c>
      <c r="AI157">
        <v>1</v>
      </c>
      <c r="AJ157">
        <v>2</v>
      </c>
      <c r="AK157">
        <v>2</v>
      </c>
      <c r="AL157" t="s">
        <v>987</v>
      </c>
      <c r="AM157" t="s">
        <v>988</v>
      </c>
      <c r="AN157" t="s">
        <v>989</v>
      </c>
      <c r="AO157" t="s">
        <v>990</v>
      </c>
      <c r="AP157" t="s">
        <v>991</v>
      </c>
      <c r="AQ157" t="s">
        <v>74</v>
      </c>
      <c r="AR157" t="s">
        <v>992</v>
      </c>
      <c r="AS157" t="s">
        <v>993</v>
      </c>
      <c r="AT157" t="s">
        <v>74</v>
      </c>
      <c r="AU157">
        <v>2023</v>
      </c>
      <c r="AV157">
        <v>118</v>
      </c>
      <c r="AW157" t="s">
        <v>74</v>
      </c>
      <c r="AX157" t="s">
        <v>74</v>
      </c>
      <c r="AY157" t="s">
        <v>74</v>
      </c>
      <c r="AZ157" t="s">
        <v>74</v>
      </c>
      <c r="BA157" t="s">
        <v>74</v>
      </c>
      <c r="BB157" t="s">
        <v>74</v>
      </c>
      <c r="BC157" t="s">
        <v>74</v>
      </c>
      <c r="BD157" t="s">
        <v>1582</v>
      </c>
      <c r="BE157" t="s">
        <v>1583</v>
      </c>
      <c r="BF157" t="str">
        <f>HYPERLINK("http://dx.doi.org/10.2465/jmps.221117","http://dx.doi.org/10.2465/jmps.221117")</f>
        <v>http://dx.doi.org/10.2465/jmps.221117</v>
      </c>
      <c r="BG157" t="s">
        <v>74</v>
      </c>
      <c r="BH157" t="s">
        <v>74</v>
      </c>
      <c r="BI157">
        <v>15</v>
      </c>
      <c r="BJ157" t="s">
        <v>995</v>
      </c>
      <c r="BK157" t="s">
        <v>104</v>
      </c>
      <c r="BL157" t="s">
        <v>995</v>
      </c>
      <c r="BM157" t="s">
        <v>996</v>
      </c>
      <c r="BN157" t="s">
        <v>74</v>
      </c>
      <c r="BO157" t="s">
        <v>165</v>
      </c>
      <c r="BP157" t="s">
        <v>74</v>
      </c>
      <c r="BQ157" t="s">
        <v>74</v>
      </c>
      <c r="BR157" t="s">
        <v>108</v>
      </c>
      <c r="BS157" t="s">
        <v>3000</v>
      </c>
      <c r="BT157" t="str">
        <f>HYPERLINK("https%3A%2F%2Fwww.webofscience.com%2Fwos%2Fwoscc%2Ffull-record%2FWOS:001089014300001","View Full Record in Web of Science")</f>
        <v>View Full Record in Web of Science</v>
      </c>
    </row>
    <row r="158" spans="1:72" x14ac:dyDescent="0.15">
      <c r="A158" t="s">
        <v>72</v>
      </c>
      <c r="B158" t="s">
        <v>3001</v>
      </c>
      <c r="C158" t="s">
        <v>74</v>
      </c>
      <c r="D158" t="s">
        <v>74</v>
      </c>
      <c r="E158" t="s">
        <v>74</v>
      </c>
      <c r="F158" t="s">
        <v>3002</v>
      </c>
      <c r="G158" t="s">
        <v>74</v>
      </c>
      <c r="H158" t="s">
        <v>74</v>
      </c>
      <c r="I158" t="s">
        <v>3003</v>
      </c>
      <c r="J158" t="s">
        <v>3004</v>
      </c>
      <c r="K158" t="s">
        <v>74</v>
      </c>
      <c r="L158" t="s">
        <v>74</v>
      </c>
      <c r="M158" t="s">
        <v>78</v>
      </c>
      <c r="N158" t="s">
        <v>79</v>
      </c>
      <c r="O158" t="s">
        <v>74</v>
      </c>
      <c r="P158" t="s">
        <v>74</v>
      </c>
      <c r="Q158" t="s">
        <v>74</v>
      </c>
      <c r="R158" t="s">
        <v>74</v>
      </c>
      <c r="S158" t="s">
        <v>74</v>
      </c>
      <c r="T158" t="s">
        <v>3005</v>
      </c>
      <c r="U158" t="s">
        <v>3006</v>
      </c>
      <c r="V158" t="s">
        <v>3007</v>
      </c>
      <c r="W158" t="s">
        <v>3008</v>
      </c>
      <c r="X158" t="s">
        <v>3009</v>
      </c>
      <c r="Y158" t="s">
        <v>3010</v>
      </c>
      <c r="Z158" t="s">
        <v>3011</v>
      </c>
      <c r="AA158" t="s">
        <v>74</v>
      </c>
      <c r="AB158" t="s">
        <v>74</v>
      </c>
      <c r="AC158" t="s">
        <v>74</v>
      </c>
      <c r="AD158" t="s">
        <v>74</v>
      </c>
      <c r="AE158" t="s">
        <v>74</v>
      </c>
      <c r="AF158" t="s">
        <v>74</v>
      </c>
      <c r="AG158">
        <v>28</v>
      </c>
      <c r="AH158">
        <v>0</v>
      </c>
      <c r="AI158">
        <v>0</v>
      </c>
      <c r="AJ158">
        <v>5</v>
      </c>
      <c r="AK158">
        <v>5</v>
      </c>
      <c r="AL158" t="s">
        <v>3012</v>
      </c>
      <c r="AM158" t="s">
        <v>238</v>
      </c>
      <c r="AN158" t="s">
        <v>3013</v>
      </c>
      <c r="AO158" t="s">
        <v>3014</v>
      </c>
      <c r="AP158" t="s">
        <v>3015</v>
      </c>
      <c r="AQ158" t="s">
        <v>74</v>
      </c>
      <c r="AR158" t="s">
        <v>3016</v>
      </c>
      <c r="AS158" t="s">
        <v>3017</v>
      </c>
      <c r="AT158" t="s">
        <v>74</v>
      </c>
      <c r="AU158">
        <v>2023</v>
      </c>
      <c r="AV158">
        <v>45</v>
      </c>
      <c r="AW158">
        <v>4</v>
      </c>
      <c r="AX158" t="s">
        <v>74</v>
      </c>
      <c r="AY158" t="s">
        <v>74</v>
      </c>
      <c r="AZ158" t="s">
        <v>74</v>
      </c>
      <c r="BA158" t="s">
        <v>74</v>
      </c>
      <c r="BB158">
        <v>6797</v>
      </c>
      <c r="BC158">
        <v>6812</v>
      </c>
      <c r="BD158" t="s">
        <v>74</v>
      </c>
      <c r="BE158" t="s">
        <v>3018</v>
      </c>
      <c r="BF158" t="str">
        <f>HYPERLINK("http://dx.doi.org/10.3233/JIFS-224543","http://dx.doi.org/10.3233/JIFS-224543")</f>
        <v>http://dx.doi.org/10.3233/JIFS-224543</v>
      </c>
      <c r="BG158" t="s">
        <v>74</v>
      </c>
      <c r="BH158" t="s">
        <v>74</v>
      </c>
      <c r="BI158">
        <v>16</v>
      </c>
      <c r="BJ158" t="s">
        <v>3019</v>
      </c>
      <c r="BK158" t="s">
        <v>104</v>
      </c>
      <c r="BL158" t="s">
        <v>1725</v>
      </c>
      <c r="BM158" t="s">
        <v>3020</v>
      </c>
      <c r="BN158" t="s">
        <v>74</v>
      </c>
      <c r="BO158" t="s">
        <v>74</v>
      </c>
      <c r="BP158" t="s">
        <v>74</v>
      </c>
      <c r="BQ158" t="s">
        <v>74</v>
      </c>
      <c r="BR158" t="s">
        <v>108</v>
      </c>
      <c r="BS158" t="s">
        <v>3021</v>
      </c>
      <c r="BT158" t="str">
        <f>HYPERLINK("https%3A%2F%2Fwww.webofscience.com%2Fwos%2Fwoscc%2Ffull-record%2FWOS:001086860200103","View Full Record in Web of Science")</f>
        <v>View Full Record in Web of Science</v>
      </c>
    </row>
    <row r="159" spans="1:72" x14ac:dyDescent="0.15">
      <c r="A159" t="s">
        <v>72</v>
      </c>
      <c r="B159" t="s">
        <v>3022</v>
      </c>
      <c r="C159" t="s">
        <v>74</v>
      </c>
      <c r="D159" t="s">
        <v>74</v>
      </c>
      <c r="E159" t="s">
        <v>74</v>
      </c>
      <c r="F159" t="s">
        <v>3023</v>
      </c>
      <c r="G159" t="s">
        <v>74</v>
      </c>
      <c r="H159" t="s">
        <v>74</v>
      </c>
      <c r="I159" t="s">
        <v>3024</v>
      </c>
      <c r="J159" t="s">
        <v>1805</v>
      </c>
      <c r="K159" t="s">
        <v>74</v>
      </c>
      <c r="L159" t="s">
        <v>74</v>
      </c>
      <c r="M159" t="s">
        <v>78</v>
      </c>
      <c r="N159" t="s">
        <v>79</v>
      </c>
      <c r="O159" t="s">
        <v>74</v>
      </c>
      <c r="P159" t="s">
        <v>74</v>
      </c>
      <c r="Q159" t="s">
        <v>74</v>
      </c>
      <c r="R159" t="s">
        <v>74</v>
      </c>
      <c r="S159" t="s">
        <v>74</v>
      </c>
      <c r="T159" t="s">
        <v>3025</v>
      </c>
      <c r="U159" t="s">
        <v>3026</v>
      </c>
      <c r="V159" t="s">
        <v>3027</v>
      </c>
      <c r="W159" t="s">
        <v>3028</v>
      </c>
      <c r="X159" t="s">
        <v>3029</v>
      </c>
      <c r="Y159" t="s">
        <v>3030</v>
      </c>
      <c r="Z159" t="s">
        <v>3031</v>
      </c>
      <c r="AA159" t="s">
        <v>3032</v>
      </c>
      <c r="AB159" t="s">
        <v>3033</v>
      </c>
      <c r="AC159" t="s">
        <v>3034</v>
      </c>
      <c r="AD159" t="s">
        <v>3035</v>
      </c>
      <c r="AE159" t="s">
        <v>3036</v>
      </c>
      <c r="AF159" t="s">
        <v>74</v>
      </c>
      <c r="AG159">
        <v>55</v>
      </c>
      <c r="AH159">
        <v>0</v>
      </c>
      <c r="AI159">
        <v>0</v>
      </c>
      <c r="AJ159">
        <v>2</v>
      </c>
      <c r="AK159">
        <v>2</v>
      </c>
      <c r="AL159" t="s">
        <v>1818</v>
      </c>
      <c r="AM159" t="s">
        <v>1819</v>
      </c>
      <c r="AN159" t="s">
        <v>1820</v>
      </c>
      <c r="AO159" t="s">
        <v>1821</v>
      </c>
      <c r="AP159" t="s">
        <v>1822</v>
      </c>
      <c r="AQ159" t="s">
        <v>74</v>
      </c>
      <c r="AR159" t="s">
        <v>1823</v>
      </c>
      <c r="AS159" t="s">
        <v>1824</v>
      </c>
      <c r="AT159" t="s">
        <v>74</v>
      </c>
      <c r="AU159">
        <v>2023</v>
      </c>
      <c r="AV159">
        <v>95</v>
      </c>
      <c r="AW159" t="s">
        <v>74</v>
      </c>
      <c r="AX159" t="s">
        <v>74</v>
      </c>
      <c r="AY159">
        <v>3</v>
      </c>
      <c r="AZ159" t="s">
        <v>74</v>
      </c>
      <c r="BA159" t="s">
        <v>74</v>
      </c>
      <c r="BB159" t="s">
        <v>74</v>
      </c>
      <c r="BC159" t="s">
        <v>74</v>
      </c>
      <c r="BD159" t="s">
        <v>3037</v>
      </c>
      <c r="BE159" t="s">
        <v>3038</v>
      </c>
      <c r="BF159" t="str">
        <f>HYPERLINK("http://dx.doi.org/10.1590/0001-3765202320210622","http://dx.doi.org/10.1590/0001-3765202320210622")</f>
        <v>http://dx.doi.org/10.1590/0001-3765202320210622</v>
      </c>
      <c r="BG159" t="s">
        <v>74</v>
      </c>
      <c r="BH159" t="s">
        <v>74</v>
      </c>
      <c r="BI159">
        <v>16</v>
      </c>
      <c r="BJ159" t="s">
        <v>189</v>
      </c>
      <c r="BK159" t="s">
        <v>104</v>
      </c>
      <c r="BL159" t="s">
        <v>190</v>
      </c>
      <c r="BM159" t="s">
        <v>3039</v>
      </c>
      <c r="BN159">
        <v>37820120</v>
      </c>
      <c r="BO159" t="s">
        <v>165</v>
      </c>
      <c r="BP159" t="s">
        <v>74</v>
      </c>
      <c r="BQ159" t="s">
        <v>74</v>
      </c>
      <c r="BR159" t="s">
        <v>108</v>
      </c>
      <c r="BS159" t="s">
        <v>3040</v>
      </c>
      <c r="BT159" t="str">
        <f>HYPERLINK("https%3A%2F%2Fwww.webofscience.com%2Fwos%2Fwoscc%2Ffull-record%2FWOS:001088770700001","View Full Record in Web of Science")</f>
        <v>View Full Record in Web of Science</v>
      </c>
    </row>
    <row r="160" spans="1:72" x14ac:dyDescent="0.15">
      <c r="A160" t="s">
        <v>72</v>
      </c>
      <c r="B160" t="s">
        <v>3041</v>
      </c>
      <c r="C160" t="s">
        <v>74</v>
      </c>
      <c r="D160" t="s">
        <v>74</v>
      </c>
      <c r="E160" t="s">
        <v>74</v>
      </c>
      <c r="F160" t="s">
        <v>3042</v>
      </c>
      <c r="G160" t="s">
        <v>74</v>
      </c>
      <c r="H160" t="s">
        <v>74</v>
      </c>
      <c r="I160" t="s">
        <v>3043</v>
      </c>
      <c r="J160" t="s">
        <v>3044</v>
      </c>
      <c r="K160" t="s">
        <v>74</v>
      </c>
      <c r="L160" t="s">
        <v>74</v>
      </c>
      <c r="M160" t="s">
        <v>78</v>
      </c>
      <c r="N160" t="s">
        <v>79</v>
      </c>
      <c r="O160" t="s">
        <v>74</v>
      </c>
      <c r="P160" t="s">
        <v>74</v>
      </c>
      <c r="Q160" t="s">
        <v>74</v>
      </c>
      <c r="R160" t="s">
        <v>74</v>
      </c>
      <c r="S160" t="s">
        <v>74</v>
      </c>
      <c r="T160" t="s">
        <v>3045</v>
      </c>
      <c r="U160" t="s">
        <v>3046</v>
      </c>
      <c r="V160" t="s">
        <v>3047</v>
      </c>
      <c r="W160" t="s">
        <v>3048</v>
      </c>
      <c r="X160" t="s">
        <v>3049</v>
      </c>
      <c r="Y160" t="s">
        <v>3050</v>
      </c>
      <c r="Z160" t="s">
        <v>74</v>
      </c>
      <c r="AA160" t="s">
        <v>74</v>
      </c>
      <c r="AB160" t="s">
        <v>74</v>
      </c>
      <c r="AC160" t="s">
        <v>3051</v>
      </c>
      <c r="AD160" t="s">
        <v>3052</v>
      </c>
      <c r="AE160" t="s">
        <v>3053</v>
      </c>
      <c r="AF160" t="s">
        <v>74</v>
      </c>
      <c r="AG160">
        <v>47</v>
      </c>
      <c r="AH160">
        <v>1</v>
      </c>
      <c r="AI160">
        <v>1</v>
      </c>
      <c r="AJ160">
        <v>5</v>
      </c>
      <c r="AK160">
        <v>5</v>
      </c>
      <c r="AL160" t="s">
        <v>3054</v>
      </c>
      <c r="AM160" t="s">
        <v>3055</v>
      </c>
      <c r="AN160" t="s">
        <v>3056</v>
      </c>
      <c r="AO160" t="s">
        <v>3057</v>
      </c>
      <c r="AP160" t="s">
        <v>3058</v>
      </c>
      <c r="AQ160" t="s">
        <v>74</v>
      </c>
      <c r="AR160" t="s">
        <v>3059</v>
      </c>
      <c r="AS160" t="s">
        <v>3060</v>
      </c>
      <c r="AT160" t="s">
        <v>74</v>
      </c>
      <c r="AU160">
        <v>2023</v>
      </c>
      <c r="AV160">
        <v>57</v>
      </c>
      <c r="AW160">
        <v>3</v>
      </c>
      <c r="AX160" t="s">
        <v>74</v>
      </c>
      <c r="AY160" t="s">
        <v>74</v>
      </c>
      <c r="AZ160" t="s">
        <v>74</v>
      </c>
      <c r="BA160" t="s">
        <v>74</v>
      </c>
      <c r="BB160">
        <v>43</v>
      </c>
      <c r="BC160">
        <v>50</v>
      </c>
      <c r="BD160" t="s">
        <v>74</v>
      </c>
      <c r="BE160" t="s">
        <v>74</v>
      </c>
      <c r="BF160" t="s">
        <v>74</v>
      </c>
      <c r="BG160" t="s">
        <v>74</v>
      </c>
      <c r="BH160" t="s">
        <v>74</v>
      </c>
      <c r="BI160">
        <v>8</v>
      </c>
      <c r="BJ160" t="s">
        <v>3061</v>
      </c>
      <c r="BK160" t="s">
        <v>104</v>
      </c>
      <c r="BL160" t="s">
        <v>3062</v>
      </c>
      <c r="BM160" t="s">
        <v>3063</v>
      </c>
      <c r="BN160" t="s">
        <v>74</v>
      </c>
      <c r="BO160" t="s">
        <v>74</v>
      </c>
      <c r="BP160" t="s">
        <v>74</v>
      </c>
      <c r="BQ160" t="s">
        <v>74</v>
      </c>
      <c r="BR160" t="s">
        <v>108</v>
      </c>
      <c r="BS160" t="s">
        <v>3064</v>
      </c>
      <c r="BT160" t="str">
        <f>HYPERLINK("https%3A%2F%2Fwww.webofscience.com%2Fwos%2Fwoscc%2Ffull-record%2FWOS:001089039400006","View Full Record in Web of Science")</f>
        <v>View Full Record in Web of Science</v>
      </c>
    </row>
    <row r="161" spans="1:72" x14ac:dyDescent="0.15">
      <c r="A161" t="s">
        <v>72</v>
      </c>
      <c r="B161" t="s">
        <v>3065</v>
      </c>
      <c r="C161" t="s">
        <v>74</v>
      </c>
      <c r="D161" t="s">
        <v>74</v>
      </c>
      <c r="E161" t="s">
        <v>74</v>
      </c>
      <c r="F161" t="s">
        <v>3066</v>
      </c>
      <c r="G161" t="s">
        <v>74</v>
      </c>
      <c r="H161" t="s">
        <v>74</v>
      </c>
      <c r="I161" t="s">
        <v>3067</v>
      </c>
      <c r="J161" t="s">
        <v>3068</v>
      </c>
      <c r="K161" t="s">
        <v>74</v>
      </c>
      <c r="L161" t="s">
        <v>74</v>
      </c>
      <c r="M161" t="s">
        <v>78</v>
      </c>
      <c r="N161" t="s">
        <v>79</v>
      </c>
      <c r="O161" t="s">
        <v>74</v>
      </c>
      <c r="P161" t="s">
        <v>74</v>
      </c>
      <c r="Q161" t="s">
        <v>74</v>
      </c>
      <c r="R161" t="s">
        <v>74</v>
      </c>
      <c r="S161" t="s">
        <v>74</v>
      </c>
      <c r="T161" t="s">
        <v>3069</v>
      </c>
      <c r="U161" t="s">
        <v>3070</v>
      </c>
      <c r="V161" t="s">
        <v>3071</v>
      </c>
      <c r="W161" t="s">
        <v>3072</v>
      </c>
      <c r="X161" t="s">
        <v>3073</v>
      </c>
      <c r="Y161" t="s">
        <v>3074</v>
      </c>
      <c r="Z161" t="s">
        <v>3075</v>
      </c>
      <c r="AA161" t="s">
        <v>74</v>
      </c>
      <c r="AB161" t="s">
        <v>3076</v>
      </c>
      <c r="AC161" t="s">
        <v>3077</v>
      </c>
      <c r="AD161" t="s">
        <v>3078</v>
      </c>
      <c r="AE161" t="s">
        <v>3079</v>
      </c>
      <c r="AF161" t="s">
        <v>74</v>
      </c>
      <c r="AG161">
        <v>55</v>
      </c>
      <c r="AH161">
        <v>3</v>
      </c>
      <c r="AI161">
        <v>3</v>
      </c>
      <c r="AJ161">
        <v>3</v>
      </c>
      <c r="AK161">
        <v>3</v>
      </c>
      <c r="AL161" t="s">
        <v>3080</v>
      </c>
      <c r="AM161" t="s">
        <v>375</v>
      </c>
      <c r="AN161" t="s">
        <v>3081</v>
      </c>
      <c r="AO161" t="s">
        <v>3082</v>
      </c>
      <c r="AP161" t="s">
        <v>74</v>
      </c>
      <c r="AQ161" t="s">
        <v>74</v>
      </c>
      <c r="AR161" t="s">
        <v>3083</v>
      </c>
      <c r="AS161" t="s">
        <v>3084</v>
      </c>
      <c r="AT161" t="s">
        <v>74</v>
      </c>
      <c r="AU161">
        <v>2023</v>
      </c>
      <c r="AV161">
        <v>17</v>
      </c>
      <c r="AW161">
        <v>1</v>
      </c>
      <c r="AX161" t="s">
        <v>74</v>
      </c>
      <c r="AY161" t="s">
        <v>74</v>
      </c>
      <c r="AZ161" t="s">
        <v>74</v>
      </c>
      <c r="BA161" t="s">
        <v>74</v>
      </c>
      <c r="BB161">
        <v>243</v>
      </c>
      <c r="BC161">
        <v>255</v>
      </c>
      <c r="BD161" t="s">
        <v>74</v>
      </c>
      <c r="BE161" t="s">
        <v>3085</v>
      </c>
      <c r="BF161" t="str">
        <f>HYPERLINK("http://dx.doi.org/10.5334/ijc.1274","http://dx.doi.org/10.5334/ijc.1274")</f>
        <v>http://dx.doi.org/10.5334/ijc.1274</v>
      </c>
      <c r="BG161" t="s">
        <v>74</v>
      </c>
      <c r="BH161" t="s">
        <v>74</v>
      </c>
      <c r="BI161">
        <v>13</v>
      </c>
      <c r="BJ161" t="s">
        <v>3086</v>
      </c>
      <c r="BK161" t="s">
        <v>3087</v>
      </c>
      <c r="BL161" t="s">
        <v>217</v>
      </c>
      <c r="BM161" t="s">
        <v>3088</v>
      </c>
      <c r="BN161" t="s">
        <v>74</v>
      </c>
      <c r="BO161" t="s">
        <v>165</v>
      </c>
      <c r="BP161" t="s">
        <v>74</v>
      </c>
      <c r="BQ161" t="s">
        <v>74</v>
      </c>
      <c r="BR161" t="s">
        <v>108</v>
      </c>
      <c r="BS161" t="s">
        <v>3089</v>
      </c>
      <c r="BT161" t="str">
        <f>HYPERLINK("https%3A%2F%2Fwww.webofscience.com%2Fwos%2Fwoscc%2Ffull-record%2FWOS:001086657100011","View Full Record in Web of Science")</f>
        <v>View Full Record in Web of Science</v>
      </c>
    </row>
    <row r="162" spans="1:72" x14ac:dyDescent="0.15">
      <c r="A162" t="s">
        <v>72</v>
      </c>
      <c r="B162" t="s">
        <v>3090</v>
      </c>
      <c r="C162" t="s">
        <v>74</v>
      </c>
      <c r="D162" t="s">
        <v>74</v>
      </c>
      <c r="E162" t="s">
        <v>74</v>
      </c>
      <c r="F162" t="s">
        <v>3091</v>
      </c>
      <c r="G162" t="s">
        <v>74</v>
      </c>
      <c r="H162" t="s">
        <v>74</v>
      </c>
      <c r="I162" t="s">
        <v>3092</v>
      </c>
      <c r="J162" t="s">
        <v>2602</v>
      </c>
      <c r="K162" t="s">
        <v>74</v>
      </c>
      <c r="L162" t="s">
        <v>74</v>
      </c>
      <c r="M162" t="s">
        <v>78</v>
      </c>
      <c r="N162" t="s">
        <v>79</v>
      </c>
      <c r="O162" t="s">
        <v>74</v>
      </c>
      <c r="P162" t="s">
        <v>74</v>
      </c>
      <c r="Q162" t="s">
        <v>74</v>
      </c>
      <c r="R162" t="s">
        <v>74</v>
      </c>
      <c r="S162" t="s">
        <v>74</v>
      </c>
      <c r="T162" t="s">
        <v>3093</v>
      </c>
      <c r="U162" t="s">
        <v>3094</v>
      </c>
      <c r="V162" t="s">
        <v>3095</v>
      </c>
      <c r="W162" t="s">
        <v>3096</v>
      </c>
      <c r="X162" t="s">
        <v>3097</v>
      </c>
      <c r="Y162" t="s">
        <v>3098</v>
      </c>
      <c r="Z162" t="s">
        <v>3099</v>
      </c>
      <c r="AA162" t="s">
        <v>74</v>
      </c>
      <c r="AB162" t="s">
        <v>3100</v>
      </c>
      <c r="AC162" t="s">
        <v>3101</v>
      </c>
      <c r="AD162" t="s">
        <v>3102</v>
      </c>
      <c r="AE162" t="s">
        <v>3103</v>
      </c>
      <c r="AF162" t="s">
        <v>74</v>
      </c>
      <c r="AG162">
        <v>20</v>
      </c>
      <c r="AH162">
        <v>1</v>
      </c>
      <c r="AI162">
        <v>1</v>
      </c>
      <c r="AJ162">
        <v>9</v>
      </c>
      <c r="AK162">
        <v>9</v>
      </c>
      <c r="AL162" t="s">
        <v>1743</v>
      </c>
      <c r="AM162" t="s">
        <v>1744</v>
      </c>
      <c r="AN162" t="s">
        <v>1745</v>
      </c>
      <c r="AO162" t="s">
        <v>2613</v>
      </c>
      <c r="AP162" t="s">
        <v>2614</v>
      </c>
      <c r="AQ162" t="s">
        <v>74</v>
      </c>
      <c r="AR162" t="s">
        <v>2615</v>
      </c>
      <c r="AS162" t="s">
        <v>2616</v>
      </c>
      <c r="AT162" t="s">
        <v>74</v>
      </c>
      <c r="AU162">
        <v>2023</v>
      </c>
      <c r="AV162">
        <v>20</v>
      </c>
      <c r="AW162" t="s">
        <v>74</v>
      </c>
      <c r="AX162" t="s">
        <v>74</v>
      </c>
      <c r="AY162" t="s">
        <v>74</v>
      </c>
      <c r="AZ162" t="s">
        <v>74</v>
      </c>
      <c r="BA162" t="s">
        <v>74</v>
      </c>
      <c r="BB162" t="s">
        <v>74</v>
      </c>
      <c r="BC162" t="s">
        <v>74</v>
      </c>
      <c r="BD162">
        <v>1503005</v>
      </c>
      <c r="BE162" t="s">
        <v>3104</v>
      </c>
      <c r="BF162" t="str">
        <f>HYPERLINK("http://dx.doi.org/10.1109/LGRS.2023.3310053","http://dx.doi.org/10.1109/LGRS.2023.3310053")</f>
        <v>http://dx.doi.org/10.1109/LGRS.2023.3310053</v>
      </c>
      <c r="BG162" t="s">
        <v>74</v>
      </c>
      <c r="BH162" t="s">
        <v>74</v>
      </c>
      <c r="BI162">
        <v>5</v>
      </c>
      <c r="BJ162" t="s">
        <v>1751</v>
      </c>
      <c r="BK162" t="s">
        <v>104</v>
      </c>
      <c r="BL162" t="s">
        <v>1752</v>
      </c>
      <c r="BM162" t="s">
        <v>3105</v>
      </c>
      <c r="BN162" t="s">
        <v>74</v>
      </c>
      <c r="BO162" t="s">
        <v>74</v>
      </c>
      <c r="BP162" t="s">
        <v>74</v>
      </c>
      <c r="BQ162" t="s">
        <v>74</v>
      </c>
      <c r="BR162" t="s">
        <v>108</v>
      </c>
      <c r="BS162" t="s">
        <v>3106</v>
      </c>
      <c r="BT162" t="str">
        <f>HYPERLINK("https%3A%2F%2Fwww.webofscience.com%2Fwos%2Fwoscc%2Ffull-record%2FWOS:001081799500010","View Full Record in Web of Science")</f>
        <v>View Full Record in Web of Science</v>
      </c>
    </row>
    <row r="163" spans="1:72" x14ac:dyDescent="0.15">
      <c r="A163" t="s">
        <v>72</v>
      </c>
      <c r="B163" t="s">
        <v>3107</v>
      </c>
      <c r="C163" t="s">
        <v>74</v>
      </c>
      <c r="D163" t="s">
        <v>74</v>
      </c>
      <c r="E163" t="s">
        <v>74</v>
      </c>
      <c r="F163" t="s">
        <v>3108</v>
      </c>
      <c r="G163" t="s">
        <v>74</v>
      </c>
      <c r="H163" t="s">
        <v>74</v>
      </c>
      <c r="I163" t="s">
        <v>3109</v>
      </c>
      <c r="J163" t="s">
        <v>3110</v>
      </c>
      <c r="K163" t="s">
        <v>74</v>
      </c>
      <c r="L163" t="s">
        <v>74</v>
      </c>
      <c r="M163" t="s">
        <v>78</v>
      </c>
      <c r="N163" t="s">
        <v>79</v>
      </c>
      <c r="O163" t="s">
        <v>74</v>
      </c>
      <c r="P163" t="s">
        <v>74</v>
      </c>
      <c r="Q163" t="s">
        <v>74</v>
      </c>
      <c r="R163" t="s">
        <v>74</v>
      </c>
      <c r="S163" t="s">
        <v>74</v>
      </c>
      <c r="T163" t="s">
        <v>3111</v>
      </c>
      <c r="U163" t="s">
        <v>3112</v>
      </c>
      <c r="V163" t="s">
        <v>3113</v>
      </c>
      <c r="W163" t="s">
        <v>3114</v>
      </c>
      <c r="X163" t="s">
        <v>3115</v>
      </c>
      <c r="Y163" t="s">
        <v>3116</v>
      </c>
      <c r="Z163" t="s">
        <v>3117</v>
      </c>
      <c r="AA163" t="s">
        <v>3118</v>
      </c>
      <c r="AB163" t="s">
        <v>3119</v>
      </c>
      <c r="AC163" t="s">
        <v>74</v>
      </c>
      <c r="AD163" t="s">
        <v>74</v>
      </c>
      <c r="AE163" t="s">
        <v>74</v>
      </c>
      <c r="AF163" t="s">
        <v>74</v>
      </c>
      <c r="AG163">
        <v>38</v>
      </c>
      <c r="AH163">
        <v>0</v>
      </c>
      <c r="AI163">
        <v>0</v>
      </c>
      <c r="AJ163">
        <v>0</v>
      </c>
      <c r="AK163">
        <v>0</v>
      </c>
      <c r="AL163" t="s">
        <v>3120</v>
      </c>
      <c r="AM163" t="s">
        <v>3121</v>
      </c>
      <c r="AN163" t="s">
        <v>3122</v>
      </c>
      <c r="AO163" t="s">
        <v>3123</v>
      </c>
      <c r="AP163" t="s">
        <v>3124</v>
      </c>
      <c r="AQ163" t="s">
        <v>74</v>
      </c>
      <c r="AR163" t="s">
        <v>3125</v>
      </c>
      <c r="AS163" t="s">
        <v>3126</v>
      </c>
      <c r="AT163" t="s">
        <v>74</v>
      </c>
      <c r="AU163">
        <v>2023</v>
      </c>
      <c r="AV163">
        <v>31</v>
      </c>
      <c r="AW163">
        <v>3</v>
      </c>
      <c r="AX163" t="s">
        <v>74</v>
      </c>
      <c r="AY163" t="s">
        <v>74</v>
      </c>
      <c r="AZ163" t="s">
        <v>74</v>
      </c>
      <c r="BA163" t="s">
        <v>74</v>
      </c>
      <c r="BB163">
        <v>324</v>
      </c>
      <c r="BC163">
        <v>340</v>
      </c>
      <c r="BD163" t="s">
        <v>74</v>
      </c>
      <c r="BE163" t="s">
        <v>3127</v>
      </c>
      <c r="BF163" t="str">
        <f>HYPERLINK("http://dx.doi.org/10.51400/2709-6998.2707","http://dx.doi.org/10.51400/2709-6998.2707")</f>
        <v>http://dx.doi.org/10.51400/2709-6998.2707</v>
      </c>
      <c r="BG163" t="s">
        <v>74</v>
      </c>
      <c r="BH163" t="s">
        <v>74</v>
      </c>
      <c r="BI163">
        <v>18</v>
      </c>
      <c r="BJ163" t="s">
        <v>3128</v>
      </c>
      <c r="BK163" t="s">
        <v>104</v>
      </c>
      <c r="BL163" t="s">
        <v>3062</v>
      </c>
      <c r="BM163" t="s">
        <v>3129</v>
      </c>
      <c r="BN163" t="s">
        <v>74</v>
      </c>
      <c r="BO163" t="s">
        <v>660</v>
      </c>
      <c r="BP163" t="s">
        <v>74</v>
      </c>
      <c r="BQ163" t="s">
        <v>74</v>
      </c>
      <c r="BR163" t="s">
        <v>108</v>
      </c>
      <c r="BS163" t="s">
        <v>3130</v>
      </c>
      <c r="BT163" t="str">
        <f>HYPERLINK("https%3A%2F%2Fwww.webofscience.com%2Fwos%2Fwoscc%2Ffull-record%2FWOS:001086171200001","View Full Record in Web of Science")</f>
        <v>View Full Record in Web of Science</v>
      </c>
    </row>
    <row r="164" spans="1:72" x14ac:dyDescent="0.15">
      <c r="A164" t="s">
        <v>72</v>
      </c>
      <c r="B164" t="s">
        <v>3131</v>
      </c>
      <c r="C164" t="s">
        <v>74</v>
      </c>
      <c r="D164" t="s">
        <v>74</v>
      </c>
      <c r="E164" t="s">
        <v>74</v>
      </c>
      <c r="F164" t="s">
        <v>3132</v>
      </c>
      <c r="G164" t="s">
        <v>74</v>
      </c>
      <c r="H164" t="s">
        <v>74</v>
      </c>
      <c r="I164" t="s">
        <v>3133</v>
      </c>
      <c r="J164" t="s">
        <v>1383</v>
      </c>
      <c r="K164" t="s">
        <v>74</v>
      </c>
      <c r="L164" t="s">
        <v>74</v>
      </c>
      <c r="M164" t="s">
        <v>78</v>
      </c>
      <c r="N164" t="s">
        <v>79</v>
      </c>
      <c r="O164" t="s">
        <v>74</v>
      </c>
      <c r="P164" t="s">
        <v>74</v>
      </c>
      <c r="Q164" t="s">
        <v>74</v>
      </c>
      <c r="R164" t="s">
        <v>74</v>
      </c>
      <c r="S164" t="s">
        <v>74</v>
      </c>
      <c r="T164" t="s">
        <v>3134</v>
      </c>
      <c r="U164" t="s">
        <v>3135</v>
      </c>
      <c r="V164" t="s">
        <v>3136</v>
      </c>
      <c r="W164" t="s">
        <v>3137</v>
      </c>
      <c r="X164" t="s">
        <v>3138</v>
      </c>
      <c r="Y164" t="s">
        <v>3139</v>
      </c>
      <c r="Z164" t="s">
        <v>3140</v>
      </c>
      <c r="AA164" t="s">
        <v>74</v>
      </c>
      <c r="AB164" t="s">
        <v>74</v>
      </c>
      <c r="AC164" t="s">
        <v>74</v>
      </c>
      <c r="AD164" t="s">
        <v>74</v>
      </c>
      <c r="AE164" t="s">
        <v>74</v>
      </c>
      <c r="AF164" t="s">
        <v>74</v>
      </c>
      <c r="AG164">
        <v>28</v>
      </c>
      <c r="AH164">
        <v>0</v>
      </c>
      <c r="AI164">
        <v>0</v>
      </c>
      <c r="AJ164">
        <v>0</v>
      </c>
      <c r="AK164">
        <v>0</v>
      </c>
      <c r="AL164" t="s">
        <v>1392</v>
      </c>
      <c r="AM164" t="s">
        <v>1393</v>
      </c>
      <c r="AN164" t="s">
        <v>1394</v>
      </c>
      <c r="AO164" t="s">
        <v>1395</v>
      </c>
      <c r="AP164" t="s">
        <v>1396</v>
      </c>
      <c r="AQ164" t="s">
        <v>74</v>
      </c>
      <c r="AR164" t="s">
        <v>1397</v>
      </c>
      <c r="AS164" t="s">
        <v>1398</v>
      </c>
      <c r="AT164" t="s">
        <v>74</v>
      </c>
      <c r="AU164">
        <v>2023</v>
      </c>
      <c r="AV164">
        <v>63</v>
      </c>
      <c r="AW164">
        <v>3</v>
      </c>
      <c r="AX164" t="s">
        <v>74</v>
      </c>
      <c r="AY164" t="s">
        <v>74</v>
      </c>
      <c r="AZ164" t="s">
        <v>74</v>
      </c>
      <c r="BA164" t="s">
        <v>74</v>
      </c>
      <c r="BB164">
        <v>441</v>
      </c>
      <c r="BC164">
        <v>453</v>
      </c>
      <c r="BD164" t="s">
        <v>74</v>
      </c>
      <c r="BE164" t="s">
        <v>3141</v>
      </c>
      <c r="BF164" t="str">
        <f>HYPERLINK("http://dx.doi.org/10.31857/S2076673423020035","http://dx.doi.org/10.31857/S2076673423020035")</f>
        <v>http://dx.doi.org/10.31857/S2076673423020035</v>
      </c>
      <c r="BG164" t="s">
        <v>74</v>
      </c>
      <c r="BH164" t="s">
        <v>74</v>
      </c>
      <c r="BI164">
        <v>13</v>
      </c>
      <c r="BJ164" t="s">
        <v>455</v>
      </c>
      <c r="BK164" t="s">
        <v>757</v>
      </c>
      <c r="BL164" t="s">
        <v>456</v>
      </c>
      <c r="BM164" t="s">
        <v>3142</v>
      </c>
      <c r="BN164" t="s">
        <v>74</v>
      </c>
      <c r="BO164" t="s">
        <v>74</v>
      </c>
      <c r="BP164" t="s">
        <v>74</v>
      </c>
      <c r="BQ164" t="s">
        <v>74</v>
      </c>
      <c r="BR164" t="s">
        <v>108</v>
      </c>
      <c r="BS164" t="s">
        <v>3143</v>
      </c>
      <c r="BT164" t="str">
        <f>HYPERLINK("https%3A%2F%2Fwww.webofscience.com%2Fwos%2Fwoscc%2Ffull-record%2FWOS:001086423600001","View Full Record in Web of Science")</f>
        <v>View Full Record in Web of Science</v>
      </c>
    </row>
    <row r="165" spans="1:72" x14ac:dyDescent="0.15">
      <c r="A165" t="s">
        <v>72</v>
      </c>
      <c r="B165" t="s">
        <v>3144</v>
      </c>
      <c r="C165" t="s">
        <v>74</v>
      </c>
      <c r="D165" t="s">
        <v>74</v>
      </c>
      <c r="E165" t="s">
        <v>74</v>
      </c>
      <c r="F165" t="s">
        <v>3145</v>
      </c>
      <c r="G165" t="s">
        <v>74</v>
      </c>
      <c r="H165" t="s">
        <v>74</v>
      </c>
      <c r="I165" t="s">
        <v>3146</v>
      </c>
      <c r="J165" t="s">
        <v>1383</v>
      </c>
      <c r="K165" t="s">
        <v>74</v>
      </c>
      <c r="L165" t="s">
        <v>74</v>
      </c>
      <c r="M165" t="s">
        <v>1384</v>
      </c>
      <c r="N165" t="s">
        <v>79</v>
      </c>
      <c r="O165" t="s">
        <v>74</v>
      </c>
      <c r="P165" t="s">
        <v>74</v>
      </c>
      <c r="Q165" t="s">
        <v>74</v>
      </c>
      <c r="R165" t="s">
        <v>74</v>
      </c>
      <c r="S165" t="s">
        <v>74</v>
      </c>
      <c r="T165" t="s">
        <v>3147</v>
      </c>
      <c r="U165" t="s">
        <v>74</v>
      </c>
      <c r="V165" t="s">
        <v>3148</v>
      </c>
      <c r="W165" t="s">
        <v>3149</v>
      </c>
      <c r="X165" t="s">
        <v>2072</v>
      </c>
      <c r="Y165" t="s">
        <v>3150</v>
      </c>
      <c r="Z165" t="s">
        <v>3151</v>
      </c>
      <c r="AA165" t="s">
        <v>3152</v>
      </c>
      <c r="AB165" t="s">
        <v>3153</v>
      </c>
      <c r="AC165" t="s">
        <v>74</v>
      </c>
      <c r="AD165" t="s">
        <v>74</v>
      </c>
      <c r="AE165" t="s">
        <v>74</v>
      </c>
      <c r="AF165" t="s">
        <v>74</v>
      </c>
      <c r="AG165">
        <v>22</v>
      </c>
      <c r="AH165">
        <v>0</v>
      </c>
      <c r="AI165">
        <v>0</v>
      </c>
      <c r="AJ165">
        <v>0</v>
      </c>
      <c r="AK165">
        <v>0</v>
      </c>
      <c r="AL165" t="s">
        <v>1392</v>
      </c>
      <c r="AM165" t="s">
        <v>1393</v>
      </c>
      <c r="AN165" t="s">
        <v>1394</v>
      </c>
      <c r="AO165" t="s">
        <v>1395</v>
      </c>
      <c r="AP165" t="s">
        <v>1396</v>
      </c>
      <c r="AQ165" t="s">
        <v>74</v>
      </c>
      <c r="AR165" t="s">
        <v>1397</v>
      </c>
      <c r="AS165" t="s">
        <v>1398</v>
      </c>
      <c r="AT165" t="s">
        <v>74</v>
      </c>
      <c r="AU165">
        <v>2023</v>
      </c>
      <c r="AV165">
        <v>63</v>
      </c>
      <c r="AW165">
        <v>3</v>
      </c>
      <c r="AX165" t="s">
        <v>74</v>
      </c>
      <c r="AY165" t="s">
        <v>74</v>
      </c>
      <c r="AZ165" t="s">
        <v>74</v>
      </c>
      <c r="BA165" t="s">
        <v>74</v>
      </c>
      <c r="BB165">
        <v>454</v>
      </c>
      <c r="BC165">
        <v>468</v>
      </c>
      <c r="BD165" t="s">
        <v>74</v>
      </c>
      <c r="BE165" t="s">
        <v>3154</v>
      </c>
      <c r="BF165" t="str">
        <f>HYPERLINK("http://dx.doi.org/10.31857/S2076673423030031","http://dx.doi.org/10.31857/S2076673423030031")</f>
        <v>http://dx.doi.org/10.31857/S2076673423030031</v>
      </c>
      <c r="BG165" t="s">
        <v>74</v>
      </c>
      <c r="BH165" t="s">
        <v>74</v>
      </c>
      <c r="BI165">
        <v>15</v>
      </c>
      <c r="BJ165" t="s">
        <v>455</v>
      </c>
      <c r="BK165" t="s">
        <v>757</v>
      </c>
      <c r="BL165" t="s">
        <v>456</v>
      </c>
      <c r="BM165" t="s">
        <v>3142</v>
      </c>
      <c r="BN165" t="s">
        <v>74</v>
      </c>
      <c r="BO165" t="s">
        <v>74</v>
      </c>
      <c r="BP165" t="s">
        <v>74</v>
      </c>
      <c r="BQ165" t="s">
        <v>74</v>
      </c>
      <c r="BR165" t="s">
        <v>108</v>
      </c>
      <c r="BS165" t="s">
        <v>3155</v>
      </c>
      <c r="BT165" t="str">
        <f>HYPERLINK("https%3A%2F%2Fwww.webofscience.com%2Fwos%2Fwoscc%2Ffull-record%2FWOS:001086423600002","View Full Record in Web of Science")</f>
        <v>View Full Record in Web of Science</v>
      </c>
    </row>
    <row r="166" spans="1:72" x14ac:dyDescent="0.15">
      <c r="A166" t="s">
        <v>72</v>
      </c>
      <c r="B166" t="s">
        <v>3156</v>
      </c>
      <c r="C166" t="s">
        <v>74</v>
      </c>
      <c r="D166" t="s">
        <v>74</v>
      </c>
      <c r="E166" t="s">
        <v>74</v>
      </c>
      <c r="F166" t="s">
        <v>3157</v>
      </c>
      <c r="G166" t="s">
        <v>74</v>
      </c>
      <c r="H166" t="s">
        <v>74</v>
      </c>
      <c r="I166" t="s">
        <v>3158</v>
      </c>
      <c r="J166" t="s">
        <v>3159</v>
      </c>
      <c r="K166" t="s">
        <v>74</v>
      </c>
      <c r="L166" t="s">
        <v>74</v>
      </c>
      <c r="M166" t="s">
        <v>78</v>
      </c>
      <c r="N166" t="s">
        <v>79</v>
      </c>
      <c r="O166" t="s">
        <v>74</v>
      </c>
      <c r="P166" t="s">
        <v>74</v>
      </c>
      <c r="Q166" t="s">
        <v>74</v>
      </c>
      <c r="R166" t="s">
        <v>74</v>
      </c>
      <c r="S166" t="s">
        <v>74</v>
      </c>
      <c r="T166" t="s">
        <v>3160</v>
      </c>
      <c r="U166" t="s">
        <v>3161</v>
      </c>
      <c r="V166" t="s">
        <v>3162</v>
      </c>
      <c r="W166" t="s">
        <v>3163</v>
      </c>
      <c r="X166" t="s">
        <v>3164</v>
      </c>
      <c r="Y166" t="s">
        <v>3165</v>
      </c>
      <c r="Z166" t="s">
        <v>3166</v>
      </c>
      <c r="AA166" t="s">
        <v>74</v>
      </c>
      <c r="AB166" t="s">
        <v>74</v>
      </c>
      <c r="AC166" t="s">
        <v>3167</v>
      </c>
      <c r="AD166" t="s">
        <v>3168</v>
      </c>
      <c r="AE166" t="s">
        <v>3169</v>
      </c>
      <c r="AF166" t="s">
        <v>74</v>
      </c>
      <c r="AG166">
        <v>101</v>
      </c>
      <c r="AH166">
        <v>1</v>
      </c>
      <c r="AI166">
        <v>1</v>
      </c>
      <c r="AJ166">
        <v>2</v>
      </c>
      <c r="AK166">
        <v>2</v>
      </c>
      <c r="AL166" t="s">
        <v>3170</v>
      </c>
      <c r="AM166" t="s">
        <v>3171</v>
      </c>
      <c r="AN166" t="s">
        <v>3172</v>
      </c>
      <c r="AO166" t="s">
        <v>3173</v>
      </c>
      <c r="AP166" t="s">
        <v>3174</v>
      </c>
      <c r="AQ166" t="s">
        <v>74</v>
      </c>
      <c r="AR166" t="s">
        <v>3175</v>
      </c>
      <c r="AS166" t="s">
        <v>3176</v>
      </c>
      <c r="AT166" t="s">
        <v>74</v>
      </c>
      <c r="AU166">
        <v>2023</v>
      </c>
      <c r="AV166">
        <v>34</v>
      </c>
      <c r="AW166">
        <v>3</v>
      </c>
      <c r="AX166" t="s">
        <v>74</v>
      </c>
      <c r="AY166" t="s">
        <v>74</v>
      </c>
      <c r="AZ166" t="s">
        <v>74</v>
      </c>
      <c r="BA166" t="s">
        <v>74</v>
      </c>
      <c r="BB166">
        <v>57</v>
      </c>
      <c r="BC166">
        <v>94</v>
      </c>
      <c r="BD166" t="s">
        <v>74</v>
      </c>
      <c r="BE166" t="s">
        <v>3177</v>
      </c>
      <c r="BF166" t="str">
        <f>HYPERLINK("http://dx.doi.org/10.21315/tlsr2023.34.3.4","http://dx.doi.org/10.21315/tlsr2023.34.3.4")</f>
        <v>http://dx.doi.org/10.21315/tlsr2023.34.3.4</v>
      </c>
      <c r="BG166" t="s">
        <v>74</v>
      </c>
      <c r="BH166" t="s">
        <v>74</v>
      </c>
      <c r="BI166">
        <v>39</v>
      </c>
      <c r="BJ166" t="s">
        <v>3178</v>
      </c>
      <c r="BK166" t="s">
        <v>757</v>
      </c>
      <c r="BL166" t="s">
        <v>3179</v>
      </c>
      <c r="BM166" t="s">
        <v>3180</v>
      </c>
      <c r="BN166">
        <v>37860087</v>
      </c>
      <c r="BO166" t="s">
        <v>3181</v>
      </c>
      <c r="BP166" t="s">
        <v>74</v>
      </c>
      <c r="BQ166" t="s">
        <v>74</v>
      </c>
      <c r="BR166" t="s">
        <v>108</v>
      </c>
      <c r="BS166" t="s">
        <v>3182</v>
      </c>
      <c r="BT166" t="str">
        <f>HYPERLINK("https%3A%2F%2Fwww.webofscience.com%2Fwos%2Fwoscc%2Ffull-record%2FWOS:001085244700004","View Full Record in Web of Science")</f>
        <v>View Full Record in Web of Science</v>
      </c>
    </row>
    <row r="167" spans="1:72" x14ac:dyDescent="0.15">
      <c r="A167" t="s">
        <v>72</v>
      </c>
      <c r="B167" t="s">
        <v>3183</v>
      </c>
      <c r="C167" t="s">
        <v>74</v>
      </c>
      <c r="D167" t="s">
        <v>74</v>
      </c>
      <c r="E167" t="s">
        <v>74</v>
      </c>
      <c r="F167" t="s">
        <v>3184</v>
      </c>
      <c r="G167" t="s">
        <v>74</v>
      </c>
      <c r="H167" t="s">
        <v>74</v>
      </c>
      <c r="I167" t="s">
        <v>3185</v>
      </c>
      <c r="J167" t="s">
        <v>1025</v>
      </c>
      <c r="K167" t="s">
        <v>74</v>
      </c>
      <c r="L167" t="s">
        <v>74</v>
      </c>
      <c r="M167" t="s">
        <v>78</v>
      </c>
      <c r="N167" t="s">
        <v>79</v>
      </c>
      <c r="O167" t="s">
        <v>74</v>
      </c>
      <c r="P167" t="s">
        <v>74</v>
      </c>
      <c r="Q167" t="s">
        <v>74</v>
      </c>
      <c r="R167" t="s">
        <v>74</v>
      </c>
      <c r="S167" t="s">
        <v>74</v>
      </c>
      <c r="T167" t="s">
        <v>3186</v>
      </c>
      <c r="U167" t="s">
        <v>3187</v>
      </c>
      <c r="V167" t="s">
        <v>3188</v>
      </c>
      <c r="W167" t="s">
        <v>3189</v>
      </c>
      <c r="X167" t="s">
        <v>3190</v>
      </c>
      <c r="Y167" t="s">
        <v>3191</v>
      </c>
      <c r="Z167" t="s">
        <v>3192</v>
      </c>
      <c r="AA167" t="s">
        <v>3193</v>
      </c>
      <c r="AB167" t="s">
        <v>3194</v>
      </c>
      <c r="AC167" t="s">
        <v>3195</v>
      </c>
      <c r="AD167" t="s">
        <v>3196</v>
      </c>
      <c r="AE167" t="s">
        <v>3197</v>
      </c>
      <c r="AF167" t="s">
        <v>74</v>
      </c>
      <c r="AG167">
        <v>21</v>
      </c>
      <c r="AH167">
        <v>0</v>
      </c>
      <c r="AI167">
        <v>0</v>
      </c>
      <c r="AJ167">
        <v>2</v>
      </c>
      <c r="AK167">
        <v>2</v>
      </c>
      <c r="AL167" t="s">
        <v>1032</v>
      </c>
      <c r="AM167" t="s">
        <v>1033</v>
      </c>
      <c r="AN167" t="s">
        <v>1034</v>
      </c>
      <c r="AO167" t="s">
        <v>1035</v>
      </c>
      <c r="AP167" t="s">
        <v>1036</v>
      </c>
      <c r="AQ167" t="s">
        <v>74</v>
      </c>
      <c r="AR167" t="s">
        <v>1037</v>
      </c>
      <c r="AS167" t="s">
        <v>1038</v>
      </c>
      <c r="AT167" t="s">
        <v>74</v>
      </c>
      <c r="AU167">
        <v>2023</v>
      </c>
      <c r="AV167">
        <v>13</v>
      </c>
      <c r="AW167">
        <v>1</v>
      </c>
      <c r="AX167" t="s">
        <v>74</v>
      </c>
      <c r="AY167" t="s">
        <v>74</v>
      </c>
      <c r="AZ167" t="s">
        <v>74</v>
      </c>
      <c r="BA167" t="s">
        <v>74</v>
      </c>
      <c r="BB167">
        <v>1</v>
      </c>
      <c r="BC167">
        <v>9</v>
      </c>
      <c r="BD167" t="s">
        <v>74</v>
      </c>
      <c r="BE167" t="s">
        <v>3198</v>
      </c>
      <c r="BF167" t="str">
        <f>HYPERLINK("http://dx.doi.org/10.5817/CPR2023-1-1","http://dx.doi.org/10.5817/CPR2023-1-1")</f>
        <v>http://dx.doi.org/10.5817/CPR2023-1-1</v>
      </c>
      <c r="BG167" t="s">
        <v>74</v>
      </c>
      <c r="BH167" t="s">
        <v>74</v>
      </c>
      <c r="BI167">
        <v>9</v>
      </c>
      <c r="BJ167" t="s">
        <v>734</v>
      </c>
      <c r="BK167" t="s">
        <v>757</v>
      </c>
      <c r="BL167" t="s">
        <v>735</v>
      </c>
      <c r="BM167" t="s">
        <v>3199</v>
      </c>
      <c r="BN167" t="s">
        <v>74</v>
      </c>
      <c r="BO167" t="s">
        <v>165</v>
      </c>
      <c r="BP167" t="s">
        <v>74</v>
      </c>
      <c r="BQ167" t="s">
        <v>74</v>
      </c>
      <c r="BR167" t="s">
        <v>108</v>
      </c>
      <c r="BS167" t="s">
        <v>3200</v>
      </c>
      <c r="BT167" t="str">
        <f>HYPERLINK("https%3A%2F%2Fwww.webofscience.com%2Fwos%2Fwoscc%2Ffull-record%2FWOS:001085029000001","View Full Record in Web of Science")</f>
        <v>View Full Record in Web of Science</v>
      </c>
    </row>
    <row r="168" spans="1:72" x14ac:dyDescent="0.15">
      <c r="A168" t="s">
        <v>72</v>
      </c>
      <c r="B168" t="s">
        <v>3201</v>
      </c>
      <c r="C168" t="s">
        <v>74</v>
      </c>
      <c r="D168" t="s">
        <v>74</v>
      </c>
      <c r="E168" t="s">
        <v>74</v>
      </c>
      <c r="F168" t="s">
        <v>3202</v>
      </c>
      <c r="G168" t="s">
        <v>74</v>
      </c>
      <c r="H168" t="s">
        <v>74</v>
      </c>
      <c r="I168" t="s">
        <v>3203</v>
      </c>
      <c r="J168" t="s">
        <v>1025</v>
      </c>
      <c r="K168" t="s">
        <v>74</v>
      </c>
      <c r="L168" t="s">
        <v>74</v>
      </c>
      <c r="M168" t="s">
        <v>78</v>
      </c>
      <c r="N168" t="s">
        <v>79</v>
      </c>
      <c r="O168" t="s">
        <v>74</v>
      </c>
      <c r="P168" t="s">
        <v>74</v>
      </c>
      <c r="Q168" t="s">
        <v>74</v>
      </c>
      <c r="R168" t="s">
        <v>74</v>
      </c>
      <c r="S168" t="s">
        <v>74</v>
      </c>
      <c r="T168" t="s">
        <v>3204</v>
      </c>
      <c r="U168" t="s">
        <v>3205</v>
      </c>
      <c r="V168" t="s">
        <v>3206</v>
      </c>
      <c r="W168" t="s">
        <v>3207</v>
      </c>
      <c r="X168" t="s">
        <v>3208</v>
      </c>
      <c r="Y168" t="s">
        <v>3209</v>
      </c>
      <c r="Z168" t="s">
        <v>3210</v>
      </c>
      <c r="AA168" t="s">
        <v>3211</v>
      </c>
      <c r="AB168" t="s">
        <v>74</v>
      </c>
      <c r="AC168" t="s">
        <v>3212</v>
      </c>
      <c r="AD168" t="s">
        <v>3213</v>
      </c>
      <c r="AE168" t="s">
        <v>3214</v>
      </c>
      <c r="AF168" t="s">
        <v>74</v>
      </c>
      <c r="AG168">
        <v>49</v>
      </c>
      <c r="AH168">
        <v>0</v>
      </c>
      <c r="AI168">
        <v>0</v>
      </c>
      <c r="AJ168">
        <v>0</v>
      </c>
      <c r="AK168">
        <v>0</v>
      </c>
      <c r="AL168" t="s">
        <v>1032</v>
      </c>
      <c r="AM168" t="s">
        <v>1033</v>
      </c>
      <c r="AN168" t="s">
        <v>1034</v>
      </c>
      <c r="AO168" t="s">
        <v>1035</v>
      </c>
      <c r="AP168" t="s">
        <v>1036</v>
      </c>
      <c r="AQ168" t="s">
        <v>74</v>
      </c>
      <c r="AR168" t="s">
        <v>1037</v>
      </c>
      <c r="AS168" t="s">
        <v>1038</v>
      </c>
      <c r="AT168" t="s">
        <v>74</v>
      </c>
      <c r="AU168">
        <v>2023</v>
      </c>
      <c r="AV168">
        <v>13</v>
      </c>
      <c r="AW168">
        <v>1</v>
      </c>
      <c r="AX168" t="s">
        <v>74</v>
      </c>
      <c r="AY168" t="s">
        <v>74</v>
      </c>
      <c r="AZ168" t="s">
        <v>74</v>
      </c>
      <c r="BA168" t="s">
        <v>74</v>
      </c>
      <c r="BB168">
        <v>10</v>
      </c>
      <c r="BC168">
        <v>23</v>
      </c>
      <c r="BD168" t="s">
        <v>74</v>
      </c>
      <c r="BE168" t="s">
        <v>3215</v>
      </c>
      <c r="BF168" t="str">
        <f>HYPERLINK("http://dx.doi.org/10.5817/CPR2023-1-2","http://dx.doi.org/10.5817/CPR2023-1-2")</f>
        <v>http://dx.doi.org/10.5817/CPR2023-1-2</v>
      </c>
      <c r="BG168" t="s">
        <v>74</v>
      </c>
      <c r="BH168" t="s">
        <v>74</v>
      </c>
      <c r="BI168">
        <v>14</v>
      </c>
      <c r="BJ168" t="s">
        <v>734</v>
      </c>
      <c r="BK168" t="s">
        <v>757</v>
      </c>
      <c r="BL168" t="s">
        <v>735</v>
      </c>
      <c r="BM168" t="s">
        <v>3199</v>
      </c>
      <c r="BN168" t="s">
        <v>74</v>
      </c>
      <c r="BO168" t="s">
        <v>165</v>
      </c>
      <c r="BP168" t="s">
        <v>74</v>
      </c>
      <c r="BQ168" t="s">
        <v>74</v>
      </c>
      <c r="BR168" t="s">
        <v>108</v>
      </c>
      <c r="BS168" t="s">
        <v>3216</v>
      </c>
      <c r="BT168" t="str">
        <f>HYPERLINK("https%3A%2F%2Fwww.webofscience.com%2Fwos%2Fwoscc%2Ffull-record%2FWOS:001085029000002","View Full Record in Web of Science")</f>
        <v>View Full Record in Web of Science</v>
      </c>
    </row>
    <row r="169" spans="1:72" x14ac:dyDescent="0.15">
      <c r="A169" t="s">
        <v>72</v>
      </c>
      <c r="B169" t="s">
        <v>3217</v>
      </c>
      <c r="C169" t="s">
        <v>74</v>
      </c>
      <c r="D169" t="s">
        <v>74</v>
      </c>
      <c r="E169" t="s">
        <v>74</v>
      </c>
      <c r="F169" t="s">
        <v>3218</v>
      </c>
      <c r="G169" t="s">
        <v>74</v>
      </c>
      <c r="H169" t="s">
        <v>74</v>
      </c>
      <c r="I169" t="s">
        <v>3219</v>
      </c>
      <c r="J169" t="s">
        <v>1025</v>
      </c>
      <c r="K169" t="s">
        <v>74</v>
      </c>
      <c r="L169" t="s">
        <v>74</v>
      </c>
      <c r="M169" t="s">
        <v>78</v>
      </c>
      <c r="N169" t="s">
        <v>79</v>
      </c>
      <c r="O169" t="s">
        <v>74</v>
      </c>
      <c r="P169" t="s">
        <v>74</v>
      </c>
      <c r="Q169" t="s">
        <v>74</v>
      </c>
      <c r="R169" t="s">
        <v>74</v>
      </c>
      <c r="S169" t="s">
        <v>74</v>
      </c>
      <c r="T169" t="s">
        <v>3220</v>
      </c>
      <c r="U169" t="s">
        <v>3221</v>
      </c>
      <c r="V169" t="s">
        <v>3222</v>
      </c>
      <c r="W169" t="s">
        <v>3223</v>
      </c>
      <c r="X169" t="s">
        <v>3224</v>
      </c>
      <c r="Y169" t="s">
        <v>3225</v>
      </c>
      <c r="Z169" t="s">
        <v>3226</v>
      </c>
      <c r="AA169" t="s">
        <v>74</v>
      </c>
      <c r="AB169" t="s">
        <v>74</v>
      </c>
      <c r="AC169" t="s">
        <v>3227</v>
      </c>
      <c r="AD169" t="s">
        <v>3228</v>
      </c>
      <c r="AE169" t="s">
        <v>3229</v>
      </c>
      <c r="AF169" t="s">
        <v>74</v>
      </c>
      <c r="AG169">
        <v>20</v>
      </c>
      <c r="AH169">
        <v>0</v>
      </c>
      <c r="AI169">
        <v>0</v>
      </c>
      <c r="AJ169">
        <v>4</v>
      </c>
      <c r="AK169">
        <v>4</v>
      </c>
      <c r="AL169" t="s">
        <v>1032</v>
      </c>
      <c r="AM169" t="s">
        <v>1033</v>
      </c>
      <c r="AN169" t="s">
        <v>1034</v>
      </c>
      <c r="AO169" t="s">
        <v>1035</v>
      </c>
      <c r="AP169" t="s">
        <v>1036</v>
      </c>
      <c r="AQ169" t="s">
        <v>74</v>
      </c>
      <c r="AR169" t="s">
        <v>1037</v>
      </c>
      <c r="AS169" t="s">
        <v>1038</v>
      </c>
      <c r="AT169" t="s">
        <v>74</v>
      </c>
      <c r="AU169">
        <v>2023</v>
      </c>
      <c r="AV169">
        <v>13</v>
      </c>
      <c r="AW169">
        <v>1</v>
      </c>
      <c r="AX169" t="s">
        <v>74</v>
      </c>
      <c r="AY169" t="s">
        <v>74</v>
      </c>
      <c r="AZ169" t="s">
        <v>74</v>
      </c>
      <c r="BA169" t="s">
        <v>74</v>
      </c>
      <c r="BB169">
        <v>37</v>
      </c>
      <c r="BC169">
        <v>45</v>
      </c>
      <c r="BD169" t="s">
        <v>74</v>
      </c>
      <c r="BE169" t="s">
        <v>3230</v>
      </c>
      <c r="BF169" t="str">
        <f>HYPERLINK("http://dx.doi.org/10.5817/CPR2023-1-4","http://dx.doi.org/10.5817/CPR2023-1-4")</f>
        <v>http://dx.doi.org/10.5817/CPR2023-1-4</v>
      </c>
      <c r="BG169" t="s">
        <v>74</v>
      </c>
      <c r="BH169" t="s">
        <v>74</v>
      </c>
      <c r="BI169">
        <v>9</v>
      </c>
      <c r="BJ169" t="s">
        <v>734</v>
      </c>
      <c r="BK169" t="s">
        <v>757</v>
      </c>
      <c r="BL169" t="s">
        <v>735</v>
      </c>
      <c r="BM169" t="s">
        <v>3199</v>
      </c>
      <c r="BN169" t="s">
        <v>74</v>
      </c>
      <c r="BO169" t="s">
        <v>165</v>
      </c>
      <c r="BP169" t="s">
        <v>74</v>
      </c>
      <c r="BQ169" t="s">
        <v>74</v>
      </c>
      <c r="BR169" t="s">
        <v>108</v>
      </c>
      <c r="BS169" t="s">
        <v>3231</v>
      </c>
      <c r="BT169" t="str">
        <f>HYPERLINK("https%3A%2F%2Fwww.webofscience.com%2Fwos%2Fwoscc%2Ffull-record%2FWOS:001085029000004","View Full Record in Web of Science")</f>
        <v>View Full Record in Web of Science</v>
      </c>
    </row>
    <row r="170" spans="1:72" x14ac:dyDescent="0.15">
      <c r="A170" t="s">
        <v>72</v>
      </c>
      <c r="B170" t="s">
        <v>3232</v>
      </c>
      <c r="C170" t="s">
        <v>74</v>
      </c>
      <c r="D170" t="s">
        <v>74</v>
      </c>
      <c r="E170" t="s">
        <v>74</v>
      </c>
      <c r="F170" t="s">
        <v>3233</v>
      </c>
      <c r="G170" t="s">
        <v>74</v>
      </c>
      <c r="H170" t="s">
        <v>74</v>
      </c>
      <c r="I170" t="s">
        <v>3234</v>
      </c>
      <c r="J170" t="s">
        <v>1025</v>
      </c>
      <c r="K170" t="s">
        <v>74</v>
      </c>
      <c r="L170" t="s">
        <v>74</v>
      </c>
      <c r="M170" t="s">
        <v>78</v>
      </c>
      <c r="N170" t="s">
        <v>79</v>
      </c>
      <c r="O170" t="s">
        <v>74</v>
      </c>
      <c r="P170" t="s">
        <v>74</v>
      </c>
      <c r="Q170" t="s">
        <v>74</v>
      </c>
      <c r="R170" t="s">
        <v>74</v>
      </c>
      <c r="S170" t="s">
        <v>74</v>
      </c>
      <c r="T170" t="s">
        <v>3235</v>
      </c>
      <c r="U170" t="s">
        <v>74</v>
      </c>
      <c r="V170" t="s">
        <v>3236</v>
      </c>
      <c r="W170" t="s">
        <v>3237</v>
      </c>
      <c r="X170" t="s">
        <v>3238</v>
      </c>
      <c r="Y170" t="s">
        <v>3239</v>
      </c>
      <c r="Z170" t="s">
        <v>3240</v>
      </c>
      <c r="AA170" t="s">
        <v>74</v>
      </c>
      <c r="AB170" t="s">
        <v>74</v>
      </c>
      <c r="AC170" t="s">
        <v>74</v>
      </c>
      <c r="AD170" t="s">
        <v>74</v>
      </c>
      <c r="AE170" t="s">
        <v>74</v>
      </c>
      <c r="AF170" t="s">
        <v>74</v>
      </c>
      <c r="AG170">
        <v>31</v>
      </c>
      <c r="AH170">
        <v>0</v>
      </c>
      <c r="AI170">
        <v>0</v>
      </c>
      <c r="AJ170">
        <v>0</v>
      </c>
      <c r="AK170">
        <v>0</v>
      </c>
      <c r="AL170" t="s">
        <v>1032</v>
      </c>
      <c r="AM170" t="s">
        <v>1033</v>
      </c>
      <c r="AN170" t="s">
        <v>1034</v>
      </c>
      <c r="AO170" t="s">
        <v>1035</v>
      </c>
      <c r="AP170" t="s">
        <v>1036</v>
      </c>
      <c r="AQ170" t="s">
        <v>74</v>
      </c>
      <c r="AR170" t="s">
        <v>1037</v>
      </c>
      <c r="AS170" t="s">
        <v>1038</v>
      </c>
      <c r="AT170" t="s">
        <v>74</v>
      </c>
      <c r="AU170">
        <v>2023</v>
      </c>
      <c r="AV170">
        <v>13</v>
      </c>
      <c r="AW170">
        <v>1</v>
      </c>
      <c r="AX170" t="s">
        <v>74</v>
      </c>
      <c r="AY170" t="s">
        <v>74</v>
      </c>
      <c r="AZ170" t="s">
        <v>74</v>
      </c>
      <c r="BA170" t="s">
        <v>74</v>
      </c>
      <c r="BB170">
        <v>46</v>
      </c>
      <c r="BC170">
        <v>55</v>
      </c>
      <c r="BD170" t="s">
        <v>74</v>
      </c>
      <c r="BE170" t="s">
        <v>3241</v>
      </c>
      <c r="BF170" t="str">
        <f>HYPERLINK("http://dx.doi.org/10.5817/CPR2023-1-5","http://dx.doi.org/10.5817/CPR2023-1-5")</f>
        <v>http://dx.doi.org/10.5817/CPR2023-1-5</v>
      </c>
      <c r="BG170" t="s">
        <v>74</v>
      </c>
      <c r="BH170" t="s">
        <v>74</v>
      </c>
      <c r="BI170">
        <v>10</v>
      </c>
      <c r="BJ170" t="s">
        <v>734</v>
      </c>
      <c r="BK170" t="s">
        <v>757</v>
      </c>
      <c r="BL170" t="s">
        <v>735</v>
      </c>
      <c r="BM170" t="s">
        <v>3199</v>
      </c>
      <c r="BN170" t="s">
        <v>74</v>
      </c>
      <c r="BO170" t="s">
        <v>165</v>
      </c>
      <c r="BP170" t="s">
        <v>74</v>
      </c>
      <c r="BQ170" t="s">
        <v>74</v>
      </c>
      <c r="BR170" t="s">
        <v>108</v>
      </c>
      <c r="BS170" t="s">
        <v>3242</v>
      </c>
      <c r="BT170" t="str">
        <f>HYPERLINK("https%3A%2F%2Fwww.webofscience.com%2Fwos%2Fwoscc%2Ffull-record%2FWOS:001085029000005","View Full Record in Web of Science")</f>
        <v>View Full Record in Web of Science</v>
      </c>
    </row>
    <row r="171" spans="1:72" x14ac:dyDescent="0.15">
      <c r="A171" t="s">
        <v>72</v>
      </c>
      <c r="B171" t="s">
        <v>3243</v>
      </c>
      <c r="C171" t="s">
        <v>74</v>
      </c>
      <c r="D171" t="s">
        <v>74</v>
      </c>
      <c r="E171" t="s">
        <v>74</v>
      </c>
      <c r="F171" t="s">
        <v>3244</v>
      </c>
      <c r="G171" t="s">
        <v>74</v>
      </c>
      <c r="H171" t="s">
        <v>74</v>
      </c>
      <c r="I171" t="s">
        <v>3245</v>
      </c>
      <c r="J171" t="s">
        <v>1025</v>
      </c>
      <c r="K171" t="s">
        <v>74</v>
      </c>
      <c r="L171" t="s">
        <v>74</v>
      </c>
      <c r="M171" t="s">
        <v>78</v>
      </c>
      <c r="N171" t="s">
        <v>79</v>
      </c>
      <c r="O171" t="s">
        <v>74</v>
      </c>
      <c r="P171" t="s">
        <v>74</v>
      </c>
      <c r="Q171" t="s">
        <v>74</v>
      </c>
      <c r="R171" t="s">
        <v>74</v>
      </c>
      <c r="S171" t="s">
        <v>74</v>
      </c>
      <c r="T171" t="s">
        <v>3246</v>
      </c>
      <c r="U171" t="s">
        <v>3247</v>
      </c>
      <c r="V171" t="s">
        <v>3248</v>
      </c>
      <c r="W171" t="s">
        <v>3249</v>
      </c>
      <c r="X171" t="s">
        <v>3250</v>
      </c>
      <c r="Y171" t="s">
        <v>3251</v>
      </c>
      <c r="Z171" t="s">
        <v>3252</v>
      </c>
      <c r="AA171" t="s">
        <v>3253</v>
      </c>
      <c r="AB171" t="s">
        <v>3254</v>
      </c>
      <c r="AC171" t="s">
        <v>3255</v>
      </c>
      <c r="AD171" t="s">
        <v>3255</v>
      </c>
      <c r="AE171" t="s">
        <v>3256</v>
      </c>
      <c r="AF171" t="s">
        <v>74</v>
      </c>
      <c r="AG171">
        <v>37</v>
      </c>
      <c r="AH171">
        <v>0</v>
      </c>
      <c r="AI171">
        <v>0</v>
      </c>
      <c r="AJ171">
        <v>1</v>
      </c>
      <c r="AK171">
        <v>1</v>
      </c>
      <c r="AL171" t="s">
        <v>1032</v>
      </c>
      <c r="AM171" t="s">
        <v>1033</v>
      </c>
      <c r="AN171" t="s">
        <v>1034</v>
      </c>
      <c r="AO171" t="s">
        <v>1035</v>
      </c>
      <c r="AP171" t="s">
        <v>1036</v>
      </c>
      <c r="AQ171" t="s">
        <v>74</v>
      </c>
      <c r="AR171" t="s">
        <v>1037</v>
      </c>
      <c r="AS171" t="s">
        <v>1038</v>
      </c>
      <c r="AT171" t="s">
        <v>74</v>
      </c>
      <c r="AU171">
        <v>2023</v>
      </c>
      <c r="AV171">
        <v>13</v>
      </c>
      <c r="AW171">
        <v>1</v>
      </c>
      <c r="AX171" t="s">
        <v>74</v>
      </c>
      <c r="AY171" t="s">
        <v>74</v>
      </c>
      <c r="AZ171" t="s">
        <v>74</v>
      </c>
      <c r="BA171" t="s">
        <v>74</v>
      </c>
      <c r="BB171">
        <v>96</v>
      </c>
      <c r="BC171">
        <v>111</v>
      </c>
      <c r="BD171" t="s">
        <v>74</v>
      </c>
      <c r="BE171" t="s">
        <v>3257</v>
      </c>
      <c r="BF171" t="str">
        <f>HYPERLINK("http://dx.doi.org/10.5817/CPR2023-1-9","http://dx.doi.org/10.5817/CPR2023-1-9")</f>
        <v>http://dx.doi.org/10.5817/CPR2023-1-9</v>
      </c>
      <c r="BG171" t="s">
        <v>74</v>
      </c>
      <c r="BH171" t="s">
        <v>74</v>
      </c>
      <c r="BI171">
        <v>16</v>
      </c>
      <c r="BJ171" t="s">
        <v>734</v>
      </c>
      <c r="BK171" t="s">
        <v>757</v>
      </c>
      <c r="BL171" t="s">
        <v>735</v>
      </c>
      <c r="BM171" t="s">
        <v>3199</v>
      </c>
      <c r="BN171" t="s">
        <v>74</v>
      </c>
      <c r="BO171" t="s">
        <v>165</v>
      </c>
      <c r="BP171" t="s">
        <v>74</v>
      </c>
      <c r="BQ171" t="s">
        <v>74</v>
      </c>
      <c r="BR171" t="s">
        <v>108</v>
      </c>
      <c r="BS171" t="s">
        <v>3258</v>
      </c>
      <c r="BT171" t="str">
        <f>HYPERLINK("https%3A%2F%2Fwww.webofscience.com%2Fwos%2Fwoscc%2Ffull-record%2FWOS:001085029000009","View Full Record in Web of Science")</f>
        <v>View Full Record in Web of Science</v>
      </c>
    </row>
    <row r="172" spans="1:72" x14ac:dyDescent="0.15">
      <c r="A172" t="s">
        <v>72</v>
      </c>
      <c r="B172" t="s">
        <v>3259</v>
      </c>
      <c r="C172" t="s">
        <v>74</v>
      </c>
      <c r="D172" t="s">
        <v>74</v>
      </c>
      <c r="E172" t="s">
        <v>74</v>
      </c>
      <c r="F172" t="s">
        <v>3260</v>
      </c>
      <c r="G172" t="s">
        <v>74</v>
      </c>
      <c r="H172" t="s">
        <v>74</v>
      </c>
      <c r="I172" t="s">
        <v>3261</v>
      </c>
      <c r="J172" t="s">
        <v>1025</v>
      </c>
      <c r="K172" t="s">
        <v>74</v>
      </c>
      <c r="L172" t="s">
        <v>74</v>
      </c>
      <c r="M172" t="s">
        <v>78</v>
      </c>
      <c r="N172" t="s">
        <v>79</v>
      </c>
      <c r="O172" t="s">
        <v>74</v>
      </c>
      <c r="P172" t="s">
        <v>74</v>
      </c>
      <c r="Q172" t="s">
        <v>74</v>
      </c>
      <c r="R172" t="s">
        <v>74</v>
      </c>
      <c r="S172" t="s">
        <v>74</v>
      </c>
      <c r="T172" t="s">
        <v>3262</v>
      </c>
      <c r="U172" t="s">
        <v>3263</v>
      </c>
      <c r="V172" t="s">
        <v>3264</v>
      </c>
      <c r="W172" t="s">
        <v>3265</v>
      </c>
      <c r="X172" t="s">
        <v>3266</v>
      </c>
      <c r="Y172" t="s">
        <v>3267</v>
      </c>
      <c r="Z172" t="s">
        <v>3268</v>
      </c>
      <c r="AA172" t="s">
        <v>74</v>
      </c>
      <c r="AB172" t="s">
        <v>74</v>
      </c>
      <c r="AC172" t="s">
        <v>3269</v>
      </c>
      <c r="AD172" t="s">
        <v>3270</v>
      </c>
      <c r="AE172" t="s">
        <v>3271</v>
      </c>
      <c r="AF172" t="s">
        <v>74</v>
      </c>
      <c r="AG172">
        <v>30</v>
      </c>
      <c r="AH172">
        <v>0</v>
      </c>
      <c r="AI172">
        <v>0</v>
      </c>
      <c r="AJ172">
        <v>0</v>
      </c>
      <c r="AK172">
        <v>0</v>
      </c>
      <c r="AL172" t="s">
        <v>1032</v>
      </c>
      <c r="AM172" t="s">
        <v>1033</v>
      </c>
      <c r="AN172" t="s">
        <v>1034</v>
      </c>
      <c r="AO172" t="s">
        <v>1035</v>
      </c>
      <c r="AP172" t="s">
        <v>1036</v>
      </c>
      <c r="AQ172" t="s">
        <v>74</v>
      </c>
      <c r="AR172" t="s">
        <v>1037</v>
      </c>
      <c r="AS172" t="s">
        <v>1038</v>
      </c>
      <c r="AT172" t="s">
        <v>74</v>
      </c>
      <c r="AU172">
        <v>2023</v>
      </c>
      <c r="AV172">
        <v>13</v>
      </c>
      <c r="AW172">
        <v>1</v>
      </c>
      <c r="AX172" t="s">
        <v>74</v>
      </c>
      <c r="AY172" t="s">
        <v>74</v>
      </c>
      <c r="AZ172" t="s">
        <v>74</v>
      </c>
      <c r="BA172" t="s">
        <v>74</v>
      </c>
      <c r="BB172">
        <v>121</v>
      </c>
      <c r="BC172">
        <v>128</v>
      </c>
      <c r="BD172" t="s">
        <v>74</v>
      </c>
      <c r="BE172" t="s">
        <v>3272</v>
      </c>
      <c r="BF172" t="str">
        <f>HYPERLINK("http://dx.doi.org/10.5817/CPR2023-1-11","http://dx.doi.org/10.5817/CPR2023-1-11")</f>
        <v>http://dx.doi.org/10.5817/CPR2023-1-11</v>
      </c>
      <c r="BG172" t="s">
        <v>74</v>
      </c>
      <c r="BH172" t="s">
        <v>74</v>
      </c>
      <c r="BI172">
        <v>8</v>
      </c>
      <c r="BJ172" t="s">
        <v>734</v>
      </c>
      <c r="BK172" t="s">
        <v>757</v>
      </c>
      <c r="BL172" t="s">
        <v>735</v>
      </c>
      <c r="BM172" t="s">
        <v>3199</v>
      </c>
      <c r="BN172" t="s">
        <v>74</v>
      </c>
      <c r="BO172" t="s">
        <v>165</v>
      </c>
      <c r="BP172" t="s">
        <v>74</v>
      </c>
      <c r="BQ172" t="s">
        <v>74</v>
      </c>
      <c r="BR172" t="s">
        <v>108</v>
      </c>
      <c r="BS172" t="s">
        <v>3273</v>
      </c>
      <c r="BT172" t="str">
        <f>HYPERLINK("https%3A%2F%2Fwww.webofscience.com%2Fwos%2Fwoscc%2Ffull-record%2FWOS:001085029000010","View Full Record in Web of Science")</f>
        <v>View Full Record in Web of Science</v>
      </c>
    </row>
    <row r="173" spans="1:72" x14ac:dyDescent="0.15">
      <c r="A173" t="s">
        <v>72</v>
      </c>
      <c r="B173" t="s">
        <v>3274</v>
      </c>
      <c r="C173" t="s">
        <v>74</v>
      </c>
      <c r="D173" t="s">
        <v>74</v>
      </c>
      <c r="E173" t="s">
        <v>74</v>
      </c>
      <c r="F173" t="s">
        <v>3275</v>
      </c>
      <c r="G173" t="s">
        <v>74</v>
      </c>
      <c r="H173" t="s">
        <v>74</v>
      </c>
      <c r="I173" t="s">
        <v>3276</v>
      </c>
      <c r="J173" t="s">
        <v>1805</v>
      </c>
      <c r="K173" t="s">
        <v>74</v>
      </c>
      <c r="L173" t="s">
        <v>74</v>
      </c>
      <c r="M173" t="s">
        <v>78</v>
      </c>
      <c r="N173" t="s">
        <v>79</v>
      </c>
      <c r="O173" t="s">
        <v>74</v>
      </c>
      <c r="P173" t="s">
        <v>74</v>
      </c>
      <c r="Q173" t="s">
        <v>74</v>
      </c>
      <c r="R173" t="s">
        <v>74</v>
      </c>
      <c r="S173" t="s">
        <v>74</v>
      </c>
      <c r="T173" t="s">
        <v>3277</v>
      </c>
      <c r="U173" t="s">
        <v>3278</v>
      </c>
      <c r="V173" t="s">
        <v>3279</v>
      </c>
      <c r="W173" t="s">
        <v>3280</v>
      </c>
      <c r="X173" t="s">
        <v>3281</v>
      </c>
      <c r="Y173" t="s">
        <v>3282</v>
      </c>
      <c r="Z173" t="s">
        <v>3283</v>
      </c>
      <c r="AA173" t="s">
        <v>3284</v>
      </c>
      <c r="AB173" t="s">
        <v>3285</v>
      </c>
      <c r="AC173" t="s">
        <v>3286</v>
      </c>
      <c r="AD173" t="s">
        <v>3287</v>
      </c>
      <c r="AE173" t="s">
        <v>3288</v>
      </c>
      <c r="AF173" t="s">
        <v>74</v>
      </c>
      <c r="AG173">
        <v>99</v>
      </c>
      <c r="AH173">
        <v>1</v>
      </c>
      <c r="AI173">
        <v>1</v>
      </c>
      <c r="AJ173">
        <v>8</v>
      </c>
      <c r="AK173">
        <v>8</v>
      </c>
      <c r="AL173" t="s">
        <v>1818</v>
      </c>
      <c r="AM173" t="s">
        <v>1819</v>
      </c>
      <c r="AN173" t="s">
        <v>1820</v>
      </c>
      <c r="AO173" t="s">
        <v>1821</v>
      </c>
      <c r="AP173" t="s">
        <v>1822</v>
      </c>
      <c r="AQ173" t="s">
        <v>74</v>
      </c>
      <c r="AR173" t="s">
        <v>1823</v>
      </c>
      <c r="AS173" t="s">
        <v>1824</v>
      </c>
      <c r="AT173" t="s">
        <v>74</v>
      </c>
      <c r="AU173">
        <v>2023</v>
      </c>
      <c r="AV173">
        <v>95</v>
      </c>
      <c r="AW173" t="s">
        <v>74</v>
      </c>
      <c r="AX173" t="s">
        <v>74</v>
      </c>
      <c r="AY173">
        <v>3</v>
      </c>
      <c r="AZ173" t="s">
        <v>74</v>
      </c>
      <c r="BA173" t="s">
        <v>74</v>
      </c>
      <c r="BB173" t="s">
        <v>74</v>
      </c>
      <c r="BC173" t="s">
        <v>74</v>
      </c>
      <c r="BD173" t="s">
        <v>3289</v>
      </c>
      <c r="BE173" t="s">
        <v>3290</v>
      </c>
      <c r="BF173" t="str">
        <f>HYPERLINK("http://dx.doi.org/10.1590/0001-3765202320211442","http://dx.doi.org/10.1590/0001-3765202320211442")</f>
        <v>http://dx.doi.org/10.1590/0001-3765202320211442</v>
      </c>
      <c r="BG173" t="s">
        <v>74</v>
      </c>
      <c r="BH173" t="s">
        <v>74</v>
      </c>
      <c r="BI173">
        <v>21</v>
      </c>
      <c r="BJ173" t="s">
        <v>189</v>
      </c>
      <c r="BK173" t="s">
        <v>104</v>
      </c>
      <c r="BL173" t="s">
        <v>190</v>
      </c>
      <c r="BM173" t="s">
        <v>3291</v>
      </c>
      <c r="BN173">
        <v>37820122</v>
      </c>
      <c r="BO173" t="s">
        <v>165</v>
      </c>
      <c r="BP173" t="s">
        <v>74</v>
      </c>
      <c r="BQ173" t="s">
        <v>74</v>
      </c>
      <c r="BR173" t="s">
        <v>108</v>
      </c>
      <c r="BS173" t="s">
        <v>3292</v>
      </c>
      <c r="BT173" t="str">
        <f>HYPERLINK("https%3A%2F%2Fwww.webofscience.com%2Fwos%2Fwoscc%2Ffull-record%2FWOS:001084792900001","View Full Record in Web of Science")</f>
        <v>View Full Record in Web of Science</v>
      </c>
    </row>
    <row r="174" spans="1:72" x14ac:dyDescent="0.15">
      <c r="A174" t="s">
        <v>72</v>
      </c>
      <c r="B174" t="s">
        <v>3293</v>
      </c>
      <c r="C174" t="s">
        <v>74</v>
      </c>
      <c r="D174" t="s">
        <v>74</v>
      </c>
      <c r="E174" t="s">
        <v>74</v>
      </c>
      <c r="F174" t="s">
        <v>3294</v>
      </c>
      <c r="G174" t="s">
        <v>74</v>
      </c>
      <c r="H174" t="s">
        <v>74</v>
      </c>
      <c r="I174" t="s">
        <v>3295</v>
      </c>
      <c r="J174" t="s">
        <v>1805</v>
      </c>
      <c r="K174" t="s">
        <v>74</v>
      </c>
      <c r="L174" t="s">
        <v>74</v>
      </c>
      <c r="M174" t="s">
        <v>78</v>
      </c>
      <c r="N174" t="s">
        <v>79</v>
      </c>
      <c r="O174" t="s">
        <v>74</v>
      </c>
      <c r="P174" t="s">
        <v>74</v>
      </c>
      <c r="Q174" t="s">
        <v>74</v>
      </c>
      <c r="R174" t="s">
        <v>74</v>
      </c>
      <c r="S174" t="s">
        <v>74</v>
      </c>
      <c r="T174" t="s">
        <v>3296</v>
      </c>
      <c r="U174" t="s">
        <v>3297</v>
      </c>
      <c r="V174" t="s">
        <v>3298</v>
      </c>
      <c r="W174" t="s">
        <v>3299</v>
      </c>
      <c r="X174" t="s">
        <v>3300</v>
      </c>
      <c r="Y174" t="s">
        <v>3301</v>
      </c>
      <c r="Z174" t="s">
        <v>3302</v>
      </c>
      <c r="AA174" t="s">
        <v>3303</v>
      </c>
      <c r="AB174" t="s">
        <v>3304</v>
      </c>
      <c r="AC174" t="s">
        <v>3305</v>
      </c>
      <c r="AD174" t="s">
        <v>3306</v>
      </c>
      <c r="AE174" t="s">
        <v>3307</v>
      </c>
      <c r="AF174" t="s">
        <v>74</v>
      </c>
      <c r="AG174">
        <v>63</v>
      </c>
      <c r="AH174">
        <v>0</v>
      </c>
      <c r="AI174">
        <v>0</v>
      </c>
      <c r="AJ174">
        <v>3</v>
      </c>
      <c r="AK174">
        <v>3</v>
      </c>
      <c r="AL174" t="s">
        <v>1818</v>
      </c>
      <c r="AM174" t="s">
        <v>1819</v>
      </c>
      <c r="AN174" t="s">
        <v>1820</v>
      </c>
      <c r="AO174" t="s">
        <v>1821</v>
      </c>
      <c r="AP174" t="s">
        <v>1822</v>
      </c>
      <c r="AQ174" t="s">
        <v>74</v>
      </c>
      <c r="AR174" t="s">
        <v>1823</v>
      </c>
      <c r="AS174" t="s">
        <v>1824</v>
      </c>
      <c r="AT174" t="s">
        <v>74</v>
      </c>
      <c r="AU174">
        <v>2023</v>
      </c>
      <c r="AV174">
        <v>95</v>
      </c>
      <c r="AW174" t="s">
        <v>74</v>
      </c>
      <c r="AX174" t="s">
        <v>74</v>
      </c>
      <c r="AY174">
        <v>3</v>
      </c>
      <c r="AZ174" t="s">
        <v>74</v>
      </c>
      <c r="BA174" t="s">
        <v>74</v>
      </c>
      <c r="BB174" t="s">
        <v>74</v>
      </c>
      <c r="BC174" t="s">
        <v>74</v>
      </c>
      <c r="BD174" t="s">
        <v>3308</v>
      </c>
      <c r="BE174" t="s">
        <v>3309</v>
      </c>
      <c r="BF174" t="str">
        <f>HYPERLINK("http://dx.doi.org/10.1590/0001-3765202320210807","http://dx.doi.org/10.1590/0001-3765202320210807")</f>
        <v>http://dx.doi.org/10.1590/0001-3765202320210807</v>
      </c>
      <c r="BG174" t="s">
        <v>74</v>
      </c>
      <c r="BH174" t="s">
        <v>74</v>
      </c>
      <c r="BI174">
        <v>16</v>
      </c>
      <c r="BJ174" t="s">
        <v>189</v>
      </c>
      <c r="BK174" t="s">
        <v>104</v>
      </c>
      <c r="BL174" t="s">
        <v>190</v>
      </c>
      <c r="BM174" t="s">
        <v>3310</v>
      </c>
      <c r="BN174">
        <v>37820121</v>
      </c>
      <c r="BO174" t="s">
        <v>1464</v>
      </c>
      <c r="BP174" t="s">
        <v>74</v>
      </c>
      <c r="BQ174" t="s">
        <v>74</v>
      </c>
      <c r="BR174" t="s">
        <v>108</v>
      </c>
      <c r="BS174" t="s">
        <v>3311</v>
      </c>
      <c r="BT174" t="str">
        <f>HYPERLINK("https%3A%2F%2Fwww.webofscience.com%2Fwos%2Fwoscc%2Ffull-record%2FWOS:001085365700001","View Full Record in Web of Science")</f>
        <v>View Full Record in Web of Science</v>
      </c>
    </row>
    <row r="175" spans="1:72" x14ac:dyDescent="0.15">
      <c r="A175" t="s">
        <v>72</v>
      </c>
      <c r="B175" t="s">
        <v>3312</v>
      </c>
      <c r="C175" t="s">
        <v>74</v>
      </c>
      <c r="D175" t="s">
        <v>74</v>
      </c>
      <c r="E175" t="s">
        <v>74</v>
      </c>
      <c r="F175" t="s">
        <v>3313</v>
      </c>
      <c r="G175" t="s">
        <v>74</v>
      </c>
      <c r="H175" t="s">
        <v>74</v>
      </c>
      <c r="I175" t="s">
        <v>3314</v>
      </c>
      <c r="J175" t="s">
        <v>1805</v>
      </c>
      <c r="K175" t="s">
        <v>74</v>
      </c>
      <c r="L175" t="s">
        <v>74</v>
      </c>
      <c r="M175" t="s">
        <v>78</v>
      </c>
      <c r="N175" t="s">
        <v>79</v>
      </c>
      <c r="O175" t="s">
        <v>74</v>
      </c>
      <c r="P175" t="s">
        <v>74</v>
      </c>
      <c r="Q175" t="s">
        <v>74</v>
      </c>
      <c r="R175" t="s">
        <v>74</v>
      </c>
      <c r="S175" t="s">
        <v>74</v>
      </c>
      <c r="T175" t="s">
        <v>3315</v>
      </c>
      <c r="U175" t="s">
        <v>3316</v>
      </c>
      <c r="V175" t="s">
        <v>3317</v>
      </c>
      <c r="W175" t="s">
        <v>3318</v>
      </c>
      <c r="X175" t="s">
        <v>3319</v>
      </c>
      <c r="Y175" t="s">
        <v>3320</v>
      </c>
      <c r="Z175" t="s">
        <v>74</v>
      </c>
      <c r="AA175" t="s">
        <v>3321</v>
      </c>
      <c r="AB175" t="s">
        <v>3322</v>
      </c>
      <c r="AC175" t="s">
        <v>3323</v>
      </c>
      <c r="AD175" t="s">
        <v>3324</v>
      </c>
      <c r="AE175" t="s">
        <v>3325</v>
      </c>
      <c r="AF175" t="s">
        <v>74</v>
      </c>
      <c r="AG175">
        <v>74</v>
      </c>
      <c r="AH175">
        <v>0</v>
      </c>
      <c r="AI175">
        <v>0</v>
      </c>
      <c r="AJ175">
        <v>2</v>
      </c>
      <c r="AK175">
        <v>2</v>
      </c>
      <c r="AL175" t="s">
        <v>1818</v>
      </c>
      <c r="AM175" t="s">
        <v>1819</v>
      </c>
      <c r="AN175" t="s">
        <v>1820</v>
      </c>
      <c r="AO175" t="s">
        <v>1821</v>
      </c>
      <c r="AP175" t="s">
        <v>1822</v>
      </c>
      <c r="AQ175" t="s">
        <v>74</v>
      </c>
      <c r="AR175" t="s">
        <v>1823</v>
      </c>
      <c r="AS175" t="s">
        <v>1824</v>
      </c>
      <c r="AT175" t="s">
        <v>74</v>
      </c>
      <c r="AU175">
        <v>2023</v>
      </c>
      <c r="AV175">
        <v>95</v>
      </c>
      <c r="AW175" t="s">
        <v>74</v>
      </c>
      <c r="AX175" t="s">
        <v>74</v>
      </c>
      <c r="AY175">
        <v>3</v>
      </c>
      <c r="AZ175" t="s">
        <v>74</v>
      </c>
      <c r="BA175" t="s">
        <v>74</v>
      </c>
      <c r="BB175" t="s">
        <v>74</v>
      </c>
      <c r="BC175" t="s">
        <v>74</v>
      </c>
      <c r="BD175" t="s">
        <v>3326</v>
      </c>
      <c r="BE175" t="s">
        <v>3327</v>
      </c>
      <c r="BF175" t="str">
        <f>HYPERLINK("http://dx.doi.org/10.1590/0001-3765202320210528","http://dx.doi.org/10.1590/0001-3765202320210528")</f>
        <v>http://dx.doi.org/10.1590/0001-3765202320210528</v>
      </c>
      <c r="BG175" t="s">
        <v>74</v>
      </c>
      <c r="BH175" t="s">
        <v>74</v>
      </c>
      <c r="BI175">
        <v>18</v>
      </c>
      <c r="BJ175" t="s">
        <v>189</v>
      </c>
      <c r="BK175" t="s">
        <v>104</v>
      </c>
      <c r="BL175" t="s">
        <v>190</v>
      </c>
      <c r="BM175" t="s">
        <v>3328</v>
      </c>
      <c r="BN175">
        <v>37820118</v>
      </c>
      <c r="BO175" t="s">
        <v>165</v>
      </c>
      <c r="BP175" t="s">
        <v>74</v>
      </c>
      <c r="BQ175" t="s">
        <v>74</v>
      </c>
      <c r="BR175" t="s">
        <v>108</v>
      </c>
      <c r="BS175" t="s">
        <v>3329</v>
      </c>
      <c r="BT175" t="str">
        <f>HYPERLINK("https%3A%2F%2Fwww.webofscience.com%2Fwos%2Fwoscc%2Ffull-record%2FWOS:001085365400001","View Full Record in Web of Science")</f>
        <v>View Full Record in Web of Science</v>
      </c>
    </row>
    <row r="176" spans="1:72" x14ac:dyDescent="0.15">
      <c r="A176" t="s">
        <v>72</v>
      </c>
      <c r="B176" t="s">
        <v>3330</v>
      </c>
      <c r="C176" t="s">
        <v>74</v>
      </c>
      <c r="D176" t="s">
        <v>74</v>
      </c>
      <c r="E176" t="s">
        <v>74</v>
      </c>
      <c r="F176" t="s">
        <v>3331</v>
      </c>
      <c r="G176" t="s">
        <v>74</v>
      </c>
      <c r="H176" t="s">
        <v>74</v>
      </c>
      <c r="I176" t="s">
        <v>3332</v>
      </c>
      <c r="J176" t="s">
        <v>3333</v>
      </c>
      <c r="K176" t="s">
        <v>74</v>
      </c>
      <c r="L176" t="s">
        <v>74</v>
      </c>
      <c r="M176" t="s">
        <v>78</v>
      </c>
      <c r="N176" t="s">
        <v>79</v>
      </c>
      <c r="O176" t="s">
        <v>74</v>
      </c>
      <c r="P176" t="s">
        <v>74</v>
      </c>
      <c r="Q176" t="s">
        <v>74</v>
      </c>
      <c r="R176" t="s">
        <v>74</v>
      </c>
      <c r="S176" t="s">
        <v>74</v>
      </c>
      <c r="T176" t="s">
        <v>3334</v>
      </c>
      <c r="U176" t="s">
        <v>74</v>
      </c>
      <c r="V176" t="s">
        <v>3335</v>
      </c>
      <c r="W176" t="s">
        <v>3336</v>
      </c>
      <c r="X176" t="s">
        <v>74</v>
      </c>
      <c r="Y176" t="s">
        <v>3337</v>
      </c>
      <c r="Z176" t="s">
        <v>3338</v>
      </c>
      <c r="AA176" t="s">
        <v>74</v>
      </c>
      <c r="AB176" t="s">
        <v>74</v>
      </c>
      <c r="AC176" t="s">
        <v>74</v>
      </c>
      <c r="AD176" t="s">
        <v>74</v>
      </c>
      <c r="AE176" t="s">
        <v>74</v>
      </c>
      <c r="AF176" t="s">
        <v>74</v>
      </c>
      <c r="AG176">
        <v>16</v>
      </c>
      <c r="AH176">
        <v>0</v>
      </c>
      <c r="AI176">
        <v>0</v>
      </c>
      <c r="AJ176">
        <v>0</v>
      </c>
      <c r="AK176">
        <v>0</v>
      </c>
      <c r="AL176" t="s">
        <v>3339</v>
      </c>
      <c r="AM176" t="s">
        <v>3340</v>
      </c>
      <c r="AN176" t="s">
        <v>3341</v>
      </c>
      <c r="AO176" t="s">
        <v>74</v>
      </c>
      <c r="AP176" t="s">
        <v>3342</v>
      </c>
      <c r="AQ176" t="s">
        <v>74</v>
      </c>
      <c r="AR176" t="s">
        <v>3343</v>
      </c>
      <c r="AS176" t="s">
        <v>3344</v>
      </c>
      <c r="AT176" t="s">
        <v>74</v>
      </c>
      <c r="AU176">
        <v>2023</v>
      </c>
      <c r="AV176" t="s">
        <v>74</v>
      </c>
      <c r="AW176">
        <v>29</v>
      </c>
      <c r="AX176" t="s">
        <v>74</v>
      </c>
      <c r="AY176" t="s">
        <v>74</v>
      </c>
      <c r="AZ176" t="s">
        <v>74</v>
      </c>
      <c r="BA176" t="s">
        <v>74</v>
      </c>
      <c r="BB176">
        <v>107</v>
      </c>
      <c r="BC176">
        <v>123</v>
      </c>
      <c r="BD176" t="s">
        <v>74</v>
      </c>
      <c r="BE176" t="s">
        <v>3345</v>
      </c>
      <c r="BF176" t="str">
        <f>HYPERLINK("http://dx.doi.org/10.1344/452f.2023.29.7","http://dx.doi.org/10.1344/452f.2023.29.7")</f>
        <v>http://dx.doi.org/10.1344/452f.2023.29.7</v>
      </c>
      <c r="BG176" t="s">
        <v>74</v>
      </c>
      <c r="BH176" t="s">
        <v>74</v>
      </c>
      <c r="BI176">
        <v>17</v>
      </c>
      <c r="BJ176" t="s">
        <v>3346</v>
      </c>
      <c r="BK176" t="s">
        <v>757</v>
      </c>
      <c r="BL176" t="s">
        <v>3346</v>
      </c>
      <c r="BM176" t="s">
        <v>3347</v>
      </c>
      <c r="BN176" t="s">
        <v>74</v>
      </c>
      <c r="BO176" t="s">
        <v>165</v>
      </c>
      <c r="BP176" t="s">
        <v>74</v>
      </c>
      <c r="BQ176" t="s">
        <v>74</v>
      </c>
      <c r="BR176" t="s">
        <v>108</v>
      </c>
      <c r="BS176" t="s">
        <v>3348</v>
      </c>
      <c r="BT176" t="str">
        <f>HYPERLINK("https%3A%2F%2Fwww.webofscience.com%2Fwos%2Fwoscc%2Ffull-record%2FWOS:001082472800006","View Full Record in Web of Science")</f>
        <v>View Full Record in Web of Science</v>
      </c>
    </row>
    <row r="177" spans="1:72" x14ac:dyDescent="0.15">
      <c r="A177" t="s">
        <v>894</v>
      </c>
      <c r="B177" t="s">
        <v>3349</v>
      </c>
      <c r="C177" t="s">
        <v>74</v>
      </c>
      <c r="D177" t="s">
        <v>74</v>
      </c>
      <c r="E177" t="s">
        <v>1720</v>
      </c>
      <c r="F177" t="s">
        <v>3350</v>
      </c>
      <c r="G177" t="s">
        <v>74</v>
      </c>
      <c r="H177" t="s">
        <v>74</v>
      </c>
      <c r="I177" t="s">
        <v>3351</v>
      </c>
      <c r="J177" t="s">
        <v>3352</v>
      </c>
      <c r="K177" t="s">
        <v>74</v>
      </c>
      <c r="L177" t="s">
        <v>74</v>
      </c>
      <c r="M177" t="s">
        <v>78</v>
      </c>
      <c r="N177" t="s">
        <v>901</v>
      </c>
      <c r="O177" t="s">
        <v>3353</v>
      </c>
      <c r="P177" t="s">
        <v>3354</v>
      </c>
      <c r="Q177" t="s">
        <v>3355</v>
      </c>
      <c r="R177" t="s">
        <v>74</v>
      </c>
      <c r="S177" t="s">
        <v>74</v>
      </c>
      <c r="T177" t="s">
        <v>3356</v>
      </c>
      <c r="U177" t="s">
        <v>3357</v>
      </c>
      <c r="V177" t="s">
        <v>3358</v>
      </c>
      <c r="W177" t="s">
        <v>3359</v>
      </c>
      <c r="X177" t="s">
        <v>3360</v>
      </c>
      <c r="Y177" t="s">
        <v>3361</v>
      </c>
      <c r="Z177" t="s">
        <v>3362</v>
      </c>
      <c r="AA177" t="s">
        <v>74</v>
      </c>
      <c r="AB177" t="s">
        <v>74</v>
      </c>
      <c r="AC177" t="s">
        <v>3363</v>
      </c>
      <c r="AD177" t="s">
        <v>3364</v>
      </c>
      <c r="AE177" t="s">
        <v>3365</v>
      </c>
      <c r="AF177" t="s">
        <v>74</v>
      </c>
      <c r="AG177">
        <v>84</v>
      </c>
      <c r="AH177">
        <v>1</v>
      </c>
      <c r="AI177">
        <v>1</v>
      </c>
      <c r="AJ177">
        <v>3</v>
      </c>
      <c r="AK177">
        <v>3</v>
      </c>
      <c r="AL177" t="s">
        <v>1720</v>
      </c>
      <c r="AM177" t="s">
        <v>93</v>
      </c>
      <c r="AN177" t="s">
        <v>1721</v>
      </c>
      <c r="AO177" t="s">
        <v>74</v>
      </c>
      <c r="AP177" t="s">
        <v>74</v>
      </c>
      <c r="AQ177" t="s">
        <v>3366</v>
      </c>
      <c r="AR177" t="s">
        <v>74</v>
      </c>
      <c r="AS177" t="s">
        <v>74</v>
      </c>
      <c r="AT177" t="s">
        <v>74</v>
      </c>
      <c r="AU177">
        <v>2023</v>
      </c>
      <c r="AV177" t="s">
        <v>74</v>
      </c>
      <c r="AW177" t="s">
        <v>74</v>
      </c>
      <c r="AX177" t="s">
        <v>74</v>
      </c>
      <c r="AY177" t="s">
        <v>74</v>
      </c>
      <c r="AZ177" t="s">
        <v>74</v>
      </c>
      <c r="BA177" t="s">
        <v>74</v>
      </c>
      <c r="BB177">
        <v>1174</v>
      </c>
      <c r="BC177">
        <v>1185</v>
      </c>
      <c r="BD177" t="s">
        <v>74</v>
      </c>
      <c r="BE177" t="s">
        <v>3367</v>
      </c>
      <c r="BF177" t="str">
        <f>HYPERLINK("http://dx.doi.org/10.1145/3593013.3594072","http://dx.doi.org/10.1145/3593013.3594072")</f>
        <v>http://dx.doi.org/10.1145/3593013.3594072</v>
      </c>
      <c r="BG177" t="s">
        <v>74</v>
      </c>
      <c r="BH177" t="s">
        <v>74</v>
      </c>
      <c r="BI177">
        <v>12</v>
      </c>
      <c r="BJ177" t="s">
        <v>3368</v>
      </c>
      <c r="BK177" t="s">
        <v>917</v>
      </c>
      <c r="BL177" t="s">
        <v>3369</v>
      </c>
      <c r="BM177" t="s">
        <v>3370</v>
      </c>
      <c r="BN177" t="s">
        <v>74</v>
      </c>
      <c r="BO177" t="s">
        <v>3371</v>
      </c>
      <c r="BP177" t="s">
        <v>74</v>
      </c>
      <c r="BQ177" t="s">
        <v>74</v>
      </c>
      <c r="BR177" t="s">
        <v>108</v>
      </c>
      <c r="BS177" t="s">
        <v>3372</v>
      </c>
      <c r="BT177" t="str">
        <f>HYPERLINK("https%3A%2F%2Fwww.webofscience.com%2Fwos%2Fwoscc%2Ffull-record%2FWOS:001062819300101","View Full Record in Web of Science")</f>
        <v>View Full Record in Web of Science</v>
      </c>
    </row>
    <row r="178" spans="1:72" x14ac:dyDescent="0.15">
      <c r="A178" t="s">
        <v>72</v>
      </c>
      <c r="B178" t="s">
        <v>3373</v>
      </c>
      <c r="C178" t="s">
        <v>74</v>
      </c>
      <c r="D178" t="s">
        <v>74</v>
      </c>
      <c r="E178" t="s">
        <v>74</v>
      </c>
      <c r="F178" t="s">
        <v>3374</v>
      </c>
      <c r="G178" t="s">
        <v>74</v>
      </c>
      <c r="H178" t="s">
        <v>74</v>
      </c>
      <c r="I178" t="s">
        <v>3375</v>
      </c>
      <c r="J178" t="s">
        <v>3376</v>
      </c>
      <c r="K178" t="s">
        <v>74</v>
      </c>
      <c r="L178" t="s">
        <v>74</v>
      </c>
      <c r="M178" t="s">
        <v>78</v>
      </c>
      <c r="N178" t="s">
        <v>79</v>
      </c>
      <c r="O178" t="s">
        <v>74</v>
      </c>
      <c r="P178" t="s">
        <v>74</v>
      </c>
      <c r="Q178" t="s">
        <v>74</v>
      </c>
      <c r="R178" t="s">
        <v>74</v>
      </c>
      <c r="S178" t="s">
        <v>74</v>
      </c>
      <c r="T178" t="s">
        <v>3377</v>
      </c>
      <c r="U178" t="s">
        <v>3378</v>
      </c>
      <c r="V178" t="s">
        <v>3379</v>
      </c>
      <c r="W178" t="s">
        <v>3380</v>
      </c>
      <c r="X178" t="s">
        <v>3381</v>
      </c>
      <c r="Y178" t="s">
        <v>3382</v>
      </c>
      <c r="Z178" t="s">
        <v>3383</v>
      </c>
      <c r="AA178" t="s">
        <v>3384</v>
      </c>
      <c r="AB178" t="s">
        <v>74</v>
      </c>
      <c r="AC178" t="s">
        <v>3385</v>
      </c>
      <c r="AD178" t="s">
        <v>3386</v>
      </c>
      <c r="AE178" t="s">
        <v>3387</v>
      </c>
      <c r="AF178" t="s">
        <v>74</v>
      </c>
      <c r="AG178">
        <v>254</v>
      </c>
      <c r="AH178">
        <v>0</v>
      </c>
      <c r="AI178">
        <v>0</v>
      </c>
      <c r="AJ178">
        <v>6</v>
      </c>
      <c r="AK178">
        <v>6</v>
      </c>
      <c r="AL178" t="s">
        <v>3388</v>
      </c>
      <c r="AM178" t="s">
        <v>3389</v>
      </c>
      <c r="AN178" t="s">
        <v>3390</v>
      </c>
      <c r="AO178" t="s">
        <v>3391</v>
      </c>
      <c r="AP178" t="s">
        <v>3392</v>
      </c>
      <c r="AQ178" t="s">
        <v>74</v>
      </c>
      <c r="AR178" t="s">
        <v>3376</v>
      </c>
      <c r="AS178" t="s">
        <v>3393</v>
      </c>
      <c r="AT178" t="s">
        <v>74</v>
      </c>
      <c r="AU178">
        <v>2023</v>
      </c>
      <c r="AV178">
        <v>14</v>
      </c>
      <c r="AW178">
        <v>1</v>
      </c>
      <c r="AX178" t="s">
        <v>74</v>
      </c>
      <c r="AY178" t="s">
        <v>74</v>
      </c>
      <c r="AZ178" t="s">
        <v>74</v>
      </c>
      <c r="BA178" t="s">
        <v>74</v>
      </c>
      <c r="BB178">
        <v>1564</v>
      </c>
      <c r="BC178">
        <v>1664</v>
      </c>
      <c r="BD178" t="s">
        <v>74</v>
      </c>
      <c r="BE178" t="s">
        <v>3394</v>
      </c>
      <c r="BF178" t="str">
        <f>HYPERLINK("http://dx.doi.org/10.5943/mycosphere/14/1/18","http://dx.doi.org/10.5943/mycosphere/14/1/18")</f>
        <v>http://dx.doi.org/10.5943/mycosphere/14/1/18</v>
      </c>
      <c r="BG178" t="s">
        <v>74</v>
      </c>
      <c r="BH178" t="s">
        <v>74</v>
      </c>
      <c r="BI178">
        <v>101</v>
      </c>
      <c r="BJ178" t="s">
        <v>3395</v>
      </c>
      <c r="BK178" t="s">
        <v>104</v>
      </c>
      <c r="BL178" t="s">
        <v>3395</v>
      </c>
      <c r="BM178" t="s">
        <v>3396</v>
      </c>
      <c r="BN178" t="s">
        <v>74</v>
      </c>
      <c r="BO178" t="s">
        <v>165</v>
      </c>
      <c r="BP178" t="s">
        <v>74</v>
      </c>
      <c r="BQ178" t="s">
        <v>74</v>
      </c>
      <c r="BR178" t="s">
        <v>108</v>
      </c>
      <c r="BS178" t="s">
        <v>3397</v>
      </c>
      <c r="BT178" t="str">
        <f>HYPERLINK("https%3A%2F%2Fwww.webofscience.com%2Fwos%2Fwoscc%2Ffull-record%2FWOS:001079529000001","View Full Record in Web of Science")</f>
        <v>View Full Record in Web of Science</v>
      </c>
    </row>
    <row r="179" spans="1:72" x14ac:dyDescent="0.15">
      <c r="A179" t="s">
        <v>72</v>
      </c>
      <c r="B179" t="s">
        <v>3398</v>
      </c>
      <c r="C179" t="s">
        <v>74</v>
      </c>
      <c r="D179" t="s">
        <v>74</v>
      </c>
      <c r="E179" t="s">
        <v>74</v>
      </c>
      <c r="F179" t="s">
        <v>3399</v>
      </c>
      <c r="G179" t="s">
        <v>74</v>
      </c>
      <c r="H179" t="s">
        <v>74</v>
      </c>
      <c r="I179" t="s">
        <v>3400</v>
      </c>
      <c r="J179" t="s">
        <v>1383</v>
      </c>
      <c r="K179" t="s">
        <v>74</v>
      </c>
      <c r="L179" t="s">
        <v>74</v>
      </c>
      <c r="M179" t="s">
        <v>78</v>
      </c>
      <c r="N179" t="s">
        <v>79</v>
      </c>
      <c r="O179" t="s">
        <v>74</v>
      </c>
      <c r="P179" t="s">
        <v>74</v>
      </c>
      <c r="Q179" t="s">
        <v>74</v>
      </c>
      <c r="R179" t="s">
        <v>74</v>
      </c>
      <c r="S179" t="s">
        <v>74</v>
      </c>
      <c r="T179" t="s">
        <v>3401</v>
      </c>
      <c r="U179" t="s">
        <v>3402</v>
      </c>
      <c r="V179" t="s">
        <v>3403</v>
      </c>
      <c r="W179" t="s">
        <v>3404</v>
      </c>
      <c r="X179" t="s">
        <v>3405</v>
      </c>
      <c r="Y179" t="s">
        <v>3406</v>
      </c>
      <c r="Z179" t="s">
        <v>3407</v>
      </c>
      <c r="AA179" t="s">
        <v>3408</v>
      </c>
      <c r="AB179" t="s">
        <v>74</v>
      </c>
      <c r="AC179" t="s">
        <v>3409</v>
      </c>
      <c r="AD179" t="s">
        <v>3409</v>
      </c>
      <c r="AE179" t="s">
        <v>3410</v>
      </c>
      <c r="AF179" t="s">
        <v>74</v>
      </c>
      <c r="AG179">
        <v>34</v>
      </c>
      <c r="AH179">
        <v>0</v>
      </c>
      <c r="AI179">
        <v>0</v>
      </c>
      <c r="AJ179">
        <v>0</v>
      </c>
      <c r="AK179">
        <v>0</v>
      </c>
      <c r="AL179" t="s">
        <v>1392</v>
      </c>
      <c r="AM179" t="s">
        <v>1393</v>
      </c>
      <c r="AN179" t="s">
        <v>1394</v>
      </c>
      <c r="AO179" t="s">
        <v>1395</v>
      </c>
      <c r="AP179" t="s">
        <v>1396</v>
      </c>
      <c r="AQ179" t="s">
        <v>74</v>
      </c>
      <c r="AR179" t="s">
        <v>1397</v>
      </c>
      <c r="AS179" t="s">
        <v>1398</v>
      </c>
      <c r="AT179" t="s">
        <v>74</v>
      </c>
      <c r="AU179">
        <v>2023</v>
      </c>
      <c r="AV179">
        <v>63</v>
      </c>
      <c r="AW179">
        <v>2</v>
      </c>
      <c r="AX179" t="s">
        <v>74</v>
      </c>
      <c r="AY179" t="s">
        <v>74</v>
      </c>
      <c r="AZ179" t="s">
        <v>74</v>
      </c>
      <c r="BA179" t="s">
        <v>74</v>
      </c>
      <c r="BB179">
        <v>214</v>
      </c>
      <c r="BC179">
        <v>224</v>
      </c>
      <c r="BD179" t="s">
        <v>74</v>
      </c>
      <c r="BE179" t="s">
        <v>3411</v>
      </c>
      <c r="BF179" t="str">
        <f>HYPERLINK("http://dx.doi.org/10.31857/S2076673423020138","http://dx.doi.org/10.31857/S2076673423020138")</f>
        <v>http://dx.doi.org/10.31857/S2076673423020138</v>
      </c>
      <c r="BG179" t="s">
        <v>74</v>
      </c>
      <c r="BH179" t="s">
        <v>74</v>
      </c>
      <c r="BI179">
        <v>11</v>
      </c>
      <c r="BJ179" t="s">
        <v>455</v>
      </c>
      <c r="BK179" t="s">
        <v>757</v>
      </c>
      <c r="BL179" t="s">
        <v>456</v>
      </c>
      <c r="BM179" t="s">
        <v>3412</v>
      </c>
      <c r="BN179" t="s">
        <v>74</v>
      </c>
      <c r="BO179" t="s">
        <v>74</v>
      </c>
      <c r="BP179" t="s">
        <v>74</v>
      </c>
      <c r="BQ179" t="s">
        <v>74</v>
      </c>
      <c r="BR179" t="s">
        <v>108</v>
      </c>
      <c r="BS179" t="s">
        <v>3413</v>
      </c>
      <c r="BT179" t="str">
        <f>HYPERLINK("https%3A%2F%2Fwww.webofscience.com%2Fwos%2Fwoscc%2Ffull-record%2FWOS:001076817000004","View Full Record in Web of Science")</f>
        <v>View Full Record in Web of Science</v>
      </c>
    </row>
    <row r="180" spans="1:72" x14ac:dyDescent="0.15">
      <c r="A180" t="s">
        <v>72</v>
      </c>
      <c r="B180" t="s">
        <v>3414</v>
      </c>
      <c r="C180" t="s">
        <v>74</v>
      </c>
      <c r="D180" t="s">
        <v>74</v>
      </c>
      <c r="E180" t="s">
        <v>74</v>
      </c>
      <c r="F180" t="s">
        <v>3415</v>
      </c>
      <c r="G180" t="s">
        <v>74</v>
      </c>
      <c r="H180" t="s">
        <v>74</v>
      </c>
      <c r="I180" t="s">
        <v>3416</v>
      </c>
      <c r="J180" t="s">
        <v>3417</v>
      </c>
      <c r="K180" t="s">
        <v>74</v>
      </c>
      <c r="L180" t="s">
        <v>74</v>
      </c>
      <c r="M180" t="s">
        <v>78</v>
      </c>
      <c r="N180" t="s">
        <v>256</v>
      </c>
      <c r="O180" t="s">
        <v>74</v>
      </c>
      <c r="P180" t="s">
        <v>74</v>
      </c>
      <c r="Q180" t="s">
        <v>74</v>
      </c>
      <c r="R180" t="s">
        <v>74</v>
      </c>
      <c r="S180" t="s">
        <v>74</v>
      </c>
      <c r="T180" t="s">
        <v>3418</v>
      </c>
      <c r="U180" t="s">
        <v>3419</v>
      </c>
      <c r="V180" t="s">
        <v>3420</v>
      </c>
      <c r="W180" t="s">
        <v>3421</v>
      </c>
      <c r="X180" t="s">
        <v>3422</v>
      </c>
      <c r="Y180" t="s">
        <v>3423</v>
      </c>
      <c r="Z180" t="s">
        <v>3424</v>
      </c>
      <c r="AA180" t="s">
        <v>74</v>
      </c>
      <c r="AB180" t="s">
        <v>74</v>
      </c>
      <c r="AC180" t="s">
        <v>3425</v>
      </c>
      <c r="AD180" t="s">
        <v>3426</v>
      </c>
      <c r="AE180" t="s">
        <v>3427</v>
      </c>
      <c r="AF180" t="s">
        <v>74</v>
      </c>
      <c r="AG180">
        <v>178</v>
      </c>
      <c r="AH180">
        <v>1</v>
      </c>
      <c r="AI180">
        <v>1</v>
      </c>
      <c r="AJ180">
        <v>7</v>
      </c>
      <c r="AK180">
        <v>8</v>
      </c>
      <c r="AL180" t="s">
        <v>3428</v>
      </c>
      <c r="AM180" t="s">
        <v>3429</v>
      </c>
      <c r="AN180" t="s">
        <v>3430</v>
      </c>
      <c r="AO180" t="s">
        <v>3431</v>
      </c>
      <c r="AP180" t="s">
        <v>3432</v>
      </c>
      <c r="AQ180" t="s">
        <v>74</v>
      </c>
      <c r="AR180" t="s">
        <v>3433</v>
      </c>
      <c r="AS180" t="s">
        <v>3434</v>
      </c>
      <c r="AT180" t="s">
        <v>74</v>
      </c>
      <c r="AU180">
        <v>2023</v>
      </c>
      <c r="AV180">
        <v>73</v>
      </c>
      <c r="AW180" t="s">
        <v>74</v>
      </c>
      <c r="AX180" t="s">
        <v>74</v>
      </c>
      <c r="AY180" t="s">
        <v>74</v>
      </c>
      <c r="AZ180" t="s">
        <v>74</v>
      </c>
      <c r="BA180" t="s">
        <v>74</v>
      </c>
      <c r="BB180">
        <v>365</v>
      </c>
      <c r="BC180">
        <v>395</v>
      </c>
      <c r="BD180" t="s">
        <v>74</v>
      </c>
      <c r="BE180" t="s">
        <v>3435</v>
      </c>
      <c r="BF180" t="str">
        <f>HYPERLINK("http://dx.doi.org/10.1146/annurev-nucl-011823-045541","http://dx.doi.org/10.1146/annurev-nucl-011823-045541")</f>
        <v>http://dx.doi.org/10.1146/annurev-nucl-011823-045541</v>
      </c>
      <c r="BG180" t="s">
        <v>74</v>
      </c>
      <c r="BH180" t="s">
        <v>74</v>
      </c>
      <c r="BI180">
        <v>31</v>
      </c>
      <c r="BJ180" t="s">
        <v>3436</v>
      </c>
      <c r="BK180" t="s">
        <v>104</v>
      </c>
      <c r="BL180" t="s">
        <v>163</v>
      </c>
      <c r="BM180" t="s">
        <v>3437</v>
      </c>
      <c r="BN180" t="s">
        <v>74</v>
      </c>
      <c r="BO180" t="s">
        <v>219</v>
      </c>
      <c r="BP180" t="s">
        <v>74</v>
      </c>
      <c r="BQ180" t="s">
        <v>74</v>
      </c>
      <c r="BR180" t="s">
        <v>108</v>
      </c>
      <c r="BS180" t="s">
        <v>3438</v>
      </c>
      <c r="BT180" t="str">
        <f>HYPERLINK("https%3A%2F%2Fwww.webofscience.com%2Fwos%2Fwoscc%2Ffull-record%2FWOS:001072775400015","View Full Record in Web of Science")</f>
        <v>View Full Record in Web of Science</v>
      </c>
    </row>
    <row r="181" spans="1:72" x14ac:dyDescent="0.15">
      <c r="A181" t="s">
        <v>72</v>
      </c>
      <c r="B181" t="s">
        <v>3439</v>
      </c>
      <c r="C181" t="s">
        <v>74</v>
      </c>
      <c r="D181" t="s">
        <v>74</v>
      </c>
      <c r="E181" t="s">
        <v>74</v>
      </c>
      <c r="F181" t="s">
        <v>3440</v>
      </c>
      <c r="G181" t="s">
        <v>74</v>
      </c>
      <c r="H181" t="s">
        <v>74</v>
      </c>
      <c r="I181" t="s">
        <v>3441</v>
      </c>
      <c r="J181" t="s">
        <v>1732</v>
      </c>
      <c r="K181" t="s">
        <v>74</v>
      </c>
      <c r="L181" t="s">
        <v>74</v>
      </c>
      <c r="M181" t="s">
        <v>78</v>
      </c>
      <c r="N181" t="s">
        <v>79</v>
      </c>
      <c r="O181" t="s">
        <v>74</v>
      </c>
      <c r="P181" t="s">
        <v>74</v>
      </c>
      <c r="Q181" t="s">
        <v>74</v>
      </c>
      <c r="R181" t="s">
        <v>74</v>
      </c>
      <c r="S181" t="s">
        <v>74</v>
      </c>
      <c r="T181" t="s">
        <v>3442</v>
      </c>
      <c r="U181" t="s">
        <v>3443</v>
      </c>
      <c r="V181" t="s">
        <v>3444</v>
      </c>
      <c r="W181" t="s">
        <v>3445</v>
      </c>
      <c r="X181" t="s">
        <v>3446</v>
      </c>
      <c r="Y181" t="s">
        <v>3447</v>
      </c>
      <c r="Z181" t="s">
        <v>3448</v>
      </c>
      <c r="AA181" t="s">
        <v>3449</v>
      </c>
      <c r="AB181" t="s">
        <v>3450</v>
      </c>
      <c r="AC181" t="s">
        <v>3451</v>
      </c>
      <c r="AD181" t="s">
        <v>3452</v>
      </c>
      <c r="AE181" t="s">
        <v>3453</v>
      </c>
      <c r="AF181" t="s">
        <v>74</v>
      </c>
      <c r="AG181">
        <v>69</v>
      </c>
      <c r="AH181">
        <v>0</v>
      </c>
      <c r="AI181">
        <v>0</v>
      </c>
      <c r="AJ181">
        <v>5</v>
      </c>
      <c r="AK181">
        <v>7</v>
      </c>
      <c r="AL181" t="s">
        <v>1743</v>
      </c>
      <c r="AM181" t="s">
        <v>1744</v>
      </c>
      <c r="AN181" t="s">
        <v>1745</v>
      </c>
      <c r="AO181" t="s">
        <v>1746</v>
      </c>
      <c r="AP181" t="s">
        <v>1747</v>
      </c>
      <c r="AQ181" t="s">
        <v>74</v>
      </c>
      <c r="AR181" t="s">
        <v>1748</v>
      </c>
      <c r="AS181" t="s">
        <v>1749</v>
      </c>
      <c r="AT181" t="s">
        <v>74</v>
      </c>
      <c r="AU181">
        <v>2023</v>
      </c>
      <c r="AV181">
        <v>61</v>
      </c>
      <c r="AW181" t="s">
        <v>74</v>
      </c>
      <c r="AX181" t="s">
        <v>74</v>
      </c>
      <c r="AY181" t="s">
        <v>74</v>
      </c>
      <c r="AZ181" t="s">
        <v>74</v>
      </c>
      <c r="BA181" t="s">
        <v>74</v>
      </c>
      <c r="BB181" t="s">
        <v>74</v>
      </c>
      <c r="BC181" t="s">
        <v>74</v>
      </c>
      <c r="BD181">
        <v>4302217</v>
      </c>
      <c r="BE181" t="s">
        <v>3454</v>
      </c>
      <c r="BF181" t="str">
        <f>HYPERLINK("http://dx.doi.org/10.1109/TGRS.2023.3303231","http://dx.doi.org/10.1109/TGRS.2023.3303231")</f>
        <v>http://dx.doi.org/10.1109/TGRS.2023.3303231</v>
      </c>
      <c r="BG181" t="s">
        <v>74</v>
      </c>
      <c r="BH181" t="s">
        <v>74</v>
      </c>
      <c r="BI181">
        <v>17</v>
      </c>
      <c r="BJ181" t="s">
        <v>1751</v>
      </c>
      <c r="BK181" t="s">
        <v>104</v>
      </c>
      <c r="BL181" t="s">
        <v>1752</v>
      </c>
      <c r="BM181" t="s">
        <v>3455</v>
      </c>
      <c r="BN181" t="s">
        <v>74</v>
      </c>
      <c r="BO181" t="s">
        <v>74</v>
      </c>
      <c r="BP181" t="s">
        <v>74</v>
      </c>
      <c r="BQ181" t="s">
        <v>74</v>
      </c>
      <c r="BR181" t="s">
        <v>108</v>
      </c>
      <c r="BS181" t="s">
        <v>3456</v>
      </c>
      <c r="BT181" t="str">
        <f>HYPERLINK("https%3A%2F%2Fwww.webofscience.com%2Fwos%2Fwoscc%2Ffull-record%2FWOS:001064718000011","View Full Record in Web of Science")</f>
        <v>View Full Record in Web of Science</v>
      </c>
    </row>
    <row r="182" spans="1:72" x14ac:dyDescent="0.15">
      <c r="A182" t="s">
        <v>72</v>
      </c>
      <c r="B182" t="s">
        <v>3457</v>
      </c>
      <c r="C182" t="s">
        <v>74</v>
      </c>
      <c r="D182" t="s">
        <v>74</v>
      </c>
      <c r="E182" t="s">
        <v>74</v>
      </c>
      <c r="F182" t="s">
        <v>3458</v>
      </c>
      <c r="G182" t="s">
        <v>74</v>
      </c>
      <c r="H182" t="s">
        <v>74</v>
      </c>
      <c r="I182" t="s">
        <v>3459</v>
      </c>
      <c r="J182" t="s">
        <v>2602</v>
      </c>
      <c r="K182" t="s">
        <v>74</v>
      </c>
      <c r="L182" t="s">
        <v>74</v>
      </c>
      <c r="M182" t="s">
        <v>78</v>
      </c>
      <c r="N182" t="s">
        <v>79</v>
      </c>
      <c r="O182" t="s">
        <v>74</v>
      </c>
      <c r="P182" t="s">
        <v>74</v>
      </c>
      <c r="Q182" t="s">
        <v>74</v>
      </c>
      <c r="R182" t="s">
        <v>74</v>
      </c>
      <c r="S182" t="s">
        <v>74</v>
      </c>
      <c r="T182" t="s">
        <v>3460</v>
      </c>
      <c r="U182" t="s">
        <v>3461</v>
      </c>
      <c r="V182" t="s">
        <v>3462</v>
      </c>
      <c r="W182" t="s">
        <v>3463</v>
      </c>
      <c r="X182" t="s">
        <v>3464</v>
      </c>
      <c r="Y182" t="s">
        <v>3465</v>
      </c>
      <c r="Z182" t="s">
        <v>3466</v>
      </c>
      <c r="AA182" t="s">
        <v>74</v>
      </c>
      <c r="AB182" t="s">
        <v>3467</v>
      </c>
      <c r="AC182" t="s">
        <v>3468</v>
      </c>
      <c r="AD182" t="s">
        <v>3469</v>
      </c>
      <c r="AE182" t="s">
        <v>3470</v>
      </c>
      <c r="AF182" t="s">
        <v>74</v>
      </c>
      <c r="AG182">
        <v>38</v>
      </c>
      <c r="AH182">
        <v>0</v>
      </c>
      <c r="AI182">
        <v>0</v>
      </c>
      <c r="AJ182">
        <v>7</v>
      </c>
      <c r="AK182">
        <v>11</v>
      </c>
      <c r="AL182" t="s">
        <v>1743</v>
      </c>
      <c r="AM182" t="s">
        <v>1744</v>
      </c>
      <c r="AN182" t="s">
        <v>1745</v>
      </c>
      <c r="AO182" t="s">
        <v>2613</v>
      </c>
      <c r="AP182" t="s">
        <v>2614</v>
      </c>
      <c r="AQ182" t="s">
        <v>74</v>
      </c>
      <c r="AR182" t="s">
        <v>2615</v>
      </c>
      <c r="AS182" t="s">
        <v>2616</v>
      </c>
      <c r="AT182" t="s">
        <v>74</v>
      </c>
      <c r="AU182">
        <v>2023</v>
      </c>
      <c r="AV182">
        <v>20</v>
      </c>
      <c r="AW182" t="s">
        <v>74</v>
      </c>
      <c r="AX182" t="s">
        <v>74</v>
      </c>
      <c r="AY182" t="s">
        <v>74</v>
      </c>
      <c r="AZ182" t="s">
        <v>74</v>
      </c>
      <c r="BA182" t="s">
        <v>74</v>
      </c>
      <c r="BB182" t="s">
        <v>74</v>
      </c>
      <c r="BC182" t="s">
        <v>74</v>
      </c>
      <c r="BD182">
        <v>2000605</v>
      </c>
      <c r="BE182" t="s">
        <v>3471</v>
      </c>
      <c r="BF182" t="str">
        <f>HYPERLINK("http://dx.doi.org/10.1109/LGRS.2023.3304350","http://dx.doi.org/10.1109/LGRS.2023.3304350")</f>
        <v>http://dx.doi.org/10.1109/LGRS.2023.3304350</v>
      </c>
      <c r="BG182" t="s">
        <v>74</v>
      </c>
      <c r="BH182" t="s">
        <v>74</v>
      </c>
      <c r="BI182">
        <v>5</v>
      </c>
      <c r="BJ182" t="s">
        <v>1751</v>
      </c>
      <c r="BK182" t="s">
        <v>104</v>
      </c>
      <c r="BL182" t="s">
        <v>1752</v>
      </c>
      <c r="BM182" t="s">
        <v>3472</v>
      </c>
      <c r="BN182" t="s">
        <v>74</v>
      </c>
      <c r="BO182" t="s">
        <v>74</v>
      </c>
      <c r="BP182" t="s">
        <v>74</v>
      </c>
      <c r="BQ182" t="s">
        <v>74</v>
      </c>
      <c r="BR182" t="s">
        <v>108</v>
      </c>
      <c r="BS182" t="s">
        <v>3473</v>
      </c>
      <c r="BT182" t="str">
        <f>HYPERLINK("https%3A%2F%2Fwww.webofscience.com%2Fwos%2Fwoscc%2Ffull-record%2FWOS:001063563700004","View Full Record in Web of Science")</f>
        <v>View Full Record in Web of Science</v>
      </c>
    </row>
    <row r="183" spans="1:72" x14ac:dyDescent="0.15">
      <c r="A183" t="s">
        <v>72</v>
      </c>
      <c r="B183" t="s">
        <v>3474</v>
      </c>
      <c r="C183" t="s">
        <v>74</v>
      </c>
      <c r="D183" t="s">
        <v>74</v>
      </c>
      <c r="E183" t="s">
        <v>74</v>
      </c>
      <c r="F183" t="s">
        <v>3475</v>
      </c>
      <c r="G183" t="s">
        <v>74</v>
      </c>
      <c r="H183" t="s">
        <v>74</v>
      </c>
      <c r="I183" t="s">
        <v>3476</v>
      </c>
      <c r="J183" t="s">
        <v>3477</v>
      </c>
      <c r="K183" t="s">
        <v>74</v>
      </c>
      <c r="L183" t="s">
        <v>74</v>
      </c>
      <c r="M183" t="s">
        <v>78</v>
      </c>
      <c r="N183" t="s">
        <v>79</v>
      </c>
      <c r="O183" t="s">
        <v>74</v>
      </c>
      <c r="P183" t="s">
        <v>74</v>
      </c>
      <c r="Q183" t="s">
        <v>74</v>
      </c>
      <c r="R183" t="s">
        <v>74</v>
      </c>
      <c r="S183" t="s">
        <v>74</v>
      </c>
      <c r="T183" t="s">
        <v>3478</v>
      </c>
      <c r="U183" t="s">
        <v>3479</v>
      </c>
      <c r="V183" t="s">
        <v>3480</v>
      </c>
      <c r="W183" t="s">
        <v>3481</v>
      </c>
      <c r="X183" t="s">
        <v>3482</v>
      </c>
      <c r="Y183" t="s">
        <v>3483</v>
      </c>
      <c r="Z183" t="s">
        <v>3484</v>
      </c>
      <c r="AA183" t="s">
        <v>3485</v>
      </c>
      <c r="AB183" t="s">
        <v>3486</v>
      </c>
      <c r="AC183" t="s">
        <v>3487</v>
      </c>
      <c r="AD183" t="s">
        <v>3488</v>
      </c>
      <c r="AE183" t="s">
        <v>3489</v>
      </c>
      <c r="AF183" t="s">
        <v>74</v>
      </c>
      <c r="AG183">
        <v>54</v>
      </c>
      <c r="AH183">
        <v>0</v>
      </c>
      <c r="AI183">
        <v>0</v>
      </c>
      <c r="AJ183">
        <v>6</v>
      </c>
      <c r="AK183">
        <v>6</v>
      </c>
      <c r="AL183" t="s">
        <v>3490</v>
      </c>
      <c r="AM183" t="s">
        <v>3491</v>
      </c>
      <c r="AN183" t="s">
        <v>3492</v>
      </c>
      <c r="AO183" t="s">
        <v>3493</v>
      </c>
      <c r="AP183" t="s">
        <v>3494</v>
      </c>
      <c r="AQ183" t="s">
        <v>74</v>
      </c>
      <c r="AR183" t="s">
        <v>3495</v>
      </c>
      <c r="AS183" t="s">
        <v>3496</v>
      </c>
      <c r="AT183" t="s">
        <v>74</v>
      </c>
      <c r="AU183">
        <v>2023</v>
      </c>
      <c r="AV183">
        <v>118</v>
      </c>
      <c r="AW183" t="s">
        <v>74</v>
      </c>
      <c r="AX183" t="s">
        <v>74</v>
      </c>
      <c r="AY183" t="s">
        <v>74</v>
      </c>
      <c r="AZ183" t="s">
        <v>74</v>
      </c>
      <c r="BA183" t="s">
        <v>74</v>
      </c>
      <c r="BB183" t="s">
        <v>74</v>
      </c>
      <c r="BC183" t="s">
        <v>74</v>
      </c>
      <c r="BD183" t="s">
        <v>3497</v>
      </c>
      <c r="BE183" t="s">
        <v>3498</v>
      </c>
      <c r="BF183" t="str">
        <f>HYPERLINK("http://dx.doi.org/10.1590/0074-02760230084","http://dx.doi.org/10.1590/0074-02760230084")</f>
        <v>http://dx.doi.org/10.1590/0074-02760230084</v>
      </c>
      <c r="BG183" t="s">
        <v>74</v>
      </c>
      <c r="BH183" t="s">
        <v>74</v>
      </c>
      <c r="BI183">
        <v>14</v>
      </c>
      <c r="BJ183" t="s">
        <v>3499</v>
      </c>
      <c r="BK183" t="s">
        <v>104</v>
      </c>
      <c r="BL183" t="s">
        <v>3499</v>
      </c>
      <c r="BM183" t="s">
        <v>3500</v>
      </c>
      <c r="BN183">
        <v>37672426</v>
      </c>
      <c r="BO183" t="s">
        <v>3181</v>
      </c>
      <c r="BP183" t="s">
        <v>74</v>
      </c>
      <c r="BQ183" t="s">
        <v>74</v>
      </c>
      <c r="BR183" t="s">
        <v>108</v>
      </c>
      <c r="BS183" t="s">
        <v>3501</v>
      </c>
      <c r="BT183" t="str">
        <f>HYPERLINK("https%3A%2F%2Fwww.webofscience.com%2Fwos%2Fwoscc%2Ffull-record%2FWOS:001067971100001","View Full Record in Web of Science")</f>
        <v>View Full Record in Web of Science</v>
      </c>
    </row>
    <row r="184" spans="1:72" x14ac:dyDescent="0.15">
      <c r="A184" t="s">
        <v>72</v>
      </c>
      <c r="B184" t="s">
        <v>3502</v>
      </c>
      <c r="C184" t="s">
        <v>74</v>
      </c>
      <c r="D184" t="s">
        <v>74</v>
      </c>
      <c r="E184" t="s">
        <v>74</v>
      </c>
      <c r="F184" t="s">
        <v>3503</v>
      </c>
      <c r="G184" t="s">
        <v>74</v>
      </c>
      <c r="H184" t="s">
        <v>74</v>
      </c>
      <c r="I184" t="s">
        <v>3504</v>
      </c>
      <c r="J184" t="s">
        <v>2578</v>
      </c>
      <c r="K184" t="s">
        <v>74</v>
      </c>
      <c r="L184" t="s">
        <v>74</v>
      </c>
      <c r="M184" t="s">
        <v>78</v>
      </c>
      <c r="N184" t="s">
        <v>256</v>
      </c>
      <c r="O184" t="s">
        <v>74</v>
      </c>
      <c r="P184" t="s">
        <v>74</v>
      </c>
      <c r="Q184" t="s">
        <v>74</v>
      </c>
      <c r="R184" t="s">
        <v>74</v>
      </c>
      <c r="S184" t="s">
        <v>74</v>
      </c>
      <c r="T184" t="s">
        <v>3505</v>
      </c>
      <c r="U184" t="s">
        <v>3506</v>
      </c>
      <c r="V184" t="s">
        <v>3507</v>
      </c>
      <c r="W184" t="s">
        <v>3508</v>
      </c>
      <c r="X184" t="s">
        <v>3509</v>
      </c>
      <c r="Y184" t="s">
        <v>3510</v>
      </c>
      <c r="Z184" t="s">
        <v>3511</v>
      </c>
      <c r="AA184" t="s">
        <v>74</v>
      </c>
      <c r="AB184" t="s">
        <v>74</v>
      </c>
      <c r="AC184" t="s">
        <v>3512</v>
      </c>
      <c r="AD184" t="s">
        <v>3512</v>
      </c>
      <c r="AE184" t="s">
        <v>3513</v>
      </c>
      <c r="AF184" t="s">
        <v>74</v>
      </c>
      <c r="AG184">
        <v>171</v>
      </c>
      <c r="AH184">
        <v>2</v>
      </c>
      <c r="AI184">
        <v>2</v>
      </c>
      <c r="AJ184">
        <v>14</v>
      </c>
      <c r="AK184">
        <v>16</v>
      </c>
      <c r="AL184" t="s">
        <v>422</v>
      </c>
      <c r="AM184" t="s">
        <v>208</v>
      </c>
      <c r="AN184" t="s">
        <v>423</v>
      </c>
      <c r="AO184" t="s">
        <v>2589</v>
      </c>
      <c r="AP184" t="s">
        <v>74</v>
      </c>
      <c r="AQ184" t="s">
        <v>74</v>
      </c>
      <c r="AR184" t="s">
        <v>2590</v>
      </c>
      <c r="AS184" t="s">
        <v>2591</v>
      </c>
      <c r="AT184" t="s">
        <v>2592</v>
      </c>
      <c r="AU184">
        <v>2023</v>
      </c>
      <c r="AV184">
        <v>11</v>
      </c>
      <c r="AW184">
        <v>1</v>
      </c>
      <c r="AX184" t="s">
        <v>74</v>
      </c>
      <c r="AY184" t="s">
        <v>74</v>
      </c>
      <c r="AZ184" t="s">
        <v>74</v>
      </c>
      <c r="BA184" t="s">
        <v>74</v>
      </c>
      <c r="BB184" t="s">
        <v>74</v>
      </c>
      <c r="BC184" t="s">
        <v>74</v>
      </c>
      <c r="BD184" t="s">
        <v>3514</v>
      </c>
      <c r="BE184" t="s">
        <v>3515</v>
      </c>
      <c r="BF184" t="str">
        <f>HYPERLINK("http://dx.doi.org/10.1093/conphys/coad077","http://dx.doi.org/10.1093/conphys/coad077")</f>
        <v>http://dx.doi.org/10.1093/conphys/coad077</v>
      </c>
      <c r="BG184" t="s">
        <v>74</v>
      </c>
      <c r="BH184" t="s">
        <v>74</v>
      </c>
      <c r="BI184">
        <v>19</v>
      </c>
      <c r="BJ184" t="s">
        <v>2595</v>
      </c>
      <c r="BK184" t="s">
        <v>104</v>
      </c>
      <c r="BL184" t="s">
        <v>2596</v>
      </c>
      <c r="BM184" t="s">
        <v>3516</v>
      </c>
      <c r="BN184">
        <v>37790839</v>
      </c>
      <c r="BO184" t="s">
        <v>3181</v>
      </c>
      <c r="BP184" t="s">
        <v>74</v>
      </c>
      <c r="BQ184" t="s">
        <v>74</v>
      </c>
      <c r="BR184" t="s">
        <v>108</v>
      </c>
      <c r="BS184" t="s">
        <v>3517</v>
      </c>
      <c r="BT184" t="str">
        <f>HYPERLINK("https%3A%2F%2Fwww.webofscience.com%2Fwos%2Fwoscc%2Ffull-record%2FWOS:001073289000001","View Full Record in Web of Science")</f>
        <v>View Full Record in Web of Science</v>
      </c>
    </row>
    <row r="185" spans="1:72" x14ac:dyDescent="0.15">
      <c r="A185" t="s">
        <v>943</v>
      </c>
      <c r="B185" t="s">
        <v>3518</v>
      </c>
      <c r="C185" t="s">
        <v>74</v>
      </c>
      <c r="D185" t="s">
        <v>3519</v>
      </c>
      <c r="E185" t="s">
        <v>74</v>
      </c>
      <c r="F185" t="s">
        <v>3520</v>
      </c>
      <c r="G185" t="s">
        <v>74</v>
      </c>
      <c r="H185" t="s">
        <v>74</v>
      </c>
      <c r="I185" t="s">
        <v>3521</v>
      </c>
      <c r="J185" t="s">
        <v>3522</v>
      </c>
      <c r="K185" t="s">
        <v>3523</v>
      </c>
      <c r="L185" t="s">
        <v>74</v>
      </c>
      <c r="M185" t="s">
        <v>78</v>
      </c>
      <c r="N185" t="s">
        <v>950</v>
      </c>
      <c r="O185" t="s">
        <v>74</v>
      </c>
      <c r="P185" t="s">
        <v>74</v>
      </c>
      <c r="Q185" t="s">
        <v>74</v>
      </c>
      <c r="R185" t="s">
        <v>74</v>
      </c>
      <c r="S185" t="s">
        <v>74</v>
      </c>
      <c r="T185" t="s">
        <v>74</v>
      </c>
      <c r="U185" t="s">
        <v>3524</v>
      </c>
      <c r="V185" t="s">
        <v>74</v>
      </c>
      <c r="W185" t="s">
        <v>3525</v>
      </c>
      <c r="X185" t="s">
        <v>3526</v>
      </c>
      <c r="Y185" t="s">
        <v>3527</v>
      </c>
      <c r="Z185" t="s">
        <v>74</v>
      </c>
      <c r="AA185" t="s">
        <v>74</v>
      </c>
      <c r="AB185" t="s">
        <v>74</v>
      </c>
      <c r="AC185" t="s">
        <v>74</v>
      </c>
      <c r="AD185" t="s">
        <v>74</v>
      </c>
      <c r="AE185" t="s">
        <v>74</v>
      </c>
      <c r="AF185" t="s">
        <v>74</v>
      </c>
      <c r="AG185">
        <v>7</v>
      </c>
      <c r="AH185">
        <v>0</v>
      </c>
      <c r="AI185">
        <v>0</v>
      </c>
      <c r="AJ185">
        <v>0</v>
      </c>
      <c r="AK185">
        <v>0</v>
      </c>
      <c r="AL185" t="s">
        <v>3528</v>
      </c>
      <c r="AM185" t="s">
        <v>3529</v>
      </c>
      <c r="AN185" t="s">
        <v>3530</v>
      </c>
      <c r="AO185" t="s">
        <v>74</v>
      </c>
      <c r="AP185" t="s">
        <v>74</v>
      </c>
      <c r="AQ185" t="s">
        <v>3531</v>
      </c>
      <c r="AR185" t="s">
        <v>3532</v>
      </c>
      <c r="AS185" t="s">
        <v>74</v>
      </c>
      <c r="AT185" t="s">
        <v>74</v>
      </c>
      <c r="AU185">
        <v>2023</v>
      </c>
      <c r="AV185" t="s">
        <v>74</v>
      </c>
      <c r="AW185" t="s">
        <v>74</v>
      </c>
      <c r="AX185" t="s">
        <v>74</v>
      </c>
      <c r="AY185" t="s">
        <v>74</v>
      </c>
      <c r="AZ185" t="s">
        <v>74</v>
      </c>
      <c r="BA185" t="s">
        <v>74</v>
      </c>
      <c r="BB185">
        <v>169</v>
      </c>
      <c r="BC185">
        <v>173</v>
      </c>
      <c r="BD185" t="s">
        <v>74</v>
      </c>
      <c r="BE185" t="s">
        <v>74</v>
      </c>
      <c r="BF185" t="s">
        <v>74</v>
      </c>
      <c r="BG185" t="s">
        <v>74</v>
      </c>
      <c r="BH185" t="s">
        <v>74</v>
      </c>
      <c r="BI185">
        <v>5</v>
      </c>
      <c r="BJ185" t="s">
        <v>3533</v>
      </c>
      <c r="BK185" t="s">
        <v>3534</v>
      </c>
      <c r="BL185" t="s">
        <v>3535</v>
      </c>
      <c r="BM185" t="s">
        <v>3536</v>
      </c>
      <c r="BN185" t="s">
        <v>74</v>
      </c>
      <c r="BO185" t="s">
        <v>74</v>
      </c>
      <c r="BP185" t="s">
        <v>74</v>
      </c>
      <c r="BQ185" t="s">
        <v>74</v>
      </c>
      <c r="BR185" t="s">
        <v>108</v>
      </c>
      <c r="BS185" t="s">
        <v>3537</v>
      </c>
      <c r="BT185" t="str">
        <f>HYPERLINK("https%3A%2F%2Fwww.webofscience.com%2Fwos%2Fwoscc%2Ffull-record%2FWOS:001056779200033","View Full Record in Web of Science")</f>
        <v>View Full Record in Web of Science</v>
      </c>
    </row>
    <row r="186" spans="1:72" x14ac:dyDescent="0.15">
      <c r="A186" t="s">
        <v>72</v>
      </c>
      <c r="B186" t="s">
        <v>3538</v>
      </c>
      <c r="C186" t="s">
        <v>74</v>
      </c>
      <c r="D186" t="s">
        <v>74</v>
      </c>
      <c r="E186" t="s">
        <v>74</v>
      </c>
      <c r="F186" t="s">
        <v>3539</v>
      </c>
      <c r="G186" t="s">
        <v>74</v>
      </c>
      <c r="H186" t="s">
        <v>74</v>
      </c>
      <c r="I186" t="s">
        <v>3540</v>
      </c>
      <c r="J186" t="s">
        <v>3541</v>
      </c>
      <c r="K186" t="s">
        <v>74</v>
      </c>
      <c r="L186" t="s">
        <v>74</v>
      </c>
      <c r="M186" t="s">
        <v>78</v>
      </c>
      <c r="N186" t="s">
        <v>79</v>
      </c>
      <c r="O186" t="s">
        <v>74</v>
      </c>
      <c r="P186" t="s">
        <v>74</v>
      </c>
      <c r="Q186" t="s">
        <v>74</v>
      </c>
      <c r="R186" t="s">
        <v>74</v>
      </c>
      <c r="S186" t="s">
        <v>74</v>
      </c>
      <c r="T186" t="s">
        <v>3542</v>
      </c>
      <c r="U186" t="s">
        <v>3543</v>
      </c>
      <c r="V186" t="s">
        <v>3544</v>
      </c>
      <c r="W186" t="s">
        <v>3545</v>
      </c>
      <c r="X186" t="s">
        <v>3546</v>
      </c>
      <c r="Y186" t="s">
        <v>3547</v>
      </c>
      <c r="Z186" t="s">
        <v>3548</v>
      </c>
      <c r="AA186" t="s">
        <v>3549</v>
      </c>
      <c r="AB186" t="s">
        <v>3550</v>
      </c>
      <c r="AC186" t="s">
        <v>3551</v>
      </c>
      <c r="AD186" t="s">
        <v>3552</v>
      </c>
      <c r="AE186" t="s">
        <v>3553</v>
      </c>
      <c r="AF186" t="s">
        <v>74</v>
      </c>
      <c r="AG186">
        <v>46</v>
      </c>
      <c r="AH186">
        <v>2</v>
      </c>
      <c r="AI186">
        <v>2</v>
      </c>
      <c r="AJ186">
        <v>2</v>
      </c>
      <c r="AK186">
        <v>2</v>
      </c>
      <c r="AL186" t="s">
        <v>1791</v>
      </c>
      <c r="AM186" t="s">
        <v>576</v>
      </c>
      <c r="AN186" t="s">
        <v>1792</v>
      </c>
      <c r="AO186" t="s">
        <v>3554</v>
      </c>
      <c r="AP186" t="s">
        <v>3555</v>
      </c>
      <c r="AQ186" t="s">
        <v>74</v>
      </c>
      <c r="AR186" t="s">
        <v>3556</v>
      </c>
      <c r="AS186" t="s">
        <v>3557</v>
      </c>
      <c r="AT186" t="s">
        <v>276</v>
      </c>
      <c r="AU186">
        <v>2023</v>
      </c>
      <c r="AV186">
        <v>128</v>
      </c>
      <c r="AW186">
        <v>1</v>
      </c>
      <c r="AX186" t="s">
        <v>74</v>
      </c>
      <c r="AY186" t="s">
        <v>74</v>
      </c>
      <c r="AZ186" t="s">
        <v>74</v>
      </c>
      <c r="BA186" t="s">
        <v>74</v>
      </c>
      <c r="BB186" t="s">
        <v>74</v>
      </c>
      <c r="BC186" t="s">
        <v>74</v>
      </c>
      <c r="BD186" t="s">
        <v>3558</v>
      </c>
      <c r="BE186" t="s">
        <v>3559</v>
      </c>
      <c r="BF186" t="str">
        <f>HYPERLINK("http://dx.doi.org/10.1029/2022JC018774","http://dx.doi.org/10.1029/2022JC018774")</f>
        <v>http://dx.doi.org/10.1029/2022JC018774</v>
      </c>
      <c r="BG186" t="s">
        <v>74</v>
      </c>
      <c r="BH186" t="s">
        <v>74</v>
      </c>
      <c r="BI186">
        <v>16</v>
      </c>
      <c r="BJ186" t="s">
        <v>403</v>
      </c>
      <c r="BK186" t="s">
        <v>104</v>
      </c>
      <c r="BL186" t="s">
        <v>403</v>
      </c>
      <c r="BM186" t="s">
        <v>3560</v>
      </c>
      <c r="BN186" t="s">
        <v>74</v>
      </c>
      <c r="BO186" t="s">
        <v>3561</v>
      </c>
      <c r="BP186" t="s">
        <v>74</v>
      </c>
      <c r="BQ186" t="s">
        <v>74</v>
      </c>
      <c r="BR186" t="s">
        <v>108</v>
      </c>
      <c r="BS186" t="s">
        <v>3562</v>
      </c>
      <c r="BT186" t="str">
        <f>HYPERLINK("https%3A%2F%2Fwww.webofscience.com%2Fwos%2Fwoscc%2Ffull-record%2FWOS:001061706900003","View Full Record in Web of Science")</f>
        <v>View Full Record in Web of Science</v>
      </c>
    </row>
    <row r="187" spans="1:72" x14ac:dyDescent="0.15">
      <c r="A187" t="s">
        <v>72</v>
      </c>
      <c r="B187" t="s">
        <v>3563</v>
      </c>
      <c r="C187" t="s">
        <v>74</v>
      </c>
      <c r="D187" t="s">
        <v>74</v>
      </c>
      <c r="E187" t="s">
        <v>74</v>
      </c>
      <c r="F187" t="s">
        <v>3564</v>
      </c>
      <c r="G187" t="s">
        <v>74</v>
      </c>
      <c r="H187" t="s">
        <v>74</v>
      </c>
      <c r="I187" t="s">
        <v>3565</v>
      </c>
      <c r="J187" t="s">
        <v>3566</v>
      </c>
      <c r="K187" t="s">
        <v>74</v>
      </c>
      <c r="L187" t="s">
        <v>74</v>
      </c>
      <c r="M187" t="s">
        <v>78</v>
      </c>
      <c r="N187" t="s">
        <v>79</v>
      </c>
      <c r="O187" t="s">
        <v>74</v>
      </c>
      <c r="P187" t="s">
        <v>74</v>
      </c>
      <c r="Q187" t="s">
        <v>74</v>
      </c>
      <c r="R187" t="s">
        <v>74</v>
      </c>
      <c r="S187" t="s">
        <v>74</v>
      </c>
      <c r="T187" t="s">
        <v>3567</v>
      </c>
      <c r="U187" t="s">
        <v>3568</v>
      </c>
      <c r="V187" t="s">
        <v>3569</v>
      </c>
      <c r="W187" t="s">
        <v>3570</v>
      </c>
      <c r="X187" t="s">
        <v>3571</v>
      </c>
      <c r="Y187" t="s">
        <v>3572</v>
      </c>
      <c r="Z187" t="s">
        <v>3573</v>
      </c>
      <c r="AA187" t="s">
        <v>74</v>
      </c>
      <c r="AB187" t="s">
        <v>3574</v>
      </c>
      <c r="AC187" t="s">
        <v>74</v>
      </c>
      <c r="AD187" t="s">
        <v>74</v>
      </c>
      <c r="AE187" t="s">
        <v>74</v>
      </c>
      <c r="AF187" t="s">
        <v>74</v>
      </c>
      <c r="AG187">
        <v>146</v>
      </c>
      <c r="AH187">
        <v>3</v>
      </c>
      <c r="AI187">
        <v>3</v>
      </c>
      <c r="AJ187">
        <v>1</v>
      </c>
      <c r="AK187">
        <v>3</v>
      </c>
      <c r="AL187" t="s">
        <v>1791</v>
      </c>
      <c r="AM187" t="s">
        <v>576</v>
      </c>
      <c r="AN187" t="s">
        <v>1792</v>
      </c>
      <c r="AO187" t="s">
        <v>3575</v>
      </c>
      <c r="AP187" t="s">
        <v>3576</v>
      </c>
      <c r="AQ187" t="s">
        <v>74</v>
      </c>
      <c r="AR187" t="s">
        <v>3566</v>
      </c>
      <c r="AS187" t="s">
        <v>3577</v>
      </c>
      <c r="AT187" t="s">
        <v>276</v>
      </c>
      <c r="AU187">
        <v>2023</v>
      </c>
      <c r="AV187">
        <v>42</v>
      </c>
      <c r="AW187">
        <v>1</v>
      </c>
      <c r="AX187" t="s">
        <v>74</v>
      </c>
      <c r="AY187" t="s">
        <v>74</v>
      </c>
      <c r="AZ187" t="s">
        <v>74</v>
      </c>
      <c r="BA187" t="s">
        <v>74</v>
      </c>
      <c r="BB187" t="s">
        <v>74</v>
      </c>
      <c r="BC187" t="s">
        <v>74</v>
      </c>
      <c r="BD187" t="s">
        <v>3578</v>
      </c>
      <c r="BE187" t="s">
        <v>3579</v>
      </c>
      <c r="BF187" t="str">
        <f>HYPERLINK("http://dx.doi.org/10.1029/2022TC007335","http://dx.doi.org/10.1029/2022TC007335")</f>
        <v>http://dx.doi.org/10.1029/2022TC007335</v>
      </c>
      <c r="BG187" t="s">
        <v>74</v>
      </c>
      <c r="BH187" t="s">
        <v>74</v>
      </c>
      <c r="BI187">
        <v>19</v>
      </c>
      <c r="BJ187" t="s">
        <v>430</v>
      </c>
      <c r="BK187" t="s">
        <v>104</v>
      </c>
      <c r="BL187" t="s">
        <v>430</v>
      </c>
      <c r="BM187" t="s">
        <v>3580</v>
      </c>
      <c r="BN187" t="s">
        <v>74</v>
      </c>
      <c r="BO187" t="s">
        <v>74</v>
      </c>
      <c r="BP187" t="s">
        <v>74</v>
      </c>
      <c r="BQ187" t="s">
        <v>74</v>
      </c>
      <c r="BR187" t="s">
        <v>108</v>
      </c>
      <c r="BS187" t="s">
        <v>3581</v>
      </c>
      <c r="BT187" t="str">
        <f>HYPERLINK("https%3A%2F%2Fwww.webofscience.com%2Fwos%2Fwoscc%2Ffull-record%2FWOS:001061089900001","View Full Record in Web of Science")</f>
        <v>View Full Record in Web of Science</v>
      </c>
    </row>
    <row r="188" spans="1:72" x14ac:dyDescent="0.15">
      <c r="A188" t="s">
        <v>72</v>
      </c>
      <c r="B188" t="s">
        <v>3582</v>
      </c>
      <c r="C188" t="s">
        <v>74</v>
      </c>
      <c r="D188" t="s">
        <v>74</v>
      </c>
      <c r="E188" t="s">
        <v>74</v>
      </c>
      <c r="F188" t="s">
        <v>3583</v>
      </c>
      <c r="G188" t="s">
        <v>74</v>
      </c>
      <c r="H188" t="s">
        <v>74</v>
      </c>
      <c r="I188" t="s">
        <v>3584</v>
      </c>
      <c r="J188" t="s">
        <v>1805</v>
      </c>
      <c r="K188" t="s">
        <v>74</v>
      </c>
      <c r="L188" t="s">
        <v>74</v>
      </c>
      <c r="M188" t="s">
        <v>78</v>
      </c>
      <c r="N188" t="s">
        <v>79</v>
      </c>
      <c r="O188" t="s">
        <v>74</v>
      </c>
      <c r="P188" t="s">
        <v>74</v>
      </c>
      <c r="Q188" t="s">
        <v>74</v>
      </c>
      <c r="R188" t="s">
        <v>74</v>
      </c>
      <c r="S188" t="s">
        <v>74</v>
      </c>
      <c r="T188" t="s">
        <v>3585</v>
      </c>
      <c r="U188" t="s">
        <v>3586</v>
      </c>
      <c r="V188" t="s">
        <v>3587</v>
      </c>
      <c r="W188" t="s">
        <v>3588</v>
      </c>
      <c r="X188" t="s">
        <v>3589</v>
      </c>
      <c r="Y188" t="s">
        <v>3590</v>
      </c>
      <c r="Z188" t="s">
        <v>3591</v>
      </c>
      <c r="AA188" t="s">
        <v>3592</v>
      </c>
      <c r="AB188" t="s">
        <v>3593</v>
      </c>
      <c r="AC188" t="s">
        <v>3594</v>
      </c>
      <c r="AD188" t="s">
        <v>3595</v>
      </c>
      <c r="AE188" t="s">
        <v>3596</v>
      </c>
      <c r="AF188" t="s">
        <v>74</v>
      </c>
      <c r="AG188">
        <v>51</v>
      </c>
      <c r="AH188">
        <v>0</v>
      </c>
      <c r="AI188">
        <v>0</v>
      </c>
      <c r="AJ188">
        <v>2</v>
      </c>
      <c r="AK188">
        <v>3</v>
      </c>
      <c r="AL188" t="s">
        <v>1818</v>
      </c>
      <c r="AM188" t="s">
        <v>1819</v>
      </c>
      <c r="AN188" t="s">
        <v>1820</v>
      </c>
      <c r="AO188" t="s">
        <v>1821</v>
      </c>
      <c r="AP188" t="s">
        <v>1822</v>
      </c>
      <c r="AQ188" t="s">
        <v>74</v>
      </c>
      <c r="AR188" t="s">
        <v>1823</v>
      </c>
      <c r="AS188" t="s">
        <v>1824</v>
      </c>
      <c r="AT188" t="s">
        <v>74</v>
      </c>
      <c r="AU188">
        <v>2023</v>
      </c>
      <c r="AV188">
        <v>95</v>
      </c>
      <c r="AW188" t="s">
        <v>74</v>
      </c>
      <c r="AX188" t="s">
        <v>74</v>
      </c>
      <c r="AY188">
        <v>3</v>
      </c>
      <c r="AZ188" t="s">
        <v>74</v>
      </c>
      <c r="BA188" t="s">
        <v>74</v>
      </c>
      <c r="BB188" t="s">
        <v>74</v>
      </c>
      <c r="BC188" t="s">
        <v>74</v>
      </c>
      <c r="BD188" t="s">
        <v>3597</v>
      </c>
      <c r="BE188" t="s">
        <v>3598</v>
      </c>
      <c r="BF188" t="str">
        <f>HYPERLINK("http://dx.doi.org/10.1590/0001-3765202320210692","http://dx.doi.org/10.1590/0001-3765202320210692")</f>
        <v>http://dx.doi.org/10.1590/0001-3765202320210692</v>
      </c>
      <c r="BG188" t="s">
        <v>74</v>
      </c>
      <c r="BH188" t="s">
        <v>74</v>
      </c>
      <c r="BI188">
        <v>19</v>
      </c>
      <c r="BJ188" t="s">
        <v>189</v>
      </c>
      <c r="BK188" t="s">
        <v>104</v>
      </c>
      <c r="BL188" t="s">
        <v>190</v>
      </c>
      <c r="BM188" t="s">
        <v>3599</v>
      </c>
      <c r="BN188">
        <v>37585979</v>
      </c>
      <c r="BO188" t="s">
        <v>165</v>
      </c>
      <c r="BP188" t="s">
        <v>74</v>
      </c>
      <c r="BQ188" t="s">
        <v>74</v>
      </c>
      <c r="BR188" t="s">
        <v>108</v>
      </c>
      <c r="BS188" t="s">
        <v>3600</v>
      </c>
      <c r="BT188" t="str">
        <f>HYPERLINK("https%3A%2F%2Fwww.webofscience.com%2Fwos%2Fwoscc%2Ffull-record%2FWOS:001052194100001","View Full Record in Web of Science")</f>
        <v>View Full Record in Web of Science</v>
      </c>
    </row>
    <row r="189" spans="1:72" x14ac:dyDescent="0.15">
      <c r="A189" t="s">
        <v>72</v>
      </c>
      <c r="B189" t="s">
        <v>3601</v>
      </c>
      <c r="C189" t="s">
        <v>74</v>
      </c>
      <c r="D189" t="s">
        <v>74</v>
      </c>
      <c r="E189" t="s">
        <v>74</v>
      </c>
      <c r="F189" t="s">
        <v>3602</v>
      </c>
      <c r="G189" t="s">
        <v>74</v>
      </c>
      <c r="H189" t="s">
        <v>74</v>
      </c>
      <c r="I189" t="s">
        <v>3603</v>
      </c>
      <c r="J189" t="s">
        <v>1805</v>
      </c>
      <c r="K189" t="s">
        <v>74</v>
      </c>
      <c r="L189" t="s">
        <v>74</v>
      </c>
      <c r="M189" t="s">
        <v>78</v>
      </c>
      <c r="N189" t="s">
        <v>79</v>
      </c>
      <c r="O189" t="s">
        <v>74</v>
      </c>
      <c r="P189" t="s">
        <v>74</v>
      </c>
      <c r="Q189" t="s">
        <v>74</v>
      </c>
      <c r="R189" t="s">
        <v>74</v>
      </c>
      <c r="S189" t="s">
        <v>74</v>
      </c>
      <c r="T189" t="s">
        <v>3604</v>
      </c>
      <c r="U189" t="s">
        <v>3605</v>
      </c>
      <c r="V189" t="s">
        <v>3606</v>
      </c>
      <c r="W189" t="s">
        <v>3607</v>
      </c>
      <c r="X189" t="s">
        <v>3608</v>
      </c>
      <c r="Y189" t="s">
        <v>3609</v>
      </c>
      <c r="Z189" t="s">
        <v>3610</v>
      </c>
      <c r="AA189" t="s">
        <v>3611</v>
      </c>
      <c r="AB189" t="s">
        <v>3612</v>
      </c>
      <c r="AC189" t="s">
        <v>3613</v>
      </c>
      <c r="AD189" t="s">
        <v>3614</v>
      </c>
      <c r="AE189" t="s">
        <v>3615</v>
      </c>
      <c r="AF189" t="s">
        <v>74</v>
      </c>
      <c r="AG189">
        <v>83</v>
      </c>
      <c r="AH189">
        <v>0</v>
      </c>
      <c r="AI189">
        <v>0</v>
      </c>
      <c r="AJ189">
        <v>3</v>
      </c>
      <c r="AK189">
        <v>3</v>
      </c>
      <c r="AL189" t="s">
        <v>1818</v>
      </c>
      <c r="AM189" t="s">
        <v>1819</v>
      </c>
      <c r="AN189" t="s">
        <v>1820</v>
      </c>
      <c r="AO189" t="s">
        <v>1821</v>
      </c>
      <c r="AP189" t="s">
        <v>1822</v>
      </c>
      <c r="AQ189" t="s">
        <v>74</v>
      </c>
      <c r="AR189" t="s">
        <v>1823</v>
      </c>
      <c r="AS189" t="s">
        <v>1824</v>
      </c>
      <c r="AT189" t="s">
        <v>74</v>
      </c>
      <c r="AU189">
        <v>2023</v>
      </c>
      <c r="AV189">
        <v>95</v>
      </c>
      <c r="AW189" t="s">
        <v>74</v>
      </c>
      <c r="AX189" t="s">
        <v>74</v>
      </c>
      <c r="AY189">
        <v>3</v>
      </c>
      <c r="AZ189" t="s">
        <v>74</v>
      </c>
      <c r="BA189" t="s">
        <v>74</v>
      </c>
      <c r="BB189" t="s">
        <v>74</v>
      </c>
      <c r="BC189" t="s">
        <v>74</v>
      </c>
      <c r="BD189" t="s">
        <v>3616</v>
      </c>
      <c r="BE189" t="s">
        <v>3617</v>
      </c>
      <c r="BF189" t="str">
        <f>HYPERLINK("http://dx.doi.org/10.1590/0001-3765202320211520","http://dx.doi.org/10.1590/0001-3765202320211520")</f>
        <v>http://dx.doi.org/10.1590/0001-3765202320211520</v>
      </c>
      <c r="BG189" t="s">
        <v>74</v>
      </c>
      <c r="BH189" t="s">
        <v>74</v>
      </c>
      <c r="BI189">
        <v>17</v>
      </c>
      <c r="BJ189" t="s">
        <v>189</v>
      </c>
      <c r="BK189" t="s">
        <v>104</v>
      </c>
      <c r="BL189" t="s">
        <v>190</v>
      </c>
      <c r="BM189" t="s">
        <v>3618</v>
      </c>
      <c r="BN189">
        <v>37585980</v>
      </c>
      <c r="BO189" t="s">
        <v>165</v>
      </c>
      <c r="BP189" t="s">
        <v>74</v>
      </c>
      <c r="BQ189" t="s">
        <v>74</v>
      </c>
      <c r="BR189" t="s">
        <v>108</v>
      </c>
      <c r="BS189" t="s">
        <v>3619</v>
      </c>
      <c r="BT189" t="str">
        <f>HYPERLINK("https%3A%2F%2Fwww.webofscience.com%2Fwos%2Fwoscc%2Ffull-record%2FWOS:001052149300001","View Full Record in Web of Science")</f>
        <v>View Full Record in Web of Science</v>
      </c>
    </row>
    <row r="190" spans="1:72" x14ac:dyDescent="0.15">
      <c r="A190" t="s">
        <v>72</v>
      </c>
      <c r="B190" t="s">
        <v>3620</v>
      </c>
      <c r="C190" t="s">
        <v>74</v>
      </c>
      <c r="D190" t="s">
        <v>74</v>
      </c>
      <c r="E190" t="s">
        <v>74</v>
      </c>
      <c r="F190" t="s">
        <v>3621</v>
      </c>
      <c r="G190" t="s">
        <v>74</v>
      </c>
      <c r="H190" t="s">
        <v>74</v>
      </c>
      <c r="I190" t="s">
        <v>3622</v>
      </c>
      <c r="J190" t="s">
        <v>3623</v>
      </c>
      <c r="K190" t="s">
        <v>74</v>
      </c>
      <c r="L190" t="s">
        <v>74</v>
      </c>
      <c r="M190" t="s">
        <v>78</v>
      </c>
      <c r="N190" t="s">
        <v>79</v>
      </c>
      <c r="O190" t="s">
        <v>74</v>
      </c>
      <c r="P190" t="s">
        <v>74</v>
      </c>
      <c r="Q190" t="s">
        <v>74</v>
      </c>
      <c r="R190" t="s">
        <v>74</v>
      </c>
      <c r="S190" t="s">
        <v>74</v>
      </c>
      <c r="T190" t="s">
        <v>3624</v>
      </c>
      <c r="U190" t="s">
        <v>74</v>
      </c>
      <c r="V190" t="s">
        <v>3625</v>
      </c>
      <c r="W190" t="s">
        <v>3626</v>
      </c>
      <c r="X190" t="s">
        <v>3627</v>
      </c>
      <c r="Y190" t="s">
        <v>3628</v>
      </c>
      <c r="Z190" t="s">
        <v>74</v>
      </c>
      <c r="AA190" t="s">
        <v>74</v>
      </c>
      <c r="AB190" t="s">
        <v>74</v>
      </c>
      <c r="AC190" t="s">
        <v>74</v>
      </c>
      <c r="AD190" t="s">
        <v>74</v>
      </c>
      <c r="AE190" t="s">
        <v>74</v>
      </c>
      <c r="AF190" t="s">
        <v>74</v>
      </c>
      <c r="AG190">
        <v>5</v>
      </c>
      <c r="AH190">
        <v>0</v>
      </c>
      <c r="AI190">
        <v>0</v>
      </c>
      <c r="AJ190">
        <v>2</v>
      </c>
      <c r="AK190">
        <v>3</v>
      </c>
      <c r="AL190" t="s">
        <v>3629</v>
      </c>
      <c r="AM190" t="s">
        <v>3630</v>
      </c>
      <c r="AN190" t="s">
        <v>3631</v>
      </c>
      <c r="AO190" t="s">
        <v>3632</v>
      </c>
      <c r="AP190" t="s">
        <v>3633</v>
      </c>
      <c r="AQ190" t="s">
        <v>74</v>
      </c>
      <c r="AR190" t="s">
        <v>3634</v>
      </c>
      <c r="AS190" t="s">
        <v>3635</v>
      </c>
      <c r="AT190" t="s">
        <v>74</v>
      </c>
      <c r="AU190">
        <v>2023</v>
      </c>
      <c r="AV190">
        <v>26</v>
      </c>
      <c r="AW190">
        <v>3</v>
      </c>
      <c r="AX190" t="s">
        <v>74</v>
      </c>
      <c r="AY190" t="s">
        <v>74</v>
      </c>
      <c r="AZ190" t="s">
        <v>74</v>
      </c>
      <c r="BA190" t="s">
        <v>74</v>
      </c>
      <c r="BB190" t="s">
        <v>74</v>
      </c>
      <c r="BC190" t="s">
        <v>74</v>
      </c>
      <c r="BD190">
        <v>33901</v>
      </c>
      <c r="BE190" t="s">
        <v>3636</v>
      </c>
      <c r="BF190" t="str">
        <f>HYPERLINK("http://dx.doi.org/10.5488/CMP.26.33901","http://dx.doi.org/10.5488/CMP.26.33901")</f>
        <v>http://dx.doi.org/10.5488/CMP.26.33901</v>
      </c>
      <c r="BG190" t="s">
        <v>74</v>
      </c>
      <c r="BH190" t="s">
        <v>74</v>
      </c>
      <c r="BI190">
        <v>4</v>
      </c>
      <c r="BJ190" t="s">
        <v>3637</v>
      </c>
      <c r="BK190" t="s">
        <v>104</v>
      </c>
      <c r="BL190" t="s">
        <v>163</v>
      </c>
      <c r="BM190" t="s">
        <v>3638</v>
      </c>
      <c r="BN190" t="s">
        <v>74</v>
      </c>
      <c r="BO190" t="s">
        <v>737</v>
      </c>
      <c r="BP190" t="s">
        <v>74</v>
      </c>
      <c r="BQ190" t="s">
        <v>74</v>
      </c>
      <c r="BR190" t="s">
        <v>108</v>
      </c>
      <c r="BS190" t="s">
        <v>3639</v>
      </c>
      <c r="BT190" t="str">
        <f>HYPERLINK("https%3A%2F%2Fwww.webofscience.com%2Fwos%2Fwoscc%2Ffull-record%2FWOS:001051188600008","View Full Record in Web of Science")</f>
        <v>View Full Record in Web of Science</v>
      </c>
    </row>
    <row r="191" spans="1:72" x14ac:dyDescent="0.15">
      <c r="A191" t="s">
        <v>72</v>
      </c>
      <c r="B191" t="s">
        <v>3640</v>
      </c>
      <c r="C191" t="s">
        <v>74</v>
      </c>
      <c r="D191" t="s">
        <v>74</v>
      </c>
      <c r="E191" t="s">
        <v>74</v>
      </c>
      <c r="F191" t="s">
        <v>3641</v>
      </c>
      <c r="G191" t="s">
        <v>74</v>
      </c>
      <c r="H191" t="s">
        <v>74</v>
      </c>
      <c r="I191" t="s">
        <v>3642</v>
      </c>
      <c r="J191" t="s">
        <v>1680</v>
      </c>
      <c r="K191" t="s">
        <v>74</v>
      </c>
      <c r="L191" t="s">
        <v>74</v>
      </c>
      <c r="M191" t="s">
        <v>78</v>
      </c>
      <c r="N191" t="s">
        <v>79</v>
      </c>
      <c r="O191" t="s">
        <v>74</v>
      </c>
      <c r="P191" t="s">
        <v>74</v>
      </c>
      <c r="Q191" t="s">
        <v>74</v>
      </c>
      <c r="R191" t="s">
        <v>74</v>
      </c>
      <c r="S191" t="s">
        <v>74</v>
      </c>
      <c r="T191" t="s">
        <v>3643</v>
      </c>
      <c r="U191" t="s">
        <v>3644</v>
      </c>
      <c r="V191" t="s">
        <v>3645</v>
      </c>
      <c r="W191" t="s">
        <v>3646</v>
      </c>
      <c r="X191" t="s">
        <v>3647</v>
      </c>
      <c r="Y191" t="s">
        <v>3648</v>
      </c>
      <c r="Z191" t="s">
        <v>3649</v>
      </c>
      <c r="AA191" t="s">
        <v>74</v>
      </c>
      <c r="AB191" t="s">
        <v>3650</v>
      </c>
      <c r="AC191" t="s">
        <v>3651</v>
      </c>
      <c r="AD191" t="s">
        <v>3652</v>
      </c>
      <c r="AE191" t="s">
        <v>3653</v>
      </c>
      <c r="AF191" t="s">
        <v>74</v>
      </c>
      <c r="AG191">
        <v>49</v>
      </c>
      <c r="AH191">
        <v>0</v>
      </c>
      <c r="AI191">
        <v>0</v>
      </c>
      <c r="AJ191">
        <v>1</v>
      </c>
      <c r="AK191">
        <v>1</v>
      </c>
      <c r="AL191" t="s">
        <v>1692</v>
      </c>
      <c r="AM191" t="s">
        <v>375</v>
      </c>
      <c r="AN191" t="s">
        <v>1693</v>
      </c>
      <c r="AO191" t="s">
        <v>1694</v>
      </c>
      <c r="AP191" t="s">
        <v>1695</v>
      </c>
      <c r="AQ191" t="s">
        <v>74</v>
      </c>
      <c r="AR191" t="s">
        <v>1696</v>
      </c>
      <c r="AS191" t="s">
        <v>1697</v>
      </c>
      <c r="AT191" t="s">
        <v>74</v>
      </c>
      <c r="AU191">
        <v>2023</v>
      </c>
      <c r="AV191">
        <v>73</v>
      </c>
      <c r="AW191">
        <v>4</v>
      </c>
      <c r="AX191" t="s">
        <v>74</v>
      </c>
      <c r="AY191" t="s">
        <v>74</v>
      </c>
      <c r="AZ191" t="s">
        <v>74</v>
      </c>
      <c r="BA191" t="s">
        <v>74</v>
      </c>
      <c r="BB191" t="s">
        <v>74</v>
      </c>
      <c r="BC191" t="s">
        <v>74</v>
      </c>
      <c r="BD191">
        <v>5814</v>
      </c>
      <c r="BE191" t="s">
        <v>3654</v>
      </c>
      <c r="BF191" t="str">
        <f>HYPERLINK("http://dx.doi.org/10.1099/ijsem.0.005814","http://dx.doi.org/10.1099/ijsem.0.005814")</f>
        <v>http://dx.doi.org/10.1099/ijsem.0.005814</v>
      </c>
      <c r="BG191" t="s">
        <v>74</v>
      </c>
      <c r="BH191" t="s">
        <v>74</v>
      </c>
      <c r="BI191">
        <v>10</v>
      </c>
      <c r="BJ191" t="s">
        <v>1699</v>
      </c>
      <c r="BK191" t="s">
        <v>104</v>
      </c>
      <c r="BL191" t="s">
        <v>1699</v>
      </c>
      <c r="BM191" t="s">
        <v>3655</v>
      </c>
      <c r="BN191">
        <v>37068122</v>
      </c>
      <c r="BO191" t="s">
        <v>74</v>
      </c>
      <c r="BP191" t="s">
        <v>74</v>
      </c>
      <c r="BQ191" t="s">
        <v>74</v>
      </c>
      <c r="BR191" t="s">
        <v>108</v>
      </c>
      <c r="BS191" t="s">
        <v>3656</v>
      </c>
      <c r="BT191" t="str">
        <f>HYPERLINK("https%3A%2F%2Fwww.webofscience.com%2Fwos%2Fwoscc%2Ffull-record%2FWOS:001049301400011","View Full Record in Web of Science")</f>
        <v>View Full Record in Web of Science</v>
      </c>
    </row>
    <row r="192" spans="1:72" x14ac:dyDescent="0.15">
      <c r="A192" t="s">
        <v>72</v>
      </c>
      <c r="B192" t="s">
        <v>3657</v>
      </c>
      <c r="C192" t="s">
        <v>74</v>
      </c>
      <c r="D192" t="s">
        <v>74</v>
      </c>
      <c r="E192" t="s">
        <v>74</v>
      </c>
      <c r="F192" t="s">
        <v>3658</v>
      </c>
      <c r="G192" t="s">
        <v>74</v>
      </c>
      <c r="H192" t="s">
        <v>74</v>
      </c>
      <c r="I192" t="s">
        <v>3659</v>
      </c>
      <c r="J192" t="s">
        <v>3660</v>
      </c>
      <c r="K192" t="s">
        <v>74</v>
      </c>
      <c r="L192" t="s">
        <v>74</v>
      </c>
      <c r="M192" t="s">
        <v>3661</v>
      </c>
      <c r="N192" t="s">
        <v>869</v>
      </c>
      <c r="O192" t="s">
        <v>74</v>
      </c>
      <c r="P192" t="s">
        <v>74</v>
      </c>
      <c r="Q192" t="s">
        <v>74</v>
      </c>
      <c r="R192" t="s">
        <v>74</v>
      </c>
      <c r="S192" t="s">
        <v>74</v>
      </c>
      <c r="T192" t="s">
        <v>74</v>
      </c>
      <c r="U192" t="s">
        <v>74</v>
      </c>
      <c r="V192" t="s">
        <v>74</v>
      </c>
      <c r="W192" t="s">
        <v>3662</v>
      </c>
      <c r="X192" t="s">
        <v>74</v>
      </c>
      <c r="Y192" t="s">
        <v>3663</v>
      </c>
      <c r="Z192" t="s">
        <v>74</v>
      </c>
      <c r="AA192" t="s">
        <v>74</v>
      </c>
      <c r="AB192" t="s">
        <v>74</v>
      </c>
      <c r="AC192" t="s">
        <v>74</v>
      </c>
      <c r="AD192" t="s">
        <v>74</v>
      </c>
      <c r="AE192" t="s">
        <v>74</v>
      </c>
      <c r="AF192" t="s">
        <v>74</v>
      </c>
      <c r="AG192">
        <v>1</v>
      </c>
      <c r="AH192">
        <v>0</v>
      </c>
      <c r="AI192">
        <v>0</v>
      </c>
      <c r="AJ192">
        <v>1</v>
      </c>
      <c r="AK192">
        <v>1</v>
      </c>
      <c r="AL192" t="s">
        <v>3664</v>
      </c>
      <c r="AM192" t="s">
        <v>3665</v>
      </c>
      <c r="AN192" t="s">
        <v>3666</v>
      </c>
      <c r="AO192" t="s">
        <v>3667</v>
      </c>
      <c r="AP192" t="s">
        <v>3668</v>
      </c>
      <c r="AQ192" t="s">
        <v>74</v>
      </c>
      <c r="AR192" t="s">
        <v>3660</v>
      </c>
      <c r="AS192" t="s">
        <v>3669</v>
      </c>
      <c r="AT192" t="s">
        <v>74</v>
      </c>
      <c r="AU192">
        <v>2023</v>
      </c>
      <c r="AV192">
        <v>23</v>
      </c>
      <c r="AW192" t="s">
        <v>74</v>
      </c>
      <c r="AX192" t="s">
        <v>74</v>
      </c>
      <c r="AY192" t="s">
        <v>74</v>
      </c>
      <c r="AZ192" t="s">
        <v>74</v>
      </c>
      <c r="BA192" t="s">
        <v>74</v>
      </c>
      <c r="BB192" t="s">
        <v>74</v>
      </c>
      <c r="BC192" t="s">
        <v>74</v>
      </c>
      <c r="BD192">
        <v>14231</v>
      </c>
      <c r="BE192" t="s">
        <v>3670</v>
      </c>
      <c r="BF192" t="str">
        <f>HYPERLINK("http://dx.doi.org/10.4000/bresils.14231","http://dx.doi.org/10.4000/bresils.14231")</f>
        <v>http://dx.doi.org/10.4000/bresils.14231</v>
      </c>
      <c r="BG192" t="s">
        <v>74</v>
      </c>
      <c r="BH192" t="s">
        <v>74</v>
      </c>
      <c r="BI192">
        <v>6</v>
      </c>
      <c r="BJ192" t="s">
        <v>3671</v>
      </c>
      <c r="BK192" t="s">
        <v>757</v>
      </c>
      <c r="BL192" t="s">
        <v>3671</v>
      </c>
      <c r="BM192" t="s">
        <v>3672</v>
      </c>
      <c r="BN192" t="s">
        <v>74</v>
      </c>
      <c r="BO192" t="s">
        <v>165</v>
      </c>
      <c r="BP192" t="s">
        <v>74</v>
      </c>
      <c r="BQ192" t="s">
        <v>74</v>
      </c>
      <c r="BR192" t="s">
        <v>108</v>
      </c>
      <c r="BS192" t="s">
        <v>3673</v>
      </c>
      <c r="BT192" t="str">
        <f>HYPERLINK("https%3A%2F%2Fwww.webofscience.com%2Fwos%2Fwoscc%2Ffull-record%2FWOS:001027576800008","View Full Record in Web of Science")</f>
        <v>View Full Record in Web of Science</v>
      </c>
    </row>
    <row r="193" spans="1:72" x14ac:dyDescent="0.15">
      <c r="A193" t="s">
        <v>72</v>
      </c>
      <c r="B193" t="s">
        <v>3674</v>
      </c>
      <c r="C193" t="s">
        <v>74</v>
      </c>
      <c r="D193" t="s">
        <v>74</v>
      </c>
      <c r="E193" t="s">
        <v>74</v>
      </c>
      <c r="F193" t="s">
        <v>3675</v>
      </c>
      <c r="G193" t="s">
        <v>74</v>
      </c>
      <c r="H193" t="s">
        <v>74</v>
      </c>
      <c r="I193" t="s">
        <v>3676</v>
      </c>
      <c r="J193" t="s">
        <v>2100</v>
      </c>
      <c r="K193" t="s">
        <v>74</v>
      </c>
      <c r="L193" t="s">
        <v>74</v>
      </c>
      <c r="M193" t="s">
        <v>78</v>
      </c>
      <c r="N193" t="s">
        <v>79</v>
      </c>
      <c r="O193" t="s">
        <v>74</v>
      </c>
      <c r="P193" t="s">
        <v>74</v>
      </c>
      <c r="Q193" t="s">
        <v>74</v>
      </c>
      <c r="R193" t="s">
        <v>74</v>
      </c>
      <c r="S193" t="s">
        <v>74</v>
      </c>
      <c r="T193" t="s">
        <v>3677</v>
      </c>
      <c r="U193" t="s">
        <v>3678</v>
      </c>
      <c r="V193" t="s">
        <v>3679</v>
      </c>
      <c r="W193" t="s">
        <v>3680</v>
      </c>
      <c r="X193" t="s">
        <v>3681</v>
      </c>
      <c r="Y193" t="s">
        <v>3682</v>
      </c>
      <c r="Z193" t="s">
        <v>3683</v>
      </c>
      <c r="AA193" t="s">
        <v>3684</v>
      </c>
      <c r="AB193" t="s">
        <v>3685</v>
      </c>
      <c r="AC193" t="s">
        <v>3686</v>
      </c>
      <c r="AD193" t="s">
        <v>3687</v>
      </c>
      <c r="AE193" t="s">
        <v>3688</v>
      </c>
      <c r="AF193" t="s">
        <v>74</v>
      </c>
      <c r="AG193">
        <v>34</v>
      </c>
      <c r="AH193">
        <v>1</v>
      </c>
      <c r="AI193">
        <v>1</v>
      </c>
      <c r="AJ193">
        <v>1</v>
      </c>
      <c r="AK193">
        <v>2</v>
      </c>
      <c r="AL193" t="s">
        <v>1743</v>
      </c>
      <c r="AM193" t="s">
        <v>1744</v>
      </c>
      <c r="AN193" t="s">
        <v>1745</v>
      </c>
      <c r="AO193" t="s">
        <v>2109</v>
      </c>
      <c r="AP193" t="s">
        <v>2110</v>
      </c>
      <c r="AQ193" t="s">
        <v>74</v>
      </c>
      <c r="AR193" t="s">
        <v>2111</v>
      </c>
      <c r="AS193" t="s">
        <v>2112</v>
      </c>
      <c r="AT193" t="s">
        <v>74</v>
      </c>
      <c r="AU193">
        <v>2023</v>
      </c>
      <c r="AV193">
        <v>16</v>
      </c>
      <c r="AW193" t="s">
        <v>74</v>
      </c>
      <c r="AX193" t="s">
        <v>74</v>
      </c>
      <c r="AY193" t="s">
        <v>74</v>
      </c>
      <c r="AZ193" t="s">
        <v>74</v>
      </c>
      <c r="BA193" t="s">
        <v>74</v>
      </c>
      <c r="BB193">
        <v>7315</v>
      </c>
      <c r="BC193">
        <v>7326</v>
      </c>
      <c r="BD193" t="s">
        <v>74</v>
      </c>
      <c r="BE193" t="s">
        <v>3689</v>
      </c>
      <c r="BF193" t="str">
        <f>HYPERLINK("http://dx.doi.org/10.1109/JSTARS.2023.3292620","http://dx.doi.org/10.1109/JSTARS.2023.3292620")</f>
        <v>http://dx.doi.org/10.1109/JSTARS.2023.3292620</v>
      </c>
      <c r="BG193" t="s">
        <v>74</v>
      </c>
      <c r="BH193" t="s">
        <v>74</v>
      </c>
      <c r="BI193">
        <v>12</v>
      </c>
      <c r="BJ193" t="s">
        <v>2114</v>
      </c>
      <c r="BK193" t="s">
        <v>104</v>
      </c>
      <c r="BL193" t="s">
        <v>2115</v>
      </c>
      <c r="BM193" t="s">
        <v>3690</v>
      </c>
      <c r="BN193" t="s">
        <v>74</v>
      </c>
      <c r="BO193" t="s">
        <v>165</v>
      </c>
      <c r="BP193" t="s">
        <v>74</v>
      </c>
      <c r="BQ193" t="s">
        <v>74</v>
      </c>
      <c r="BR193" t="s">
        <v>108</v>
      </c>
      <c r="BS193" t="s">
        <v>3691</v>
      </c>
      <c r="BT193" t="str">
        <f>HYPERLINK("https%3A%2F%2Fwww.webofscience.com%2Fwos%2Fwoscc%2Ffull-record%2FWOS:001047357400007","View Full Record in Web of Science")</f>
        <v>View Full Record in Web of Science</v>
      </c>
    </row>
    <row r="194" spans="1:72" x14ac:dyDescent="0.15">
      <c r="A194" t="s">
        <v>72</v>
      </c>
      <c r="B194" t="s">
        <v>3692</v>
      </c>
      <c r="C194" t="s">
        <v>74</v>
      </c>
      <c r="D194" t="s">
        <v>74</v>
      </c>
      <c r="E194" t="s">
        <v>74</v>
      </c>
      <c r="F194" t="s">
        <v>3693</v>
      </c>
      <c r="G194" t="s">
        <v>74</v>
      </c>
      <c r="H194" t="s">
        <v>74</v>
      </c>
      <c r="I194" t="s">
        <v>3694</v>
      </c>
      <c r="J194" t="s">
        <v>1732</v>
      </c>
      <c r="K194" t="s">
        <v>74</v>
      </c>
      <c r="L194" t="s">
        <v>74</v>
      </c>
      <c r="M194" t="s">
        <v>78</v>
      </c>
      <c r="N194" t="s">
        <v>79</v>
      </c>
      <c r="O194" t="s">
        <v>74</v>
      </c>
      <c r="P194" t="s">
        <v>74</v>
      </c>
      <c r="Q194" t="s">
        <v>74</v>
      </c>
      <c r="R194" t="s">
        <v>74</v>
      </c>
      <c r="S194" t="s">
        <v>74</v>
      </c>
      <c r="T194" t="s">
        <v>3695</v>
      </c>
      <c r="U194" t="s">
        <v>3696</v>
      </c>
      <c r="V194" t="s">
        <v>3697</v>
      </c>
      <c r="W194" t="s">
        <v>3698</v>
      </c>
      <c r="X194" t="s">
        <v>3699</v>
      </c>
      <c r="Y194" t="s">
        <v>3700</v>
      </c>
      <c r="Z194" t="s">
        <v>3701</v>
      </c>
      <c r="AA194" t="s">
        <v>3702</v>
      </c>
      <c r="AB194" t="s">
        <v>3703</v>
      </c>
      <c r="AC194" t="s">
        <v>3704</v>
      </c>
      <c r="AD194" t="s">
        <v>3705</v>
      </c>
      <c r="AE194" t="s">
        <v>3706</v>
      </c>
      <c r="AF194" t="s">
        <v>74</v>
      </c>
      <c r="AG194">
        <v>45</v>
      </c>
      <c r="AH194">
        <v>0</v>
      </c>
      <c r="AI194">
        <v>0</v>
      </c>
      <c r="AJ194">
        <v>3</v>
      </c>
      <c r="AK194">
        <v>7</v>
      </c>
      <c r="AL194" t="s">
        <v>1743</v>
      </c>
      <c r="AM194" t="s">
        <v>1744</v>
      </c>
      <c r="AN194" t="s">
        <v>1745</v>
      </c>
      <c r="AO194" t="s">
        <v>1746</v>
      </c>
      <c r="AP194" t="s">
        <v>1747</v>
      </c>
      <c r="AQ194" t="s">
        <v>74</v>
      </c>
      <c r="AR194" t="s">
        <v>1748</v>
      </c>
      <c r="AS194" t="s">
        <v>1749</v>
      </c>
      <c r="AT194" t="s">
        <v>74</v>
      </c>
      <c r="AU194">
        <v>2023</v>
      </c>
      <c r="AV194">
        <v>61</v>
      </c>
      <c r="AW194" t="s">
        <v>74</v>
      </c>
      <c r="AX194" t="s">
        <v>74</v>
      </c>
      <c r="AY194" t="s">
        <v>74</v>
      </c>
      <c r="AZ194" t="s">
        <v>74</v>
      </c>
      <c r="BA194" t="s">
        <v>74</v>
      </c>
      <c r="BB194" t="s">
        <v>74</v>
      </c>
      <c r="BC194" t="s">
        <v>74</v>
      </c>
      <c r="BD194">
        <v>5802011</v>
      </c>
      <c r="BE194" t="s">
        <v>3707</v>
      </c>
      <c r="BF194" t="str">
        <f>HYPERLINK("http://dx.doi.org/10.1109/TGRS.2023.3297519","http://dx.doi.org/10.1109/TGRS.2023.3297519")</f>
        <v>http://dx.doi.org/10.1109/TGRS.2023.3297519</v>
      </c>
      <c r="BG194" t="s">
        <v>74</v>
      </c>
      <c r="BH194" t="s">
        <v>74</v>
      </c>
      <c r="BI194">
        <v>11</v>
      </c>
      <c r="BJ194" t="s">
        <v>1751</v>
      </c>
      <c r="BK194" t="s">
        <v>104</v>
      </c>
      <c r="BL194" t="s">
        <v>1752</v>
      </c>
      <c r="BM194" t="s">
        <v>3708</v>
      </c>
      <c r="BN194" t="s">
        <v>74</v>
      </c>
      <c r="BO194" t="s">
        <v>74</v>
      </c>
      <c r="BP194" t="s">
        <v>74</v>
      </c>
      <c r="BQ194" t="s">
        <v>74</v>
      </c>
      <c r="BR194" t="s">
        <v>108</v>
      </c>
      <c r="BS194" t="s">
        <v>3709</v>
      </c>
      <c r="BT194" t="str">
        <f>HYPERLINK("https%3A%2F%2Fwww.webofscience.com%2Fwos%2Fwoscc%2Ffull-record%2FWOS:001043257600019","View Full Record in Web of Science")</f>
        <v>View Full Record in Web of Science</v>
      </c>
    </row>
    <row r="195" spans="1:72" x14ac:dyDescent="0.15">
      <c r="A195" t="s">
        <v>72</v>
      </c>
      <c r="B195" t="s">
        <v>3710</v>
      </c>
      <c r="C195" t="s">
        <v>74</v>
      </c>
      <c r="D195" t="s">
        <v>74</v>
      </c>
      <c r="E195" t="s">
        <v>74</v>
      </c>
      <c r="F195" t="s">
        <v>3711</v>
      </c>
      <c r="G195" t="s">
        <v>74</v>
      </c>
      <c r="H195" t="s">
        <v>74</v>
      </c>
      <c r="I195" t="s">
        <v>3712</v>
      </c>
      <c r="J195" t="s">
        <v>3713</v>
      </c>
      <c r="K195" t="s">
        <v>74</v>
      </c>
      <c r="L195" t="s">
        <v>74</v>
      </c>
      <c r="M195" t="s">
        <v>78</v>
      </c>
      <c r="N195" t="s">
        <v>79</v>
      </c>
      <c r="O195" t="s">
        <v>74</v>
      </c>
      <c r="P195" t="s">
        <v>74</v>
      </c>
      <c r="Q195" t="s">
        <v>74</v>
      </c>
      <c r="R195" t="s">
        <v>74</v>
      </c>
      <c r="S195" t="s">
        <v>74</v>
      </c>
      <c r="T195" t="s">
        <v>3714</v>
      </c>
      <c r="U195" t="s">
        <v>3715</v>
      </c>
      <c r="V195" t="s">
        <v>3716</v>
      </c>
      <c r="W195" t="s">
        <v>3717</v>
      </c>
      <c r="X195" t="s">
        <v>3718</v>
      </c>
      <c r="Y195" t="s">
        <v>3719</v>
      </c>
      <c r="Z195" t="s">
        <v>3720</v>
      </c>
      <c r="AA195" t="s">
        <v>3721</v>
      </c>
      <c r="AB195" t="s">
        <v>3722</v>
      </c>
      <c r="AC195" t="s">
        <v>74</v>
      </c>
      <c r="AD195" t="s">
        <v>74</v>
      </c>
      <c r="AE195" t="s">
        <v>74</v>
      </c>
      <c r="AF195" t="s">
        <v>74</v>
      </c>
      <c r="AG195">
        <v>30</v>
      </c>
      <c r="AH195">
        <v>0</v>
      </c>
      <c r="AI195">
        <v>0</v>
      </c>
      <c r="AJ195">
        <v>1</v>
      </c>
      <c r="AK195">
        <v>6</v>
      </c>
      <c r="AL195" t="s">
        <v>3723</v>
      </c>
      <c r="AM195" t="s">
        <v>3724</v>
      </c>
      <c r="AN195" t="s">
        <v>3725</v>
      </c>
      <c r="AO195" t="s">
        <v>3726</v>
      </c>
      <c r="AP195" t="s">
        <v>74</v>
      </c>
      <c r="AQ195" t="s">
        <v>74</v>
      </c>
      <c r="AR195" t="s">
        <v>3727</v>
      </c>
      <c r="AS195" t="s">
        <v>3728</v>
      </c>
      <c r="AT195" t="s">
        <v>74</v>
      </c>
      <c r="AU195">
        <v>2023</v>
      </c>
      <c r="AV195">
        <v>25</v>
      </c>
      <c r="AW195">
        <v>3</v>
      </c>
      <c r="AX195" t="s">
        <v>74</v>
      </c>
      <c r="AY195" t="s">
        <v>74</v>
      </c>
      <c r="AZ195" t="s">
        <v>74</v>
      </c>
      <c r="BA195" t="s">
        <v>74</v>
      </c>
      <c r="BB195" t="s">
        <v>74</v>
      </c>
      <c r="BC195" t="s">
        <v>74</v>
      </c>
      <c r="BD195">
        <v>169779</v>
      </c>
      <c r="BE195" t="s">
        <v>3729</v>
      </c>
      <c r="BF195" t="str">
        <f>HYPERLINK("http://dx.doi.org/10.17531/ein/169779","http://dx.doi.org/10.17531/ein/169779")</f>
        <v>http://dx.doi.org/10.17531/ein/169779</v>
      </c>
      <c r="BG195" t="s">
        <v>74</v>
      </c>
      <c r="BH195" t="s">
        <v>74</v>
      </c>
      <c r="BI195">
        <v>17</v>
      </c>
      <c r="BJ195" t="s">
        <v>3730</v>
      </c>
      <c r="BK195" t="s">
        <v>104</v>
      </c>
      <c r="BL195" t="s">
        <v>2342</v>
      </c>
      <c r="BM195" t="s">
        <v>3731</v>
      </c>
      <c r="BN195" t="s">
        <v>74</v>
      </c>
      <c r="BO195" t="s">
        <v>165</v>
      </c>
      <c r="BP195" t="s">
        <v>74</v>
      </c>
      <c r="BQ195" t="s">
        <v>74</v>
      </c>
      <c r="BR195" t="s">
        <v>108</v>
      </c>
      <c r="BS195" t="s">
        <v>3732</v>
      </c>
      <c r="BT195" t="str">
        <f>HYPERLINK("https%3A%2F%2Fwww.webofscience.com%2Fwos%2Fwoscc%2Ffull-record%2FWOS:001043541400002","View Full Record in Web of Science")</f>
        <v>View Full Record in Web of Science</v>
      </c>
    </row>
    <row r="196" spans="1:72" x14ac:dyDescent="0.15">
      <c r="A196" t="s">
        <v>943</v>
      </c>
      <c r="B196" t="s">
        <v>3733</v>
      </c>
      <c r="C196" t="s">
        <v>74</v>
      </c>
      <c r="D196" t="s">
        <v>74</v>
      </c>
      <c r="E196" t="s">
        <v>74</v>
      </c>
      <c r="F196" t="s">
        <v>3734</v>
      </c>
      <c r="G196" t="s">
        <v>74</v>
      </c>
      <c r="H196" t="s">
        <v>74</v>
      </c>
      <c r="I196" t="s">
        <v>3735</v>
      </c>
      <c r="J196" t="s">
        <v>3736</v>
      </c>
      <c r="K196" t="s">
        <v>74</v>
      </c>
      <c r="L196" t="s">
        <v>74</v>
      </c>
      <c r="M196" t="s">
        <v>78</v>
      </c>
      <c r="N196" t="s">
        <v>869</v>
      </c>
      <c r="O196" t="s">
        <v>74</v>
      </c>
      <c r="P196" t="s">
        <v>74</v>
      </c>
      <c r="Q196" t="s">
        <v>74</v>
      </c>
      <c r="R196" t="s">
        <v>74</v>
      </c>
      <c r="S196" t="s">
        <v>74</v>
      </c>
      <c r="T196" t="s">
        <v>74</v>
      </c>
      <c r="U196" t="s">
        <v>74</v>
      </c>
      <c r="V196" t="s">
        <v>74</v>
      </c>
      <c r="W196" t="s">
        <v>3737</v>
      </c>
      <c r="X196" t="s">
        <v>3738</v>
      </c>
      <c r="Y196" t="s">
        <v>3739</v>
      </c>
      <c r="Z196" t="s">
        <v>3740</v>
      </c>
      <c r="AA196" t="s">
        <v>74</v>
      </c>
      <c r="AB196" t="s">
        <v>3741</v>
      </c>
      <c r="AC196" t="s">
        <v>74</v>
      </c>
      <c r="AD196" t="s">
        <v>74</v>
      </c>
      <c r="AE196" t="s">
        <v>74</v>
      </c>
      <c r="AF196" t="s">
        <v>74</v>
      </c>
      <c r="AG196">
        <v>5</v>
      </c>
      <c r="AH196">
        <v>0</v>
      </c>
      <c r="AI196">
        <v>0</v>
      </c>
      <c r="AJ196">
        <v>0</v>
      </c>
      <c r="AK196">
        <v>0</v>
      </c>
      <c r="AL196" t="s">
        <v>422</v>
      </c>
      <c r="AM196" t="s">
        <v>208</v>
      </c>
      <c r="AN196" t="s">
        <v>423</v>
      </c>
      <c r="AO196" t="s">
        <v>74</v>
      </c>
      <c r="AP196" t="s">
        <v>3742</v>
      </c>
      <c r="AQ196" t="s">
        <v>74</v>
      </c>
      <c r="AR196" t="s">
        <v>3743</v>
      </c>
      <c r="AS196" t="s">
        <v>3744</v>
      </c>
      <c r="AT196" t="s">
        <v>2592</v>
      </c>
      <c r="AU196">
        <v>2023</v>
      </c>
      <c r="AV196">
        <v>11</v>
      </c>
      <c r="AW196">
        <v>1</v>
      </c>
      <c r="AX196" t="s">
        <v>74</v>
      </c>
      <c r="AY196" t="s">
        <v>74</v>
      </c>
      <c r="AZ196" t="s">
        <v>74</v>
      </c>
      <c r="BA196" t="s">
        <v>74</v>
      </c>
      <c r="BB196">
        <v>244</v>
      </c>
      <c r="BC196">
        <v>245</v>
      </c>
      <c r="BD196" t="s">
        <v>74</v>
      </c>
      <c r="BE196" t="s">
        <v>3745</v>
      </c>
      <c r="BF196" t="str">
        <f>HYPERLINK("http://dx.doi.org/10.1093/emph/eoad022","http://dx.doi.org/10.1093/emph/eoad022")</f>
        <v>http://dx.doi.org/10.1093/emph/eoad022</v>
      </c>
      <c r="BG196" t="s">
        <v>74</v>
      </c>
      <c r="BH196" t="s">
        <v>74</v>
      </c>
      <c r="BI196">
        <v>2</v>
      </c>
      <c r="BJ196" t="s">
        <v>3746</v>
      </c>
      <c r="BK196" t="s">
        <v>104</v>
      </c>
      <c r="BL196" t="s">
        <v>3746</v>
      </c>
      <c r="BM196" t="s">
        <v>3747</v>
      </c>
      <c r="BN196" t="s">
        <v>74</v>
      </c>
      <c r="BO196" t="s">
        <v>3181</v>
      </c>
      <c r="BP196" t="s">
        <v>74</v>
      </c>
      <c r="BQ196" t="s">
        <v>74</v>
      </c>
      <c r="BR196" t="s">
        <v>108</v>
      </c>
      <c r="BS196" t="s">
        <v>3748</v>
      </c>
      <c r="BT196" t="str">
        <f>HYPERLINK("https%3A%2F%2Fwww.webofscience.com%2Fwos%2Fwoscc%2Ffull-record%2FWOS:001041590200001","View Full Record in Web of Science")</f>
        <v>View Full Record in Web of Science</v>
      </c>
    </row>
    <row r="197" spans="1:72" x14ac:dyDescent="0.15">
      <c r="A197" t="s">
        <v>72</v>
      </c>
      <c r="B197" t="s">
        <v>3749</v>
      </c>
      <c r="C197" t="s">
        <v>74</v>
      </c>
      <c r="D197" t="s">
        <v>74</v>
      </c>
      <c r="E197" t="s">
        <v>74</v>
      </c>
      <c r="F197" t="s">
        <v>3750</v>
      </c>
      <c r="G197" t="s">
        <v>74</v>
      </c>
      <c r="H197" t="s">
        <v>74</v>
      </c>
      <c r="I197" t="s">
        <v>3751</v>
      </c>
      <c r="J197" t="s">
        <v>3752</v>
      </c>
      <c r="K197" t="s">
        <v>74</v>
      </c>
      <c r="L197" t="s">
        <v>74</v>
      </c>
      <c r="M197" t="s">
        <v>78</v>
      </c>
      <c r="N197" t="s">
        <v>79</v>
      </c>
      <c r="O197" t="s">
        <v>74</v>
      </c>
      <c r="P197" t="s">
        <v>74</v>
      </c>
      <c r="Q197" t="s">
        <v>74</v>
      </c>
      <c r="R197" t="s">
        <v>74</v>
      </c>
      <c r="S197" t="s">
        <v>74</v>
      </c>
      <c r="T197" t="s">
        <v>3753</v>
      </c>
      <c r="U197" t="s">
        <v>3754</v>
      </c>
      <c r="V197" t="s">
        <v>3755</v>
      </c>
      <c r="W197" t="s">
        <v>3756</v>
      </c>
      <c r="X197" t="s">
        <v>3757</v>
      </c>
      <c r="Y197" t="s">
        <v>3758</v>
      </c>
      <c r="Z197" t="s">
        <v>3759</v>
      </c>
      <c r="AA197" t="s">
        <v>74</v>
      </c>
      <c r="AB197" t="s">
        <v>74</v>
      </c>
      <c r="AC197" t="s">
        <v>74</v>
      </c>
      <c r="AD197" t="s">
        <v>74</v>
      </c>
      <c r="AE197" t="s">
        <v>74</v>
      </c>
      <c r="AF197" t="s">
        <v>74</v>
      </c>
      <c r="AG197">
        <v>23</v>
      </c>
      <c r="AH197">
        <v>0</v>
      </c>
      <c r="AI197">
        <v>0</v>
      </c>
      <c r="AJ197">
        <v>2</v>
      </c>
      <c r="AK197">
        <v>2</v>
      </c>
      <c r="AL197" t="s">
        <v>3760</v>
      </c>
      <c r="AM197" t="s">
        <v>2657</v>
      </c>
      <c r="AN197" t="s">
        <v>3761</v>
      </c>
      <c r="AO197" t="s">
        <v>3762</v>
      </c>
      <c r="AP197" t="s">
        <v>74</v>
      </c>
      <c r="AQ197" t="s">
        <v>74</v>
      </c>
      <c r="AR197" t="s">
        <v>3763</v>
      </c>
      <c r="AS197" t="s">
        <v>3764</v>
      </c>
      <c r="AT197" t="s">
        <v>74</v>
      </c>
      <c r="AU197">
        <v>2023</v>
      </c>
      <c r="AV197">
        <v>31</v>
      </c>
      <c r="AW197">
        <v>1</v>
      </c>
      <c r="AX197" t="s">
        <v>74</v>
      </c>
      <c r="AY197" t="s">
        <v>74</v>
      </c>
      <c r="AZ197" t="s">
        <v>74</v>
      </c>
      <c r="BA197" t="s">
        <v>74</v>
      </c>
      <c r="BB197">
        <v>200</v>
      </c>
      <c r="BC197">
        <v>216</v>
      </c>
      <c r="BD197" t="s">
        <v>74</v>
      </c>
      <c r="BE197" t="s">
        <v>3765</v>
      </c>
      <c r="BF197" t="str">
        <f>HYPERLINK("http://dx.doi.org/10.56415/csjm.v31.11","http://dx.doi.org/10.56415/csjm.v31.11")</f>
        <v>http://dx.doi.org/10.56415/csjm.v31.11</v>
      </c>
      <c r="BG197" t="s">
        <v>74</v>
      </c>
      <c r="BH197" t="s">
        <v>74</v>
      </c>
      <c r="BI197">
        <v>17</v>
      </c>
      <c r="BJ197" t="s">
        <v>3766</v>
      </c>
      <c r="BK197" t="s">
        <v>757</v>
      </c>
      <c r="BL197" t="s">
        <v>1725</v>
      </c>
      <c r="BM197" t="s">
        <v>3767</v>
      </c>
      <c r="BN197" t="s">
        <v>74</v>
      </c>
      <c r="BO197" t="s">
        <v>165</v>
      </c>
      <c r="BP197" t="s">
        <v>74</v>
      </c>
      <c r="BQ197" t="s">
        <v>74</v>
      </c>
      <c r="BR197" t="s">
        <v>108</v>
      </c>
      <c r="BS197" t="s">
        <v>3768</v>
      </c>
      <c r="BT197" t="str">
        <f>HYPERLINK("https%3A%2F%2Fwww.webofscience.com%2Fwos%2Fwoscc%2Ffull-record%2FWOS:001041923100003","View Full Record in Web of Science")</f>
        <v>View Full Record in Web of Science</v>
      </c>
    </row>
    <row r="198" spans="1:72" x14ac:dyDescent="0.15">
      <c r="A198" t="s">
        <v>72</v>
      </c>
      <c r="B198" t="s">
        <v>3769</v>
      </c>
      <c r="C198" t="s">
        <v>74</v>
      </c>
      <c r="D198" t="s">
        <v>74</v>
      </c>
      <c r="E198" t="s">
        <v>74</v>
      </c>
      <c r="F198" t="s">
        <v>3770</v>
      </c>
      <c r="G198" t="s">
        <v>74</v>
      </c>
      <c r="H198" t="s">
        <v>74</v>
      </c>
      <c r="I198" t="s">
        <v>3771</v>
      </c>
      <c r="J198" t="s">
        <v>3772</v>
      </c>
      <c r="K198" t="s">
        <v>74</v>
      </c>
      <c r="L198" t="s">
        <v>74</v>
      </c>
      <c r="M198" t="s">
        <v>3773</v>
      </c>
      <c r="N198" t="s">
        <v>79</v>
      </c>
      <c r="O198" t="s">
        <v>74</v>
      </c>
      <c r="P198" t="s">
        <v>74</v>
      </c>
      <c r="Q198" t="s">
        <v>74</v>
      </c>
      <c r="R198" t="s">
        <v>74</v>
      </c>
      <c r="S198" t="s">
        <v>74</v>
      </c>
      <c r="T198" t="s">
        <v>3774</v>
      </c>
      <c r="U198" t="s">
        <v>3775</v>
      </c>
      <c r="V198" t="s">
        <v>3776</v>
      </c>
      <c r="W198" t="s">
        <v>3777</v>
      </c>
      <c r="X198" t="s">
        <v>3778</v>
      </c>
      <c r="Y198" t="s">
        <v>3779</v>
      </c>
      <c r="Z198" t="s">
        <v>3780</v>
      </c>
      <c r="AA198" t="s">
        <v>3781</v>
      </c>
      <c r="AB198" t="s">
        <v>3782</v>
      </c>
      <c r="AC198" t="s">
        <v>74</v>
      </c>
      <c r="AD198" t="s">
        <v>74</v>
      </c>
      <c r="AE198" t="s">
        <v>74</v>
      </c>
      <c r="AF198" t="s">
        <v>74</v>
      </c>
      <c r="AG198">
        <v>38</v>
      </c>
      <c r="AH198">
        <v>0</v>
      </c>
      <c r="AI198">
        <v>0</v>
      </c>
      <c r="AJ198">
        <v>9</v>
      </c>
      <c r="AK198">
        <v>17</v>
      </c>
      <c r="AL198" t="s">
        <v>3783</v>
      </c>
      <c r="AM198" t="s">
        <v>3784</v>
      </c>
      <c r="AN198" t="s">
        <v>3785</v>
      </c>
      <c r="AO198" t="s">
        <v>3786</v>
      </c>
      <c r="AP198" t="s">
        <v>3787</v>
      </c>
      <c r="AQ198" t="s">
        <v>74</v>
      </c>
      <c r="AR198" t="s">
        <v>3788</v>
      </c>
      <c r="AS198" t="s">
        <v>3789</v>
      </c>
      <c r="AT198" t="s">
        <v>74</v>
      </c>
      <c r="AU198">
        <v>2023</v>
      </c>
      <c r="AV198">
        <v>68</v>
      </c>
      <c r="AW198">
        <v>18</v>
      </c>
      <c r="AX198" t="s">
        <v>74</v>
      </c>
      <c r="AY198" t="s">
        <v>74</v>
      </c>
      <c r="AZ198" t="s">
        <v>74</v>
      </c>
      <c r="BA198" t="s">
        <v>74</v>
      </c>
      <c r="BB198">
        <v>2366</v>
      </c>
      <c r="BC198">
        <v>2375</v>
      </c>
      <c r="BD198" t="s">
        <v>74</v>
      </c>
      <c r="BE198" t="s">
        <v>3790</v>
      </c>
      <c r="BF198" t="str">
        <f>HYPERLINK("http://dx.doi.org/10.1360/TB-2022-1172","http://dx.doi.org/10.1360/TB-2022-1172")</f>
        <v>http://dx.doi.org/10.1360/TB-2022-1172</v>
      </c>
      <c r="BG198" t="s">
        <v>74</v>
      </c>
      <c r="BH198" t="s">
        <v>74</v>
      </c>
      <c r="BI198">
        <v>10</v>
      </c>
      <c r="BJ198" t="s">
        <v>189</v>
      </c>
      <c r="BK198" t="s">
        <v>757</v>
      </c>
      <c r="BL198" t="s">
        <v>190</v>
      </c>
      <c r="BM198" t="s">
        <v>3791</v>
      </c>
      <c r="BN198" t="s">
        <v>74</v>
      </c>
      <c r="BO198" t="s">
        <v>74</v>
      </c>
      <c r="BP198" t="s">
        <v>74</v>
      </c>
      <c r="BQ198" t="s">
        <v>74</v>
      </c>
      <c r="BR198" t="s">
        <v>108</v>
      </c>
      <c r="BS198" t="s">
        <v>3792</v>
      </c>
      <c r="BT198" t="str">
        <f>HYPERLINK("https%3A%2F%2Fwww.webofscience.com%2Fwos%2Fwoscc%2Ffull-record%2FWOS:001025691400008","View Full Record in Web of Science")</f>
        <v>View Full Record in Web of Science</v>
      </c>
    </row>
    <row r="199" spans="1:72" x14ac:dyDescent="0.15">
      <c r="A199" t="s">
        <v>72</v>
      </c>
      <c r="B199" t="s">
        <v>3793</v>
      </c>
      <c r="C199" t="s">
        <v>74</v>
      </c>
      <c r="D199" t="s">
        <v>74</v>
      </c>
      <c r="E199" t="s">
        <v>74</v>
      </c>
      <c r="F199" t="s">
        <v>3794</v>
      </c>
      <c r="G199" t="s">
        <v>74</v>
      </c>
      <c r="H199" t="s">
        <v>74</v>
      </c>
      <c r="I199" t="s">
        <v>3795</v>
      </c>
      <c r="J199" t="s">
        <v>3772</v>
      </c>
      <c r="K199" t="s">
        <v>74</v>
      </c>
      <c r="L199" t="s">
        <v>74</v>
      </c>
      <c r="M199" t="s">
        <v>3796</v>
      </c>
      <c r="N199" t="s">
        <v>743</v>
      </c>
      <c r="O199" t="s">
        <v>74</v>
      </c>
      <c r="P199" t="s">
        <v>74</v>
      </c>
      <c r="Q199" t="s">
        <v>74</v>
      </c>
      <c r="R199" t="s">
        <v>74</v>
      </c>
      <c r="S199" t="s">
        <v>74</v>
      </c>
      <c r="T199" t="s">
        <v>74</v>
      </c>
      <c r="U199" t="s">
        <v>3797</v>
      </c>
      <c r="V199" t="s">
        <v>74</v>
      </c>
      <c r="W199" t="s">
        <v>3798</v>
      </c>
      <c r="X199" t="s">
        <v>3799</v>
      </c>
      <c r="Y199" t="s">
        <v>3800</v>
      </c>
      <c r="Z199" t="s">
        <v>3801</v>
      </c>
      <c r="AA199" t="s">
        <v>3802</v>
      </c>
      <c r="AB199" t="s">
        <v>3803</v>
      </c>
      <c r="AC199" t="s">
        <v>74</v>
      </c>
      <c r="AD199" t="s">
        <v>74</v>
      </c>
      <c r="AE199" t="s">
        <v>74</v>
      </c>
      <c r="AF199" t="s">
        <v>74</v>
      </c>
      <c r="AG199">
        <v>11</v>
      </c>
      <c r="AH199">
        <v>0</v>
      </c>
      <c r="AI199">
        <v>0</v>
      </c>
      <c r="AJ199">
        <v>1</v>
      </c>
      <c r="AK199">
        <v>1</v>
      </c>
      <c r="AL199" t="s">
        <v>3783</v>
      </c>
      <c r="AM199" t="s">
        <v>3784</v>
      </c>
      <c r="AN199" t="s">
        <v>3785</v>
      </c>
      <c r="AO199" t="s">
        <v>3786</v>
      </c>
      <c r="AP199" t="s">
        <v>3787</v>
      </c>
      <c r="AQ199" t="s">
        <v>74</v>
      </c>
      <c r="AR199" t="s">
        <v>3788</v>
      </c>
      <c r="AS199" t="s">
        <v>3789</v>
      </c>
      <c r="AT199" t="s">
        <v>74</v>
      </c>
      <c r="AU199">
        <v>2023</v>
      </c>
      <c r="AV199">
        <v>68</v>
      </c>
      <c r="AW199">
        <v>20</v>
      </c>
      <c r="AX199" t="s">
        <v>74</v>
      </c>
      <c r="AY199" t="s">
        <v>74</v>
      </c>
      <c r="AZ199" t="s">
        <v>74</v>
      </c>
      <c r="BA199" t="s">
        <v>74</v>
      </c>
      <c r="BB199">
        <v>2583</v>
      </c>
      <c r="BC199">
        <v>2585</v>
      </c>
      <c r="BD199" t="s">
        <v>74</v>
      </c>
      <c r="BE199" t="s">
        <v>3804</v>
      </c>
      <c r="BF199" t="str">
        <f>HYPERLINK("http://dx.doi.org/10.1360/TB-2023-0425","http://dx.doi.org/10.1360/TB-2023-0425")</f>
        <v>http://dx.doi.org/10.1360/TB-2023-0425</v>
      </c>
      <c r="BG199" t="s">
        <v>74</v>
      </c>
      <c r="BH199" t="s">
        <v>74</v>
      </c>
      <c r="BI199">
        <v>3</v>
      </c>
      <c r="BJ199" t="s">
        <v>189</v>
      </c>
      <c r="BK199" t="s">
        <v>757</v>
      </c>
      <c r="BL199" t="s">
        <v>190</v>
      </c>
      <c r="BM199" t="s">
        <v>3805</v>
      </c>
      <c r="BN199" t="s">
        <v>74</v>
      </c>
      <c r="BO199" t="s">
        <v>74</v>
      </c>
      <c r="BP199" t="s">
        <v>74</v>
      </c>
      <c r="BQ199" t="s">
        <v>74</v>
      </c>
      <c r="BR199" t="s">
        <v>108</v>
      </c>
      <c r="BS199" t="s">
        <v>3806</v>
      </c>
      <c r="BT199" t="str">
        <f>HYPERLINK("https%3A%2F%2Fwww.webofscience.com%2Fwos%2Fwoscc%2Ffull-record%2FWOS:001037305600006","View Full Record in Web of Science")</f>
        <v>View Full Record in Web of Science</v>
      </c>
    </row>
    <row r="200" spans="1:72" x14ac:dyDescent="0.15">
      <c r="A200" t="s">
        <v>72</v>
      </c>
      <c r="B200" t="s">
        <v>3807</v>
      </c>
      <c r="C200" t="s">
        <v>74</v>
      </c>
      <c r="D200" t="s">
        <v>74</v>
      </c>
      <c r="E200" t="s">
        <v>74</v>
      </c>
      <c r="F200" t="s">
        <v>3808</v>
      </c>
      <c r="G200" t="s">
        <v>74</v>
      </c>
      <c r="H200" t="s">
        <v>74</v>
      </c>
      <c r="I200" t="s">
        <v>3809</v>
      </c>
      <c r="J200" t="s">
        <v>3772</v>
      </c>
      <c r="K200" t="s">
        <v>74</v>
      </c>
      <c r="L200" t="s">
        <v>74</v>
      </c>
      <c r="M200" t="s">
        <v>3796</v>
      </c>
      <c r="N200" t="s">
        <v>743</v>
      </c>
      <c r="O200" t="s">
        <v>74</v>
      </c>
      <c r="P200" t="s">
        <v>74</v>
      </c>
      <c r="Q200" t="s">
        <v>74</v>
      </c>
      <c r="R200" t="s">
        <v>74</v>
      </c>
      <c r="S200" t="s">
        <v>74</v>
      </c>
      <c r="T200" t="s">
        <v>74</v>
      </c>
      <c r="U200" t="s">
        <v>74</v>
      </c>
      <c r="V200" t="s">
        <v>74</v>
      </c>
      <c r="W200" t="s">
        <v>3810</v>
      </c>
      <c r="X200" t="s">
        <v>3811</v>
      </c>
      <c r="Y200" t="s">
        <v>3812</v>
      </c>
      <c r="Z200" t="s">
        <v>3813</v>
      </c>
      <c r="AA200" t="s">
        <v>3814</v>
      </c>
      <c r="AB200" t="s">
        <v>74</v>
      </c>
      <c r="AC200" t="s">
        <v>74</v>
      </c>
      <c r="AD200" t="s">
        <v>74</v>
      </c>
      <c r="AE200" t="s">
        <v>74</v>
      </c>
      <c r="AF200" t="s">
        <v>74</v>
      </c>
      <c r="AG200">
        <v>14</v>
      </c>
      <c r="AH200">
        <v>0</v>
      </c>
      <c r="AI200">
        <v>0</v>
      </c>
      <c r="AJ200">
        <v>4</v>
      </c>
      <c r="AK200">
        <v>5</v>
      </c>
      <c r="AL200" t="s">
        <v>3783</v>
      </c>
      <c r="AM200" t="s">
        <v>3784</v>
      </c>
      <c r="AN200" t="s">
        <v>3785</v>
      </c>
      <c r="AO200" t="s">
        <v>3786</v>
      </c>
      <c r="AP200" t="s">
        <v>3787</v>
      </c>
      <c r="AQ200" t="s">
        <v>74</v>
      </c>
      <c r="AR200" t="s">
        <v>3788</v>
      </c>
      <c r="AS200" t="s">
        <v>3789</v>
      </c>
      <c r="AT200" t="s">
        <v>74</v>
      </c>
      <c r="AU200">
        <v>2023</v>
      </c>
      <c r="AV200">
        <v>68</v>
      </c>
      <c r="AW200">
        <v>16</v>
      </c>
      <c r="AX200" t="s">
        <v>74</v>
      </c>
      <c r="AY200" t="s">
        <v>74</v>
      </c>
      <c r="AZ200" t="s">
        <v>74</v>
      </c>
      <c r="BA200" t="s">
        <v>74</v>
      </c>
      <c r="BB200">
        <v>2010</v>
      </c>
      <c r="BC200">
        <v>2012</v>
      </c>
      <c r="BD200" t="s">
        <v>74</v>
      </c>
      <c r="BE200" t="s">
        <v>3815</v>
      </c>
      <c r="BF200" t="str">
        <f>HYPERLINK("http://dx.doi.org/10.1360/TB-2023-0251","http://dx.doi.org/10.1360/TB-2023-0251")</f>
        <v>http://dx.doi.org/10.1360/TB-2023-0251</v>
      </c>
      <c r="BG200" t="s">
        <v>74</v>
      </c>
      <c r="BH200" t="s">
        <v>74</v>
      </c>
      <c r="BI200">
        <v>3</v>
      </c>
      <c r="BJ200" t="s">
        <v>189</v>
      </c>
      <c r="BK200" t="s">
        <v>757</v>
      </c>
      <c r="BL200" t="s">
        <v>190</v>
      </c>
      <c r="BM200" t="s">
        <v>3816</v>
      </c>
      <c r="BN200" t="s">
        <v>74</v>
      </c>
      <c r="BO200" t="s">
        <v>74</v>
      </c>
      <c r="BP200" t="s">
        <v>74</v>
      </c>
      <c r="BQ200" t="s">
        <v>74</v>
      </c>
      <c r="BR200" t="s">
        <v>108</v>
      </c>
      <c r="BS200" t="s">
        <v>3817</v>
      </c>
      <c r="BT200" t="str">
        <f>HYPERLINK("https%3A%2F%2Fwww.webofscience.com%2Fwos%2Fwoscc%2Ffull-record%2FWOS:001025699900004","View Full Record in Web of Science")</f>
        <v>View Full Record in Web of Science</v>
      </c>
    </row>
    <row r="201" spans="1:72" x14ac:dyDescent="0.15">
      <c r="A201" t="s">
        <v>894</v>
      </c>
      <c r="B201" t="s">
        <v>3818</v>
      </c>
      <c r="C201" t="s">
        <v>74</v>
      </c>
      <c r="D201" t="s">
        <v>74</v>
      </c>
      <c r="E201" t="s">
        <v>1167</v>
      </c>
      <c r="F201" t="s">
        <v>3819</v>
      </c>
      <c r="G201" t="s">
        <v>74</v>
      </c>
      <c r="H201" t="s">
        <v>74</v>
      </c>
      <c r="I201" t="s">
        <v>3820</v>
      </c>
      <c r="J201" t="s">
        <v>3821</v>
      </c>
      <c r="K201" t="s">
        <v>74</v>
      </c>
      <c r="L201" t="s">
        <v>74</v>
      </c>
      <c r="M201" t="s">
        <v>78</v>
      </c>
      <c r="N201" t="s">
        <v>901</v>
      </c>
      <c r="O201" t="s">
        <v>3822</v>
      </c>
      <c r="P201" t="s">
        <v>3823</v>
      </c>
      <c r="Q201" t="s">
        <v>3824</v>
      </c>
      <c r="R201" t="s">
        <v>74</v>
      </c>
      <c r="S201" t="s">
        <v>74</v>
      </c>
      <c r="T201" t="s">
        <v>3825</v>
      </c>
      <c r="U201" t="s">
        <v>74</v>
      </c>
      <c r="V201" t="s">
        <v>3826</v>
      </c>
      <c r="W201" t="s">
        <v>3827</v>
      </c>
      <c r="X201" t="s">
        <v>3828</v>
      </c>
      <c r="Y201" t="s">
        <v>3829</v>
      </c>
      <c r="Z201" t="s">
        <v>3830</v>
      </c>
      <c r="AA201" t="s">
        <v>3831</v>
      </c>
      <c r="AB201" t="s">
        <v>3832</v>
      </c>
      <c r="AC201" t="s">
        <v>3833</v>
      </c>
      <c r="AD201" t="s">
        <v>3834</v>
      </c>
      <c r="AE201" t="s">
        <v>3835</v>
      </c>
      <c r="AF201" t="s">
        <v>74</v>
      </c>
      <c r="AG201">
        <v>11</v>
      </c>
      <c r="AH201">
        <v>0</v>
      </c>
      <c r="AI201">
        <v>0</v>
      </c>
      <c r="AJ201">
        <v>1</v>
      </c>
      <c r="AK201">
        <v>1</v>
      </c>
      <c r="AL201" t="s">
        <v>1167</v>
      </c>
      <c r="AM201" t="s">
        <v>93</v>
      </c>
      <c r="AN201" t="s">
        <v>1180</v>
      </c>
      <c r="AO201" t="s">
        <v>74</v>
      </c>
      <c r="AP201" t="s">
        <v>74</v>
      </c>
      <c r="AQ201" t="s">
        <v>3836</v>
      </c>
      <c r="AR201" t="s">
        <v>74</v>
      </c>
      <c r="AS201" t="s">
        <v>74</v>
      </c>
      <c r="AT201" t="s">
        <v>74</v>
      </c>
      <c r="AU201">
        <v>2023</v>
      </c>
      <c r="AV201" t="s">
        <v>74</v>
      </c>
      <c r="AW201" t="s">
        <v>74</v>
      </c>
      <c r="AX201" t="s">
        <v>74</v>
      </c>
      <c r="AY201" t="s">
        <v>74</v>
      </c>
      <c r="AZ201" t="s">
        <v>74</v>
      </c>
      <c r="BA201" t="s">
        <v>74</v>
      </c>
      <c r="BB201">
        <v>308</v>
      </c>
      <c r="BC201">
        <v>312</v>
      </c>
      <c r="BD201" t="s">
        <v>74</v>
      </c>
      <c r="BE201" t="s">
        <v>3837</v>
      </c>
      <c r="BF201" t="str">
        <f>HYPERLINK("http://dx.doi.org/10.1109/AEEES56888.2023.10114117","http://dx.doi.org/10.1109/AEEES56888.2023.10114117")</f>
        <v>http://dx.doi.org/10.1109/AEEES56888.2023.10114117</v>
      </c>
      <c r="BG201" t="s">
        <v>74</v>
      </c>
      <c r="BH201" t="s">
        <v>74</v>
      </c>
      <c r="BI201">
        <v>5</v>
      </c>
      <c r="BJ201" t="s">
        <v>3838</v>
      </c>
      <c r="BK201" t="s">
        <v>1186</v>
      </c>
      <c r="BL201" t="s">
        <v>2342</v>
      </c>
      <c r="BM201" t="s">
        <v>3839</v>
      </c>
      <c r="BN201" t="s">
        <v>74</v>
      </c>
      <c r="BO201" t="s">
        <v>74</v>
      </c>
      <c r="BP201" t="s">
        <v>74</v>
      </c>
      <c r="BQ201" t="s">
        <v>74</v>
      </c>
      <c r="BR201" t="s">
        <v>108</v>
      </c>
      <c r="BS201" t="s">
        <v>3840</v>
      </c>
      <c r="BT201" t="str">
        <f>HYPERLINK("https%3A%2F%2Fwww.webofscience.com%2Fwos%2Fwoscc%2Ffull-record%2FWOS:001012827700048","View Full Record in Web of Science")</f>
        <v>View Full Record in Web of Science</v>
      </c>
    </row>
    <row r="202" spans="1:72" x14ac:dyDescent="0.15">
      <c r="A202" t="s">
        <v>894</v>
      </c>
      <c r="B202" t="s">
        <v>3841</v>
      </c>
      <c r="C202" t="s">
        <v>74</v>
      </c>
      <c r="D202" t="s">
        <v>3842</v>
      </c>
      <c r="E202" t="s">
        <v>74</v>
      </c>
      <c r="F202" t="s">
        <v>3843</v>
      </c>
      <c r="G202" t="s">
        <v>74</v>
      </c>
      <c r="H202" t="s">
        <v>74</v>
      </c>
      <c r="I202" t="s">
        <v>3844</v>
      </c>
      <c r="J202" t="s">
        <v>3845</v>
      </c>
      <c r="K202" t="s">
        <v>3846</v>
      </c>
      <c r="L202" t="s">
        <v>74</v>
      </c>
      <c r="M202" t="s">
        <v>78</v>
      </c>
      <c r="N202" t="s">
        <v>901</v>
      </c>
      <c r="O202" t="s">
        <v>3847</v>
      </c>
      <c r="P202" t="s">
        <v>3848</v>
      </c>
      <c r="Q202" t="s">
        <v>3849</v>
      </c>
      <c r="R202" t="s">
        <v>74</v>
      </c>
      <c r="S202" t="s">
        <v>3850</v>
      </c>
      <c r="T202" t="s">
        <v>74</v>
      </c>
      <c r="U202" t="s">
        <v>74</v>
      </c>
      <c r="V202" t="s">
        <v>3851</v>
      </c>
      <c r="W202" t="s">
        <v>3852</v>
      </c>
      <c r="X202" t="s">
        <v>3853</v>
      </c>
      <c r="Y202" t="s">
        <v>3854</v>
      </c>
      <c r="Z202" t="s">
        <v>3855</v>
      </c>
      <c r="AA202" t="s">
        <v>74</v>
      </c>
      <c r="AB202" t="s">
        <v>74</v>
      </c>
      <c r="AC202" t="s">
        <v>74</v>
      </c>
      <c r="AD202" t="s">
        <v>74</v>
      </c>
      <c r="AE202" t="s">
        <v>74</v>
      </c>
      <c r="AF202" t="s">
        <v>74</v>
      </c>
      <c r="AG202">
        <v>8</v>
      </c>
      <c r="AH202">
        <v>0</v>
      </c>
      <c r="AI202">
        <v>0</v>
      </c>
      <c r="AJ202">
        <v>1</v>
      </c>
      <c r="AK202">
        <v>3</v>
      </c>
      <c r="AL202" t="s">
        <v>3856</v>
      </c>
      <c r="AM202" t="s">
        <v>3857</v>
      </c>
      <c r="AN202" t="s">
        <v>3858</v>
      </c>
      <c r="AO202" t="s">
        <v>3859</v>
      </c>
      <c r="AP202" t="s">
        <v>74</v>
      </c>
      <c r="AQ202" t="s">
        <v>74</v>
      </c>
      <c r="AR202" t="s">
        <v>3860</v>
      </c>
      <c r="AS202" t="s">
        <v>74</v>
      </c>
      <c r="AT202" t="s">
        <v>74</v>
      </c>
      <c r="AU202">
        <v>2023</v>
      </c>
      <c r="AV202">
        <v>283</v>
      </c>
      <c r="AW202" t="s">
        <v>74</v>
      </c>
      <c r="AX202" t="s">
        <v>74</v>
      </c>
      <c r="AY202" t="s">
        <v>74</v>
      </c>
      <c r="AZ202" t="s">
        <v>74</v>
      </c>
      <c r="BA202" t="s">
        <v>74</v>
      </c>
      <c r="BB202" t="s">
        <v>74</v>
      </c>
      <c r="BC202" t="s">
        <v>74</v>
      </c>
      <c r="BD202">
        <v>6018</v>
      </c>
      <c r="BE202" t="s">
        <v>3861</v>
      </c>
      <c r="BF202" t="str">
        <f>HYPERLINK("http://dx.doi.org/10.1051/epjconf/202328306018","http://dx.doi.org/10.1051/epjconf/202328306018")</f>
        <v>http://dx.doi.org/10.1051/epjconf/202328306018</v>
      </c>
      <c r="BG202" t="s">
        <v>74</v>
      </c>
      <c r="BH202" t="s">
        <v>74</v>
      </c>
      <c r="BI202">
        <v>4</v>
      </c>
      <c r="BJ202" t="s">
        <v>3862</v>
      </c>
      <c r="BK202" t="s">
        <v>1186</v>
      </c>
      <c r="BL202" t="s">
        <v>3863</v>
      </c>
      <c r="BM202" t="s">
        <v>3864</v>
      </c>
      <c r="BN202" t="s">
        <v>74</v>
      </c>
      <c r="BO202" t="s">
        <v>3181</v>
      </c>
      <c r="BP202" t="s">
        <v>74</v>
      </c>
      <c r="BQ202" t="s">
        <v>74</v>
      </c>
      <c r="BR202" t="s">
        <v>108</v>
      </c>
      <c r="BS202" t="s">
        <v>3865</v>
      </c>
      <c r="BT202" t="str">
        <f>HYPERLINK("https%3A%2F%2Fwww.webofscience.com%2Fwos%2Fwoscc%2Ffull-record%2FWOS:001003713300073","View Full Record in Web of Science")</f>
        <v>View Full Record in Web of Science</v>
      </c>
    </row>
    <row r="203" spans="1:72" x14ac:dyDescent="0.15">
      <c r="A203" t="s">
        <v>72</v>
      </c>
      <c r="B203" t="s">
        <v>3866</v>
      </c>
      <c r="C203" t="s">
        <v>74</v>
      </c>
      <c r="D203" t="s">
        <v>74</v>
      </c>
      <c r="E203" t="s">
        <v>74</v>
      </c>
      <c r="F203" t="s">
        <v>3867</v>
      </c>
      <c r="G203" t="s">
        <v>74</v>
      </c>
      <c r="H203" t="s">
        <v>74</v>
      </c>
      <c r="I203" t="s">
        <v>3868</v>
      </c>
      <c r="J203" t="s">
        <v>2100</v>
      </c>
      <c r="K203" t="s">
        <v>74</v>
      </c>
      <c r="L203" t="s">
        <v>74</v>
      </c>
      <c r="M203" t="s">
        <v>78</v>
      </c>
      <c r="N203" t="s">
        <v>79</v>
      </c>
      <c r="O203" t="s">
        <v>74</v>
      </c>
      <c r="P203" t="s">
        <v>74</v>
      </c>
      <c r="Q203" t="s">
        <v>74</v>
      </c>
      <c r="R203" t="s">
        <v>74</v>
      </c>
      <c r="S203" t="s">
        <v>74</v>
      </c>
      <c r="T203" t="s">
        <v>3869</v>
      </c>
      <c r="U203" t="s">
        <v>74</v>
      </c>
      <c r="V203" t="s">
        <v>3870</v>
      </c>
      <c r="W203" t="s">
        <v>3871</v>
      </c>
      <c r="X203" t="s">
        <v>3872</v>
      </c>
      <c r="Y203" t="s">
        <v>3873</v>
      </c>
      <c r="Z203" t="s">
        <v>3874</v>
      </c>
      <c r="AA203" t="s">
        <v>3875</v>
      </c>
      <c r="AB203" t="s">
        <v>3876</v>
      </c>
      <c r="AC203" t="s">
        <v>3877</v>
      </c>
      <c r="AD203" t="s">
        <v>3878</v>
      </c>
      <c r="AE203" t="s">
        <v>3879</v>
      </c>
      <c r="AF203" t="s">
        <v>74</v>
      </c>
      <c r="AG203">
        <v>22</v>
      </c>
      <c r="AH203">
        <v>0</v>
      </c>
      <c r="AI203">
        <v>0</v>
      </c>
      <c r="AJ203">
        <v>5</v>
      </c>
      <c r="AK203">
        <v>10</v>
      </c>
      <c r="AL203" t="s">
        <v>1743</v>
      </c>
      <c r="AM203" t="s">
        <v>1744</v>
      </c>
      <c r="AN203" t="s">
        <v>1745</v>
      </c>
      <c r="AO203" t="s">
        <v>2109</v>
      </c>
      <c r="AP203" t="s">
        <v>2110</v>
      </c>
      <c r="AQ203" t="s">
        <v>74</v>
      </c>
      <c r="AR203" t="s">
        <v>2111</v>
      </c>
      <c r="AS203" t="s">
        <v>2112</v>
      </c>
      <c r="AT203" t="s">
        <v>74</v>
      </c>
      <c r="AU203">
        <v>2023</v>
      </c>
      <c r="AV203">
        <v>16</v>
      </c>
      <c r="AW203" t="s">
        <v>74</v>
      </c>
      <c r="AX203" t="s">
        <v>74</v>
      </c>
      <c r="AY203" t="s">
        <v>74</v>
      </c>
      <c r="AZ203" t="s">
        <v>74</v>
      </c>
      <c r="BA203" t="s">
        <v>74</v>
      </c>
      <c r="BB203">
        <v>5660</v>
      </c>
      <c r="BC203">
        <v>5669</v>
      </c>
      <c r="BD203" t="s">
        <v>74</v>
      </c>
      <c r="BE203" t="s">
        <v>3880</v>
      </c>
      <c r="BF203" t="str">
        <f>HYPERLINK("http://dx.doi.org/10.1109/JSTARS.2023.3281591","http://dx.doi.org/10.1109/JSTARS.2023.3281591")</f>
        <v>http://dx.doi.org/10.1109/JSTARS.2023.3281591</v>
      </c>
      <c r="BG203" t="s">
        <v>74</v>
      </c>
      <c r="BH203" t="s">
        <v>74</v>
      </c>
      <c r="BI203">
        <v>10</v>
      </c>
      <c r="BJ203" t="s">
        <v>2114</v>
      </c>
      <c r="BK203" t="s">
        <v>104</v>
      </c>
      <c r="BL203" t="s">
        <v>2115</v>
      </c>
      <c r="BM203" t="s">
        <v>3881</v>
      </c>
      <c r="BN203" t="s">
        <v>74</v>
      </c>
      <c r="BO203" t="s">
        <v>165</v>
      </c>
      <c r="BP203" t="s">
        <v>74</v>
      </c>
      <c r="BQ203" t="s">
        <v>74</v>
      </c>
      <c r="BR203" t="s">
        <v>108</v>
      </c>
      <c r="BS203" t="s">
        <v>3882</v>
      </c>
      <c r="BT203" t="str">
        <f>HYPERLINK("https%3A%2F%2Fwww.webofscience.com%2Fwos%2Fwoscc%2Ffull-record%2FWOS:001022072400004","View Full Record in Web of Science")</f>
        <v>View Full Record in Web of Science</v>
      </c>
    </row>
    <row r="204" spans="1:72" x14ac:dyDescent="0.15">
      <c r="A204" t="s">
        <v>72</v>
      </c>
      <c r="B204" t="s">
        <v>3883</v>
      </c>
      <c r="C204" t="s">
        <v>74</v>
      </c>
      <c r="D204" t="s">
        <v>74</v>
      </c>
      <c r="E204" t="s">
        <v>74</v>
      </c>
      <c r="F204" t="s">
        <v>3884</v>
      </c>
      <c r="G204" t="s">
        <v>74</v>
      </c>
      <c r="H204" t="s">
        <v>74</v>
      </c>
      <c r="I204" t="s">
        <v>3885</v>
      </c>
      <c r="J204" t="s">
        <v>3886</v>
      </c>
      <c r="K204" t="s">
        <v>74</v>
      </c>
      <c r="L204" t="s">
        <v>74</v>
      </c>
      <c r="M204" t="s">
        <v>78</v>
      </c>
      <c r="N204" t="s">
        <v>79</v>
      </c>
      <c r="O204" t="s">
        <v>74</v>
      </c>
      <c r="P204" t="s">
        <v>74</v>
      </c>
      <c r="Q204" t="s">
        <v>74</v>
      </c>
      <c r="R204" t="s">
        <v>74</v>
      </c>
      <c r="S204" t="s">
        <v>74</v>
      </c>
      <c r="T204" t="s">
        <v>3887</v>
      </c>
      <c r="U204" t="s">
        <v>3888</v>
      </c>
      <c r="V204" t="s">
        <v>3889</v>
      </c>
      <c r="W204" t="s">
        <v>3890</v>
      </c>
      <c r="X204" t="s">
        <v>2072</v>
      </c>
      <c r="Y204" t="s">
        <v>3891</v>
      </c>
      <c r="Z204" t="s">
        <v>3892</v>
      </c>
      <c r="AA204" t="s">
        <v>3893</v>
      </c>
      <c r="AB204" t="s">
        <v>3894</v>
      </c>
      <c r="AC204" t="s">
        <v>3895</v>
      </c>
      <c r="AD204" t="s">
        <v>1413</v>
      </c>
      <c r="AE204" t="s">
        <v>3896</v>
      </c>
      <c r="AF204" t="s">
        <v>74</v>
      </c>
      <c r="AG204">
        <v>16</v>
      </c>
      <c r="AH204">
        <v>0</v>
      </c>
      <c r="AI204">
        <v>0</v>
      </c>
      <c r="AJ204">
        <v>0</v>
      </c>
      <c r="AK204">
        <v>0</v>
      </c>
      <c r="AL204" t="s">
        <v>3897</v>
      </c>
      <c r="AM204" t="s">
        <v>3898</v>
      </c>
      <c r="AN204" t="s">
        <v>3899</v>
      </c>
      <c r="AO204" t="s">
        <v>3900</v>
      </c>
      <c r="AP204" t="s">
        <v>74</v>
      </c>
      <c r="AQ204" t="s">
        <v>74</v>
      </c>
      <c r="AR204" t="s">
        <v>3901</v>
      </c>
      <c r="AS204" t="s">
        <v>3902</v>
      </c>
      <c r="AT204" t="s">
        <v>74</v>
      </c>
      <c r="AU204">
        <v>2023</v>
      </c>
      <c r="AV204">
        <v>9</v>
      </c>
      <c r="AW204">
        <v>2</v>
      </c>
      <c r="AX204" t="s">
        <v>74</v>
      </c>
      <c r="AY204" t="s">
        <v>74</v>
      </c>
      <c r="AZ204" t="s">
        <v>74</v>
      </c>
      <c r="BA204" t="s">
        <v>74</v>
      </c>
      <c r="BB204">
        <v>94</v>
      </c>
      <c r="BC204">
        <v>102</v>
      </c>
      <c r="BD204" t="s">
        <v>74</v>
      </c>
      <c r="BE204" t="s">
        <v>3903</v>
      </c>
      <c r="BF204" t="str">
        <f>HYPERLINK("http://dx.doi.org/10.12737/stp-92202312","http://dx.doi.org/10.12737/stp-92202312")</f>
        <v>http://dx.doi.org/10.12737/stp-92202312</v>
      </c>
      <c r="BG204" t="s">
        <v>74</v>
      </c>
      <c r="BH204" t="s">
        <v>74</v>
      </c>
      <c r="BI204">
        <v>9</v>
      </c>
      <c r="BJ204" t="s">
        <v>430</v>
      </c>
      <c r="BK204" t="s">
        <v>757</v>
      </c>
      <c r="BL204" t="s">
        <v>430</v>
      </c>
      <c r="BM204" t="s">
        <v>3904</v>
      </c>
      <c r="BN204" t="s">
        <v>74</v>
      </c>
      <c r="BO204" t="s">
        <v>165</v>
      </c>
      <c r="BP204" t="s">
        <v>74</v>
      </c>
      <c r="BQ204" t="s">
        <v>74</v>
      </c>
      <c r="BR204" t="s">
        <v>108</v>
      </c>
      <c r="BS204" t="s">
        <v>3905</v>
      </c>
      <c r="BT204" t="str">
        <f>HYPERLINK("https%3A%2F%2Fwww.webofscience.com%2Fwos%2Fwoscc%2Ffull-record%2FWOS:001025463900012","View Full Record in Web of Science")</f>
        <v>View Full Record in Web of Science</v>
      </c>
    </row>
    <row r="205" spans="1:72" x14ac:dyDescent="0.15">
      <c r="A205" t="s">
        <v>72</v>
      </c>
      <c r="B205" t="s">
        <v>3906</v>
      </c>
      <c r="C205" t="s">
        <v>74</v>
      </c>
      <c r="D205" t="s">
        <v>74</v>
      </c>
      <c r="E205" t="s">
        <v>74</v>
      </c>
      <c r="F205" t="s">
        <v>3907</v>
      </c>
      <c r="G205" t="s">
        <v>74</v>
      </c>
      <c r="H205" t="s">
        <v>74</v>
      </c>
      <c r="I205" t="s">
        <v>3908</v>
      </c>
      <c r="J205" t="s">
        <v>2528</v>
      </c>
      <c r="K205" t="s">
        <v>74</v>
      </c>
      <c r="L205" t="s">
        <v>74</v>
      </c>
      <c r="M205" t="s">
        <v>78</v>
      </c>
      <c r="N205" t="s">
        <v>79</v>
      </c>
      <c r="O205" t="s">
        <v>74</v>
      </c>
      <c r="P205" t="s">
        <v>74</v>
      </c>
      <c r="Q205" t="s">
        <v>74</v>
      </c>
      <c r="R205" t="s">
        <v>74</v>
      </c>
      <c r="S205" t="s">
        <v>74</v>
      </c>
      <c r="T205" t="s">
        <v>3909</v>
      </c>
      <c r="U205" t="s">
        <v>3910</v>
      </c>
      <c r="V205" t="s">
        <v>3911</v>
      </c>
      <c r="W205" t="s">
        <v>3912</v>
      </c>
      <c r="X205" t="s">
        <v>3913</v>
      </c>
      <c r="Y205" t="s">
        <v>3914</v>
      </c>
      <c r="Z205" t="s">
        <v>3915</v>
      </c>
      <c r="AA205" t="s">
        <v>3916</v>
      </c>
      <c r="AB205" t="s">
        <v>3917</v>
      </c>
      <c r="AC205" t="s">
        <v>74</v>
      </c>
      <c r="AD205" t="s">
        <v>74</v>
      </c>
      <c r="AE205" t="s">
        <v>74</v>
      </c>
      <c r="AF205" t="s">
        <v>74</v>
      </c>
      <c r="AG205">
        <v>86</v>
      </c>
      <c r="AH205">
        <v>1</v>
      </c>
      <c r="AI205">
        <v>1</v>
      </c>
      <c r="AJ205">
        <v>2</v>
      </c>
      <c r="AK205">
        <v>7</v>
      </c>
      <c r="AL205" t="s">
        <v>1010</v>
      </c>
      <c r="AM205" t="s">
        <v>1011</v>
      </c>
      <c r="AN205" t="s">
        <v>1012</v>
      </c>
      <c r="AO205" t="s">
        <v>2538</v>
      </c>
      <c r="AP205" t="s">
        <v>2539</v>
      </c>
      <c r="AQ205" t="s">
        <v>74</v>
      </c>
      <c r="AR205" t="s">
        <v>2540</v>
      </c>
      <c r="AS205" t="s">
        <v>2541</v>
      </c>
      <c r="AT205" t="s">
        <v>74</v>
      </c>
      <c r="AU205">
        <v>2023</v>
      </c>
      <c r="AV205">
        <v>37</v>
      </c>
      <c r="AW205">
        <v>7</v>
      </c>
      <c r="AX205" t="s">
        <v>74</v>
      </c>
      <c r="AY205" t="s">
        <v>74</v>
      </c>
      <c r="AZ205" t="s">
        <v>74</v>
      </c>
      <c r="BA205" t="s">
        <v>74</v>
      </c>
      <c r="BB205">
        <v>498</v>
      </c>
      <c r="BC205">
        <v>527</v>
      </c>
      <c r="BD205" t="s">
        <v>74</v>
      </c>
      <c r="BE205" t="s">
        <v>3918</v>
      </c>
      <c r="BF205" t="str">
        <f>HYPERLINK("http://dx.doi.org/10.1071/IS22057","http://dx.doi.org/10.1071/IS22057")</f>
        <v>http://dx.doi.org/10.1071/IS22057</v>
      </c>
      <c r="BG205" t="s">
        <v>74</v>
      </c>
      <c r="BH205" t="s">
        <v>74</v>
      </c>
      <c r="BI205">
        <v>30</v>
      </c>
      <c r="BJ205" t="s">
        <v>2543</v>
      </c>
      <c r="BK205" t="s">
        <v>104</v>
      </c>
      <c r="BL205" t="s">
        <v>2543</v>
      </c>
      <c r="BM205" t="s">
        <v>3919</v>
      </c>
      <c r="BN205" t="s">
        <v>74</v>
      </c>
      <c r="BO205" t="s">
        <v>74</v>
      </c>
      <c r="BP205" t="s">
        <v>74</v>
      </c>
      <c r="BQ205" t="s">
        <v>74</v>
      </c>
      <c r="BR205" t="s">
        <v>108</v>
      </c>
      <c r="BS205" t="s">
        <v>3920</v>
      </c>
      <c r="BT205" t="str">
        <f>HYPERLINK("https%3A%2F%2Fwww.webofscience.com%2Fwos%2Fwoscc%2Ffull-record%2FWOS:001030375300002","View Full Record in Web of Science")</f>
        <v>View Full Record in Web of Science</v>
      </c>
    </row>
    <row r="206" spans="1:72" x14ac:dyDescent="0.15">
      <c r="A206" t="s">
        <v>72</v>
      </c>
      <c r="B206" t="s">
        <v>3921</v>
      </c>
      <c r="C206" t="s">
        <v>74</v>
      </c>
      <c r="D206" t="s">
        <v>74</v>
      </c>
      <c r="E206" t="s">
        <v>74</v>
      </c>
      <c r="F206" t="s">
        <v>3922</v>
      </c>
      <c r="G206" t="s">
        <v>74</v>
      </c>
      <c r="H206" t="s">
        <v>74</v>
      </c>
      <c r="I206" t="s">
        <v>3923</v>
      </c>
      <c r="J206" t="s">
        <v>3924</v>
      </c>
      <c r="K206" t="s">
        <v>74</v>
      </c>
      <c r="L206" t="s">
        <v>74</v>
      </c>
      <c r="M206" t="s">
        <v>78</v>
      </c>
      <c r="N206" t="s">
        <v>256</v>
      </c>
      <c r="O206" t="s">
        <v>74</v>
      </c>
      <c r="P206" t="s">
        <v>74</v>
      </c>
      <c r="Q206" t="s">
        <v>74</v>
      </c>
      <c r="R206" t="s">
        <v>74</v>
      </c>
      <c r="S206" t="s">
        <v>74</v>
      </c>
      <c r="T206" t="s">
        <v>3925</v>
      </c>
      <c r="U206" t="s">
        <v>74</v>
      </c>
      <c r="V206" t="s">
        <v>3926</v>
      </c>
      <c r="W206" t="s">
        <v>3927</v>
      </c>
      <c r="X206" t="s">
        <v>74</v>
      </c>
      <c r="Y206" t="s">
        <v>3928</v>
      </c>
      <c r="Z206" t="s">
        <v>3929</v>
      </c>
      <c r="AA206" t="s">
        <v>3930</v>
      </c>
      <c r="AB206" t="s">
        <v>3931</v>
      </c>
      <c r="AC206" t="s">
        <v>74</v>
      </c>
      <c r="AD206" t="s">
        <v>74</v>
      </c>
      <c r="AE206" t="s">
        <v>74</v>
      </c>
      <c r="AF206" t="s">
        <v>74</v>
      </c>
      <c r="AG206">
        <v>14</v>
      </c>
      <c r="AH206">
        <v>0</v>
      </c>
      <c r="AI206">
        <v>0</v>
      </c>
      <c r="AJ206">
        <v>20</v>
      </c>
      <c r="AK206">
        <v>27</v>
      </c>
      <c r="AL206" t="s">
        <v>3012</v>
      </c>
      <c r="AM206" t="s">
        <v>238</v>
      </c>
      <c r="AN206" t="s">
        <v>3013</v>
      </c>
      <c r="AO206" t="s">
        <v>3932</v>
      </c>
      <c r="AP206" t="s">
        <v>3933</v>
      </c>
      <c r="AQ206" t="s">
        <v>74</v>
      </c>
      <c r="AR206" t="s">
        <v>3934</v>
      </c>
      <c r="AS206" t="s">
        <v>3935</v>
      </c>
      <c r="AT206" t="s">
        <v>74</v>
      </c>
      <c r="AU206">
        <v>2023</v>
      </c>
      <c r="AV206">
        <v>9</v>
      </c>
      <c r="AW206">
        <v>2</v>
      </c>
      <c r="AX206" t="s">
        <v>74</v>
      </c>
      <c r="AY206" t="s">
        <v>74</v>
      </c>
      <c r="AZ206" t="s">
        <v>74</v>
      </c>
      <c r="BA206" t="s">
        <v>74</v>
      </c>
      <c r="BB206">
        <v>11</v>
      </c>
      <c r="BC206">
        <v>15</v>
      </c>
      <c r="BD206" t="s">
        <v>74</v>
      </c>
      <c r="BE206" t="s">
        <v>3936</v>
      </c>
      <c r="BF206" t="str">
        <f>HYPERLINK("http://dx.doi.org/10.3233/JCC230011","http://dx.doi.org/10.3233/JCC230011")</f>
        <v>http://dx.doi.org/10.3233/JCC230011</v>
      </c>
      <c r="BG206" t="s">
        <v>74</v>
      </c>
      <c r="BH206" t="s">
        <v>74</v>
      </c>
      <c r="BI206">
        <v>5</v>
      </c>
      <c r="BJ206" t="s">
        <v>532</v>
      </c>
      <c r="BK206" t="s">
        <v>757</v>
      </c>
      <c r="BL206" t="s">
        <v>532</v>
      </c>
      <c r="BM206" t="s">
        <v>3937</v>
      </c>
      <c r="BN206" t="s">
        <v>74</v>
      </c>
      <c r="BO206" t="s">
        <v>74</v>
      </c>
      <c r="BP206" t="s">
        <v>74</v>
      </c>
      <c r="BQ206" t="s">
        <v>74</v>
      </c>
      <c r="BR206" t="s">
        <v>108</v>
      </c>
      <c r="BS206" t="s">
        <v>3938</v>
      </c>
      <c r="BT206" t="str">
        <f>HYPERLINK("https%3A%2F%2Fwww.webofscience.com%2Fwos%2Fwoscc%2Ffull-record%2FWOS:001011253600003","View Full Record in Web of Science")</f>
        <v>View Full Record in Web of Science</v>
      </c>
    </row>
    <row r="207" spans="1:72" x14ac:dyDescent="0.15">
      <c r="A207" t="s">
        <v>72</v>
      </c>
      <c r="B207" t="s">
        <v>3939</v>
      </c>
      <c r="C207" t="s">
        <v>74</v>
      </c>
      <c r="D207" t="s">
        <v>74</v>
      </c>
      <c r="E207" t="s">
        <v>74</v>
      </c>
      <c r="F207" t="s">
        <v>3940</v>
      </c>
      <c r="G207" t="s">
        <v>74</v>
      </c>
      <c r="H207" t="s">
        <v>74</v>
      </c>
      <c r="I207" t="s">
        <v>3941</v>
      </c>
      <c r="J207" t="s">
        <v>3942</v>
      </c>
      <c r="K207" t="s">
        <v>74</v>
      </c>
      <c r="L207" t="s">
        <v>74</v>
      </c>
      <c r="M207" t="s">
        <v>78</v>
      </c>
      <c r="N207" t="s">
        <v>79</v>
      </c>
      <c r="O207" t="s">
        <v>74</v>
      </c>
      <c r="P207" t="s">
        <v>74</v>
      </c>
      <c r="Q207" t="s">
        <v>74</v>
      </c>
      <c r="R207" t="s">
        <v>74</v>
      </c>
      <c r="S207" t="s">
        <v>74</v>
      </c>
      <c r="T207" t="s">
        <v>3943</v>
      </c>
      <c r="U207" t="s">
        <v>74</v>
      </c>
      <c r="V207" t="s">
        <v>3944</v>
      </c>
      <c r="W207" t="s">
        <v>3945</v>
      </c>
      <c r="X207" t="s">
        <v>3946</v>
      </c>
      <c r="Y207" t="s">
        <v>3947</v>
      </c>
      <c r="Z207" t="s">
        <v>3948</v>
      </c>
      <c r="AA207" t="s">
        <v>74</v>
      </c>
      <c r="AB207" t="s">
        <v>74</v>
      </c>
      <c r="AC207" t="s">
        <v>74</v>
      </c>
      <c r="AD207" t="s">
        <v>74</v>
      </c>
      <c r="AE207" t="s">
        <v>74</v>
      </c>
      <c r="AF207" t="s">
        <v>74</v>
      </c>
      <c r="AG207">
        <v>5</v>
      </c>
      <c r="AH207">
        <v>0</v>
      </c>
      <c r="AI207">
        <v>0</v>
      </c>
      <c r="AJ207">
        <v>2</v>
      </c>
      <c r="AK207">
        <v>2</v>
      </c>
      <c r="AL207" t="s">
        <v>3949</v>
      </c>
      <c r="AM207" t="s">
        <v>2335</v>
      </c>
      <c r="AN207" t="s">
        <v>3950</v>
      </c>
      <c r="AO207" t="s">
        <v>3951</v>
      </c>
      <c r="AP207" t="s">
        <v>74</v>
      </c>
      <c r="AQ207" t="s">
        <v>74</v>
      </c>
      <c r="AR207" t="s">
        <v>3952</v>
      </c>
      <c r="AS207" t="s">
        <v>3953</v>
      </c>
      <c r="AT207" t="s">
        <v>74</v>
      </c>
      <c r="AU207">
        <v>2023</v>
      </c>
      <c r="AV207">
        <v>16</v>
      </c>
      <c r="AW207">
        <v>1</v>
      </c>
      <c r="AX207">
        <v>2</v>
      </c>
      <c r="AY207" t="s">
        <v>74</v>
      </c>
      <c r="AZ207" t="s">
        <v>74</v>
      </c>
      <c r="BA207" t="s">
        <v>74</v>
      </c>
      <c r="BB207">
        <v>505</v>
      </c>
      <c r="BC207">
        <v>510</v>
      </c>
      <c r="BD207" t="s">
        <v>74</v>
      </c>
      <c r="BE207" t="s">
        <v>3954</v>
      </c>
      <c r="BF207" t="str">
        <f>HYPERLINK("http://dx.doi.org/10.18721/JPM.161.277","http://dx.doi.org/10.18721/JPM.161.277")</f>
        <v>http://dx.doi.org/10.18721/JPM.161.277</v>
      </c>
      <c r="BG207" t="s">
        <v>74</v>
      </c>
      <c r="BH207" t="s">
        <v>74</v>
      </c>
      <c r="BI207">
        <v>6</v>
      </c>
      <c r="BJ207" t="s">
        <v>162</v>
      </c>
      <c r="BK207" t="s">
        <v>757</v>
      </c>
      <c r="BL207" t="s">
        <v>163</v>
      </c>
      <c r="BM207" t="s">
        <v>3955</v>
      </c>
      <c r="BN207" t="s">
        <v>74</v>
      </c>
      <c r="BO207" t="s">
        <v>74</v>
      </c>
      <c r="BP207" t="s">
        <v>74</v>
      </c>
      <c r="BQ207" t="s">
        <v>74</v>
      </c>
      <c r="BR207" t="s">
        <v>108</v>
      </c>
      <c r="BS207" t="s">
        <v>3956</v>
      </c>
      <c r="BT207" t="str">
        <f>HYPERLINK("https%3A%2F%2Fwww.webofscience.com%2Fwos%2Fwoscc%2Ffull-record%2FWOS:001019741300003","View Full Record in Web of Science")</f>
        <v>View Full Record in Web of Science</v>
      </c>
    </row>
    <row r="208" spans="1:72" x14ac:dyDescent="0.15">
      <c r="A208" t="s">
        <v>72</v>
      </c>
      <c r="B208" t="s">
        <v>3883</v>
      </c>
      <c r="C208" t="s">
        <v>74</v>
      </c>
      <c r="D208" t="s">
        <v>74</v>
      </c>
      <c r="E208" t="s">
        <v>74</v>
      </c>
      <c r="F208" t="s">
        <v>3884</v>
      </c>
      <c r="G208" t="s">
        <v>74</v>
      </c>
      <c r="H208" t="s">
        <v>74</v>
      </c>
      <c r="I208" t="s">
        <v>3957</v>
      </c>
      <c r="J208" t="s">
        <v>3886</v>
      </c>
      <c r="K208" t="s">
        <v>74</v>
      </c>
      <c r="L208" t="s">
        <v>74</v>
      </c>
      <c r="M208" t="s">
        <v>78</v>
      </c>
      <c r="N208" t="s">
        <v>79</v>
      </c>
      <c r="O208" t="s">
        <v>74</v>
      </c>
      <c r="P208" t="s">
        <v>74</v>
      </c>
      <c r="Q208" t="s">
        <v>74</v>
      </c>
      <c r="R208" t="s">
        <v>74</v>
      </c>
      <c r="S208" t="s">
        <v>74</v>
      </c>
      <c r="T208" t="s">
        <v>3958</v>
      </c>
      <c r="U208" t="s">
        <v>3959</v>
      </c>
      <c r="V208" t="s">
        <v>3960</v>
      </c>
      <c r="W208" t="s">
        <v>3890</v>
      </c>
      <c r="X208" t="s">
        <v>2072</v>
      </c>
      <c r="Y208" t="s">
        <v>3891</v>
      </c>
      <c r="Z208" t="s">
        <v>3961</v>
      </c>
      <c r="AA208" t="s">
        <v>3893</v>
      </c>
      <c r="AB208" t="s">
        <v>3894</v>
      </c>
      <c r="AC208" t="s">
        <v>3895</v>
      </c>
      <c r="AD208" t="s">
        <v>1413</v>
      </c>
      <c r="AE208" t="s">
        <v>3962</v>
      </c>
      <c r="AF208" t="s">
        <v>74</v>
      </c>
      <c r="AG208">
        <v>41</v>
      </c>
      <c r="AH208">
        <v>1</v>
      </c>
      <c r="AI208">
        <v>1</v>
      </c>
      <c r="AJ208">
        <v>0</v>
      </c>
      <c r="AK208">
        <v>0</v>
      </c>
      <c r="AL208" t="s">
        <v>3897</v>
      </c>
      <c r="AM208" t="s">
        <v>3898</v>
      </c>
      <c r="AN208" t="s">
        <v>3899</v>
      </c>
      <c r="AO208" t="s">
        <v>3900</v>
      </c>
      <c r="AP208" t="s">
        <v>74</v>
      </c>
      <c r="AQ208" t="s">
        <v>74</v>
      </c>
      <c r="AR208" t="s">
        <v>3901</v>
      </c>
      <c r="AS208" t="s">
        <v>3902</v>
      </c>
      <c r="AT208" t="s">
        <v>74</v>
      </c>
      <c r="AU208">
        <v>2023</v>
      </c>
      <c r="AV208">
        <v>9</v>
      </c>
      <c r="AW208">
        <v>1</v>
      </c>
      <c r="AX208" t="s">
        <v>74</v>
      </c>
      <c r="AY208" t="s">
        <v>74</v>
      </c>
      <c r="AZ208" t="s">
        <v>74</v>
      </c>
      <c r="BA208" t="s">
        <v>74</v>
      </c>
      <c r="BB208">
        <v>21</v>
      </c>
      <c r="BC208">
        <v>30</v>
      </c>
      <c r="BD208" t="s">
        <v>74</v>
      </c>
      <c r="BE208" t="s">
        <v>3963</v>
      </c>
      <c r="BF208" t="str">
        <f>HYPERLINK("http://dx.doi.org/10.12737/stp-91202303","http://dx.doi.org/10.12737/stp-91202303")</f>
        <v>http://dx.doi.org/10.12737/stp-91202303</v>
      </c>
      <c r="BG208" t="s">
        <v>74</v>
      </c>
      <c r="BH208" t="s">
        <v>74</v>
      </c>
      <c r="BI208">
        <v>10</v>
      </c>
      <c r="BJ208" t="s">
        <v>430</v>
      </c>
      <c r="BK208" t="s">
        <v>757</v>
      </c>
      <c r="BL208" t="s">
        <v>430</v>
      </c>
      <c r="BM208" t="s">
        <v>3964</v>
      </c>
      <c r="BN208" t="s">
        <v>74</v>
      </c>
      <c r="BO208" t="s">
        <v>165</v>
      </c>
      <c r="BP208" t="s">
        <v>74</v>
      </c>
      <c r="BQ208" t="s">
        <v>74</v>
      </c>
      <c r="BR208" t="s">
        <v>108</v>
      </c>
      <c r="BS208" t="s">
        <v>3965</v>
      </c>
      <c r="BT208" t="str">
        <f>HYPERLINK("https%3A%2F%2Fwww.webofscience.com%2Fwos%2Fwoscc%2Ffull-record%2FWOS:001011472100001","View Full Record in Web of Science")</f>
        <v>View Full Record in Web of Science</v>
      </c>
    </row>
    <row r="209" spans="1:72" x14ac:dyDescent="0.15">
      <c r="A209" t="s">
        <v>72</v>
      </c>
      <c r="B209" t="s">
        <v>3966</v>
      </c>
      <c r="C209" t="s">
        <v>74</v>
      </c>
      <c r="D209" t="s">
        <v>74</v>
      </c>
      <c r="E209" t="s">
        <v>74</v>
      </c>
      <c r="F209" t="s">
        <v>3967</v>
      </c>
      <c r="G209" t="s">
        <v>74</v>
      </c>
      <c r="H209" t="s">
        <v>74</v>
      </c>
      <c r="I209" t="s">
        <v>3968</v>
      </c>
      <c r="J209" t="s">
        <v>2602</v>
      </c>
      <c r="K209" t="s">
        <v>74</v>
      </c>
      <c r="L209" t="s">
        <v>74</v>
      </c>
      <c r="M209" t="s">
        <v>78</v>
      </c>
      <c r="N209" t="s">
        <v>79</v>
      </c>
      <c r="O209" t="s">
        <v>74</v>
      </c>
      <c r="P209" t="s">
        <v>74</v>
      </c>
      <c r="Q209" t="s">
        <v>74</v>
      </c>
      <c r="R209" t="s">
        <v>74</v>
      </c>
      <c r="S209" t="s">
        <v>74</v>
      </c>
      <c r="T209" t="s">
        <v>3969</v>
      </c>
      <c r="U209" t="s">
        <v>74</v>
      </c>
      <c r="V209" t="s">
        <v>3970</v>
      </c>
      <c r="W209" t="s">
        <v>3971</v>
      </c>
      <c r="X209" t="s">
        <v>3972</v>
      </c>
      <c r="Y209" t="s">
        <v>3973</v>
      </c>
      <c r="Z209" t="s">
        <v>3974</v>
      </c>
      <c r="AA209" t="s">
        <v>3975</v>
      </c>
      <c r="AB209" t="s">
        <v>3976</v>
      </c>
      <c r="AC209" t="s">
        <v>3977</v>
      </c>
      <c r="AD209" t="s">
        <v>2611</v>
      </c>
      <c r="AE209" t="s">
        <v>3978</v>
      </c>
      <c r="AF209" t="s">
        <v>74</v>
      </c>
      <c r="AG209">
        <v>16</v>
      </c>
      <c r="AH209">
        <v>2</v>
      </c>
      <c r="AI209">
        <v>2</v>
      </c>
      <c r="AJ209">
        <v>16</v>
      </c>
      <c r="AK209">
        <v>28</v>
      </c>
      <c r="AL209" t="s">
        <v>1743</v>
      </c>
      <c r="AM209" t="s">
        <v>1744</v>
      </c>
      <c r="AN209" t="s">
        <v>1745</v>
      </c>
      <c r="AO209" t="s">
        <v>2613</v>
      </c>
      <c r="AP209" t="s">
        <v>2614</v>
      </c>
      <c r="AQ209" t="s">
        <v>74</v>
      </c>
      <c r="AR209" t="s">
        <v>2615</v>
      </c>
      <c r="AS209" t="s">
        <v>2616</v>
      </c>
      <c r="AT209" t="s">
        <v>74</v>
      </c>
      <c r="AU209">
        <v>2023</v>
      </c>
      <c r="AV209">
        <v>20</v>
      </c>
      <c r="AW209" t="s">
        <v>74</v>
      </c>
      <c r="AX209" t="s">
        <v>74</v>
      </c>
      <c r="AY209" t="s">
        <v>74</v>
      </c>
      <c r="AZ209" t="s">
        <v>74</v>
      </c>
      <c r="BA209" t="s">
        <v>74</v>
      </c>
      <c r="BB209" t="s">
        <v>74</v>
      </c>
      <c r="BC209" t="s">
        <v>74</v>
      </c>
      <c r="BD209">
        <v>2000405</v>
      </c>
      <c r="BE209" t="s">
        <v>3979</v>
      </c>
      <c r="BF209" t="str">
        <f>HYPERLINK("http://dx.doi.org/10.1109/LGRS.2023.3285788","http://dx.doi.org/10.1109/LGRS.2023.3285788")</f>
        <v>http://dx.doi.org/10.1109/LGRS.2023.3285788</v>
      </c>
      <c r="BG209" t="s">
        <v>74</v>
      </c>
      <c r="BH209" t="s">
        <v>74</v>
      </c>
      <c r="BI209">
        <v>5</v>
      </c>
      <c r="BJ209" t="s">
        <v>1751</v>
      </c>
      <c r="BK209" t="s">
        <v>104</v>
      </c>
      <c r="BL209" t="s">
        <v>1752</v>
      </c>
      <c r="BM209" t="s">
        <v>3980</v>
      </c>
      <c r="BN209" t="s">
        <v>74</v>
      </c>
      <c r="BO209" t="s">
        <v>74</v>
      </c>
      <c r="BP209" t="s">
        <v>74</v>
      </c>
      <c r="BQ209" t="s">
        <v>74</v>
      </c>
      <c r="BR209" t="s">
        <v>108</v>
      </c>
      <c r="BS209" t="s">
        <v>3981</v>
      </c>
      <c r="BT209" t="str">
        <f>HYPERLINK("https%3A%2F%2Fwww.webofscience.com%2Fwos%2Fwoscc%2Ffull-record%2FWOS:001021284400012","View Full Record in Web of Science")</f>
        <v>View Full Record in Web of Science</v>
      </c>
    </row>
    <row r="210" spans="1:72" x14ac:dyDescent="0.15">
      <c r="A210" t="s">
        <v>72</v>
      </c>
      <c r="B210" t="s">
        <v>3982</v>
      </c>
      <c r="C210" t="s">
        <v>74</v>
      </c>
      <c r="D210" t="s">
        <v>74</v>
      </c>
      <c r="E210" t="s">
        <v>74</v>
      </c>
      <c r="F210" t="s">
        <v>3983</v>
      </c>
      <c r="G210" t="s">
        <v>74</v>
      </c>
      <c r="H210" t="s">
        <v>74</v>
      </c>
      <c r="I210" t="s">
        <v>3984</v>
      </c>
      <c r="J210" t="s">
        <v>1732</v>
      </c>
      <c r="K210" t="s">
        <v>74</v>
      </c>
      <c r="L210" t="s">
        <v>74</v>
      </c>
      <c r="M210" t="s">
        <v>78</v>
      </c>
      <c r="N210" t="s">
        <v>79</v>
      </c>
      <c r="O210" t="s">
        <v>74</v>
      </c>
      <c r="P210" t="s">
        <v>74</v>
      </c>
      <c r="Q210" t="s">
        <v>74</v>
      </c>
      <c r="R210" t="s">
        <v>74</v>
      </c>
      <c r="S210" t="s">
        <v>74</v>
      </c>
      <c r="T210" t="s">
        <v>3985</v>
      </c>
      <c r="U210" t="s">
        <v>3986</v>
      </c>
      <c r="V210" t="s">
        <v>3987</v>
      </c>
      <c r="W210" t="s">
        <v>3988</v>
      </c>
      <c r="X210" t="s">
        <v>3989</v>
      </c>
      <c r="Y210" t="s">
        <v>3990</v>
      </c>
      <c r="Z210" t="s">
        <v>3991</v>
      </c>
      <c r="AA210" t="s">
        <v>3992</v>
      </c>
      <c r="AB210" t="s">
        <v>3993</v>
      </c>
      <c r="AC210" t="s">
        <v>3994</v>
      </c>
      <c r="AD210" t="s">
        <v>3995</v>
      </c>
      <c r="AE210" t="s">
        <v>3996</v>
      </c>
      <c r="AF210" t="s">
        <v>74</v>
      </c>
      <c r="AG210">
        <v>68</v>
      </c>
      <c r="AH210">
        <v>3</v>
      </c>
      <c r="AI210">
        <v>3</v>
      </c>
      <c r="AJ210">
        <v>7</v>
      </c>
      <c r="AK210">
        <v>14</v>
      </c>
      <c r="AL210" t="s">
        <v>1743</v>
      </c>
      <c r="AM210" t="s">
        <v>1744</v>
      </c>
      <c r="AN210" t="s">
        <v>1745</v>
      </c>
      <c r="AO210" t="s">
        <v>1746</v>
      </c>
      <c r="AP210" t="s">
        <v>1747</v>
      </c>
      <c r="AQ210" t="s">
        <v>74</v>
      </c>
      <c r="AR210" t="s">
        <v>1748</v>
      </c>
      <c r="AS210" t="s">
        <v>1749</v>
      </c>
      <c r="AT210" t="s">
        <v>74</v>
      </c>
      <c r="AU210">
        <v>2023</v>
      </c>
      <c r="AV210">
        <v>61</v>
      </c>
      <c r="AW210" t="s">
        <v>74</v>
      </c>
      <c r="AX210" t="s">
        <v>74</v>
      </c>
      <c r="AY210" t="s">
        <v>74</v>
      </c>
      <c r="AZ210" t="s">
        <v>74</v>
      </c>
      <c r="BA210" t="s">
        <v>74</v>
      </c>
      <c r="BB210" t="s">
        <v>74</v>
      </c>
      <c r="BC210" t="s">
        <v>74</v>
      </c>
      <c r="BD210">
        <v>4301516</v>
      </c>
      <c r="BE210" t="s">
        <v>3997</v>
      </c>
      <c r="BF210" t="str">
        <f>HYPERLINK("http://dx.doi.org/10.1109/TGRS.2023.3277874","http://dx.doi.org/10.1109/TGRS.2023.3277874")</f>
        <v>http://dx.doi.org/10.1109/TGRS.2023.3277874</v>
      </c>
      <c r="BG210" t="s">
        <v>74</v>
      </c>
      <c r="BH210" t="s">
        <v>74</v>
      </c>
      <c r="BI210">
        <v>16</v>
      </c>
      <c r="BJ210" t="s">
        <v>1751</v>
      </c>
      <c r="BK210" t="s">
        <v>104</v>
      </c>
      <c r="BL210" t="s">
        <v>1752</v>
      </c>
      <c r="BM210" t="s">
        <v>3998</v>
      </c>
      <c r="BN210" t="s">
        <v>74</v>
      </c>
      <c r="BO210" t="s">
        <v>219</v>
      </c>
      <c r="BP210" t="s">
        <v>74</v>
      </c>
      <c r="BQ210" t="s">
        <v>74</v>
      </c>
      <c r="BR210" t="s">
        <v>108</v>
      </c>
      <c r="BS210" t="s">
        <v>3999</v>
      </c>
      <c r="BT210" t="str">
        <f>HYPERLINK("https%3A%2F%2Fwww.webofscience.com%2Fwos%2Fwoscc%2Ffull-record%2FWOS:001005737500027","View Full Record in Web of Science")</f>
        <v>View Full Record in Web of Science</v>
      </c>
    </row>
    <row r="211" spans="1:72" x14ac:dyDescent="0.15">
      <c r="A211" t="s">
        <v>72</v>
      </c>
      <c r="B211" t="s">
        <v>4000</v>
      </c>
      <c r="C211" t="s">
        <v>74</v>
      </c>
      <c r="D211" t="s">
        <v>74</v>
      </c>
      <c r="E211" t="s">
        <v>74</v>
      </c>
      <c r="F211" t="s">
        <v>4001</v>
      </c>
      <c r="G211" t="s">
        <v>74</v>
      </c>
      <c r="H211" t="s">
        <v>74</v>
      </c>
      <c r="I211" t="s">
        <v>4002</v>
      </c>
      <c r="J211" t="s">
        <v>4003</v>
      </c>
      <c r="K211" t="s">
        <v>74</v>
      </c>
      <c r="L211" t="s">
        <v>74</v>
      </c>
      <c r="M211" t="s">
        <v>78</v>
      </c>
      <c r="N211" t="s">
        <v>79</v>
      </c>
      <c r="O211" t="s">
        <v>74</v>
      </c>
      <c r="P211" t="s">
        <v>74</v>
      </c>
      <c r="Q211" t="s">
        <v>74</v>
      </c>
      <c r="R211" t="s">
        <v>74</v>
      </c>
      <c r="S211" t="s">
        <v>74</v>
      </c>
      <c r="T211" t="s">
        <v>4004</v>
      </c>
      <c r="U211" t="s">
        <v>4005</v>
      </c>
      <c r="V211" t="s">
        <v>4006</v>
      </c>
      <c r="W211" t="s">
        <v>4007</v>
      </c>
      <c r="X211" t="s">
        <v>4008</v>
      </c>
      <c r="Y211" t="s">
        <v>4009</v>
      </c>
      <c r="Z211" t="s">
        <v>4010</v>
      </c>
      <c r="AA211" t="s">
        <v>4011</v>
      </c>
      <c r="AB211" t="s">
        <v>4012</v>
      </c>
      <c r="AC211" t="s">
        <v>4013</v>
      </c>
      <c r="AD211" t="s">
        <v>4014</v>
      </c>
      <c r="AE211" t="s">
        <v>4015</v>
      </c>
      <c r="AF211" t="s">
        <v>74</v>
      </c>
      <c r="AG211">
        <v>20</v>
      </c>
      <c r="AH211">
        <v>0</v>
      </c>
      <c r="AI211">
        <v>0</v>
      </c>
      <c r="AJ211">
        <v>0</v>
      </c>
      <c r="AK211">
        <v>0</v>
      </c>
      <c r="AL211" t="s">
        <v>4016</v>
      </c>
      <c r="AM211" t="s">
        <v>4017</v>
      </c>
      <c r="AN211" t="s">
        <v>4018</v>
      </c>
      <c r="AO211" t="s">
        <v>74</v>
      </c>
      <c r="AP211" t="s">
        <v>4019</v>
      </c>
      <c r="AQ211" t="s">
        <v>74</v>
      </c>
      <c r="AR211" t="s">
        <v>4020</v>
      </c>
      <c r="AS211" t="s">
        <v>4021</v>
      </c>
      <c r="AT211" t="s">
        <v>74</v>
      </c>
      <c r="AU211">
        <v>2023</v>
      </c>
      <c r="AV211">
        <v>7</v>
      </c>
      <c r="AW211" t="s">
        <v>74</v>
      </c>
      <c r="AX211" t="s">
        <v>74</v>
      </c>
      <c r="AY211" t="s">
        <v>74</v>
      </c>
      <c r="AZ211" t="s">
        <v>74</v>
      </c>
      <c r="BA211" t="s">
        <v>74</v>
      </c>
      <c r="BB211" t="s">
        <v>74</v>
      </c>
      <c r="BC211" t="s">
        <v>74</v>
      </c>
      <c r="BD211" t="s">
        <v>4022</v>
      </c>
      <c r="BE211" t="s">
        <v>4023</v>
      </c>
      <c r="BF211" t="str">
        <f>HYPERLINK("http://dx.doi.org/10.2196/42214","http://dx.doi.org/10.2196/42214")</f>
        <v>http://dx.doi.org/10.2196/42214</v>
      </c>
      <c r="BG211" t="s">
        <v>74</v>
      </c>
      <c r="BH211" t="s">
        <v>74</v>
      </c>
      <c r="BI211">
        <v>11</v>
      </c>
      <c r="BJ211" t="s">
        <v>4024</v>
      </c>
      <c r="BK211" t="s">
        <v>757</v>
      </c>
      <c r="BL211" t="s">
        <v>4024</v>
      </c>
      <c r="BM211" t="s">
        <v>4025</v>
      </c>
      <c r="BN211">
        <v>37075233</v>
      </c>
      <c r="BO211" t="s">
        <v>192</v>
      </c>
      <c r="BP211" t="s">
        <v>74</v>
      </c>
      <c r="BQ211" t="s">
        <v>74</v>
      </c>
      <c r="BR211" t="s">
        <v>108</v>
      </c>
      <c r="BS211" t="s">
        <v>4026</v>
      </c>
      <c r="BT211" t="str">
        <f>HYPERLINK("https%3A%2F%2Fwww.webofscience.com%2Fwos%2Fwoscc%2Ffull-record%2FWOS:001021662500001","View Full Record in Web of Science")</f>
        <v>View Full Record in Web of Science</v>
      </c>
    </row>
    <row r="212" spans="1:72" x14ac:dyDescent="0.15">
      <c r="A212" t="s">
        <v>72</v>
      </c>
      <c r="B212" t="s">
        <v>4027</v>
      </c>
      <c r="C212" t="s">
        <v>74</v>
      </c>
      <c r="D212" t="s">
        <v>74</v>
      </c>
      <c r="E212" t="s">
        <v>74</v>
      </c>
      <c r="F212" t="s">
        <v>4028</v>
      </c>
      <c r="G212" t="s">
        <v>74</v>
      </c>
      <c r="H212" t="s">
        <v>74</v>
      </c>
      <c r="I212" t="s">
        <v>4029</v>
      </c>
      <c r="J212" t="s">
        <v>2578</v>
      </c>
      <c r="K212" t="s">
        <v>74</v>
      </c>
      <c r="L212" t="s">
        <v>74</v>
      </c>
      <c r="M212" t="s">
        <v>78</v>
      </c>
      <c r="N212" t="s">
        <v>256</v>
      </c>
      <c r="O212" t="s">
        <v>74</v>
      </c>
      <c r="P212" t="s">
        <v>74</v>
      </c>
      <c r="Q212" t="s">
        <v>74</v>
      </c>
      <c r="R212" t="s">
        <v>74</v>
      </c>
      <c r="S212" t="s">
        <v>74</v>
      </c>
      <c r="T212" t="s">
        <v>4030</v>
      </c>
      <c r="U212" t="s">
        <v>4031</v>
      </c>
      <c r="V212" t="s">
        <v>4032</v>
      </c>
      <c r="W212" t="s">
        <v>4033</v>
      </c>
      <c r="X212" t="s">
        <v>4034</v>
      </c>
      <c r="Y212" t="s">
        <v>4035</v>
      </c>
      <c r="Z212" t="s">
        <v>4036</v>
      </c>
      <c r="AA212" t="s">
        <v>4037</v>
      </c>
      <c r="AB212" t="s">
        <v>4038</v>
      </c>
      <c r="AC212" t="s">
        <v>4039</v>
      </c>
      <c r="AD212" t="s">
        <v>4040</v>
      </c>
      <c r="AE212" t="s">
        <v>4041</v>
      </c>
      <c r="AF212" t="s">
        <v>74</v>
      </c>
      <c r="AG212">
        <v>199</v>
      </c>
      <c r="AH212">
        <v>1</v>
      </c>
      <c r="AI212">
        <v>1</v>
      </c>
      <c r="AJ212">
        <v>7</v>
      </c>
      <c r="AK212">
        <v>13</v>
      </c>
      <c r="AL212" t="s">
        <v>422</v>
      </c>
      <c r="AM212" t="s">
        <v>208</v>
      </c>
      <c r="AN212" t="s">
        <v>423</v>
      </c>
      <c r="AO212" t="s">
        <v>2589</v>
      </c>
      <c r="AP212" t="s">
        <v>74</v>
      </c>
      <c r="AQ212" t="s">
        <v>74</v>
      </c>
      <c r="AR212" t="s">
        <v>2590</v>
      </c>
      <c r="AS212" t="s">
        <v>2591</v>
      </c>
      <c r="AT212" t="s">
        <v>2592</v>
      </c>
      <c r="AU212">
        <v>2023</v>
      </c>
      <c r="AV212">
        <v>11</v>
      </c>
      <c r="AW212">
        <v>1</v>
      </c>
      <c r="AX212" t="s">
        <v>74</v>
      </c>
      <c r="AY212" t="s">
        <v>74</v>
      </c>
      <c r="AZ212" t="s">
        <v>74</v>
      </c>
      <c r="BA212" t="s">
        <v>74</v>
      </c>
      <c r="BB212" t="s">
        <v>74</v>
      </c>
      <c r="BC212" t="s">
        <v>74</v>
      </c>
      <c r="BD212" t="s">
        <v>4042</v>
      </c>
      <c r="BE212" t="s">
        <v>4043</v>
      </c>
      <c r="BF212" t="str">
        <f>HYPERLINK("http://dx.doi.org/10.1093/conphys/coad035","http://dx.doi.org/10.1093/conphys/coad035")</f>
        <v>http://dx.doi.org/10.1093/conphys/coad035</v>
      </c>
      <c r="BG212" t="s">
        <v>74</v>
      </c>
      <c r="BH212" t="s">
        <v>74</v>
      </c>
      <c r="BI212">
        <v>19</v>
      </c>
      <c r="BJ212" t="s">
        <v>2595</v>
      </c>
      <c r="BK212" t="s">
        <v>104</v>
      </c>
      <c r="BL212" t="s">
        <v>2596</v>
      </c>
      <c r="BM212" t="s">
        <v>4044</v>
      </c>
      <c r="BN212">
        <v>37492466</v>
      </c>
      <c r="BO212" t="s">
        <v>3181</v>
      </c>
      <c r="BP212" t="s">
        <v>74</v>
      </c>
      <c r="BQ212" t="s">
        <v>74</v>
      </c>
      <c r="BR212" t="s">
        <v>108</v>
      </c>
      <c r="BS212" t="s">
        <v>4045</v>
      </c>
      <c r="BT212" t="str">
        <f>HYPERLINK("https%3A%2F%2Fwww.webofscience.com%2Fwos%2Fwoscc%2Ffull-record%2FWOS:001012494200001","View Full Record in Web of Science")</f>
        <v>View Full Record in Web of Science</v>
      </c>
    </row>
    <row r="213" spans="1:72" x14ac:dyDescent="0.15">
      <c r="A213" t="s">
        <v>894</v>
      </c>
      <c r="B213" t="s">
        <v>4046</v>
      </c>
      <c r="C213" t="s">
        <v>74</v>
      </c>
      <c r="D213" t="s">
        <v>74</v>
      </c>
      <c r="E213" t="s">
        <v>1167</v>
      </c>
      <c r="F213" t="s">
        <v>4047</v>
      </c>
      <c r="G213" t="s">
        <v>74</v>
      </c>
      <c r="H213" t="s">
        <v>74</v>
      </c>
      <c r="I213" t="s">
        <v>4048</v>
      </c>
      <c r="J213" t="s">
        <v>4049</v>
      </c>
      <c r="K213" t="s">
        <v>4050</v>
      </c>
      <c r="L213" t="s">
        <v>74</v>
      </c>
      <c r="M213" t="s">
        <v>78</v>
      </c>
      <c r="N213" t="s">
        <v>901</v>
      </c>
      <c r="O213" t="s">
        <v>4051</v>
      </c>
      <c r="P213" t="s">
        <v>4052</v>
      </c>
      <c r="Q213" t="s">
        <v>4053</v>
      </c>
      <c r="R213" t="s">
        <v>74</v>
      </c>
      <c r="S213" t="s">
        <v>74</v>
      </c>
      <c r="T213" t="s">
        <v>74</v>
      </c>
      <c r="U213" t="s">
        <v>74</v>
      </c>
      <c r="V213" t="s">
        <v>4054</v>
      </c>
      <c r="W213" t="s">
        <v>4055</v>
      </c>
      <c r="X213" t="s">
        <v>74</v>
      </c>
      <c r="Y213" t="s">
        <v>4056</v>
      </c>
      <c r="Z213" t="s">
        <v>4057</v>
      </c>
      <c r="AA213" t="s">
        <v>74</v>
      </c>
      <c r="AB213" t="s">
        <v>74</v>
      </c>
      <c r="AC213" t="s">
        <v>4058</v>
      </c>
      <c r="AD213" t="s">
        <v>4059</v>
      </c>
      <c r="AE213" t="s">
        <v>4060</v>
      </c>
      <c r="AF213" t="s">
        <v>74</v>
      </c>
      <c r="AG213">
        <v>3</v>
      </c>
      <c r="AH213">
        <v>0</v>
      </c>
      <c r="AI213">
        <v>0</v>
      </c>
      <c r="AJ213">
        <v>0</v>
      </c>
      <c r="AK213">
        <v>0</v>
      </c>
      <c r="AL213" t="s">
        <v>1167</v>
      </c>
      <c r="AM213" t="s">
        <v>93</v>
      </c>
      <c r="AN213" t="s">
        <v>1180</v>
      </c>
      <c r="AO213" t="s">
        <v>74</v>
      </c>
      <c r="AP213" t="s">
        <v>74</v>
      </c>
      <c r="AQ213" t="s">
        <v>4061</v>
      </c>
      <c r="AR213" t="s">
        <v>4062</v>
      </c>
      <c r="AS213" t="s">
        <v>74</v>
      </c>
      <c r="AT213" t="s">
        <v>74</v>
      </c>
      <c r="AU213">
        <v>2023</v>
      </c>
      <c r="AV213" t="s">
        <v>74</v>
      </c>
      <c r="AW213" t="s">
        <v>74</v>
      </c>
      <c r="AX213" t="s">
        <v>74</v>
      </c>
      <c r="AY213" t="s">
        <v>74</v>
      </c>
      <c r="AZ213" t="s">
        <v>74</v>
      </c>
      <c r="BA213" t="s">
        <v>74</v>
      </c>
      <c r="BB213" t="s">
        <v>74</v>
      </c>
      <c r="BC213" t="s">
        <v>74</v>
      </c>
      <c r="BD213" t="s">
        <v>74</v>
      </c>
      <c r="BE213" t="s">
        <v>4063</v>
      </c>
      <c r="BF213" t="str">
        <f>HYPERLINK("http://dx.doi.org/10.1109/ICCE56470.2023.10043458","http://dx.doi.org/10.1109/ICCE56470.2023.10043458")</f>
        <v>http://dx.doi.org/10.1109/ICCE56470.2023.10043458</v>
      </c>
      <c r="BG213" t="s">
        <v>74</v>
      </c>
      <c r="BH213" t="s">
        <v>74</v>
      </c>
      <c r="BI213">
        <v>2</v>
      </c>
      <c r="BJ213" t="s">
        <v>4064</v>
      </c>
      <c r="BK213" t="s">
        <v>1186</v>
      </c>
      <c r="BL213" t="s">
        <v>4065</v>
      </c>
      <c r="BM213" t="s">
        <v>4066</v>
      </c>
      <c r="BN213" t="s">
        <v>74</v>
      </c>
      <c r="BO213" t="s">
        <v>74</v>
      </c>
      <c r="BP213" t="s">
        <v>74</v>
      </c>
      <c r="BQ213" t="s">
        <v>74</v>
      </c>
      <c r="BR213" t="s">
        <v>108</v>
      </c>
      <c r="BS213" t="s">
        <v>4067</v>
      </c>
      <c r="BT213" t="str">
        <f>HYPERLINK("https%3A%2F%2Fwww.webofscience.com%2Fwos%2Fwoscc%2Ffull-record%2FWOS:000978390700089","View Full Record in Web of Science")</f>
        <v>View Full Record in Web of Science</v>
      </c>
    </row>
    <row r="214" spans="1:72" x14ac:dyDescent="0.15">
      <c r="A214" t="s">
        <v>72</v>
      </c>
      <c r="B214" t="s">
        <v>4068</v>
      </c>
      <c r="C214" t="s">
        <v>74</v>
      </c>
      <c r="D214" t="s">
        <v>74</v>
      </c>
      <c r="E214" t="s">
        <v>74</v>
      </c>
      <c r="F214" t="s">
        <v>4069</v>
      </c>
      <c r="G214" t="s">
        <v>74</v>
      </c>
      <c r="H214" t="s">
        <v>74</v>
      </c>
      <c r="I214" t="s">
        <v>4070</v>
      </c>
      <c r="J214" t="s">
        <v>1732</v>
      </c>
      <c r="K214" t="s">
        <v>74</v>
      </c>
      <c r="L214" t="s">
        <v>74</v>
      </c>
      <c r="M214" t="s">
        <v>78</v>
      </c>
      <c r="N214" t="s">
        <v>79</v>
      </c>
      <c r="O214" t="s">
        <v>74</v>
      </c>
      <c r="P214" t="s">
        <v>74</v>
      </c>
      <c r="Q214" t="s">
        <v>74</v>
      </c>
      <c r="R214" t="s">
        <v>74</v>
      </c>
      <c r="S214" t="s">
        <v>74</v>
      </c>
      <c r="T214" t="s">
        <v>4071</v>
      </c>
      <c r="U214" t="s">
        <v>4072</v>
      </c>
      <c r="V214" t="s">
        <v>4073</v>
      </c>
      <c r="W214" t="s">
        <v>4074</v>
      </c>
      <c r="X214" t="s">
        <v>4075</v>
      </c>
      <c r="Y214" t="s">
        <v>4076</v>
      </c>
      <c r="Z214" t="s">
        <v>4077</v>
      </c>
      <c r="AA214" t="s">
        <v>4078</v>
      </c>
      <c r="AB214" t="s">
        <v>4079</v>
      </c>
      <c r="AC214" t="s">
        <v>4080</v>
      </c>
      <c r="AD214" t="s">
        <v>4081</v>
      </c>
      <c r="AE214" t="s">
        <v>4082</v>
      </c>
      <c r="AF214" t="s">
        <v>74</v>
      </c>
      <c r="AG214">
        <v>50</v>
      </c>
      <c r="AH214">
        <v>1</v>
      </c>
      <c r="AI214">
        <v>1</v>
      </c>
      <c r="AJ214">
        <v>7</v>
      </c>
      <c r="AK214">
        <v>10</v>
      </c>
      <c r="AL214" t="s">
        <v>1743</v>
      </c>
      <c r="AM214" t="s">
        <v>1744</v>
      </c>
      <c r="AN214" t="s">
        <v>1745</v>
      </c>
      <c r="AO214" t="s">
        <v>1746</v>
      </c>
      <c r="AP214" t="s">
        <v>1747</v>
      </c>
      <c r="AQ214" t="s">
        <v>74</v>
      </c>
      <c r="AR214" t="s">
        <v>1748</v>
      </c>
      <c r="AS214" t="s">
        <v>1749</v>
      </c>
      <c r="AT214" t="s">
        <v>74</v>
      </c>
      <c r="AU214">
        <v>2023</v>
      </c>
      <c r="AV214">
        <v>61</v>
      </c>
      <c r="AW214" t="s">
        <v>74</v>
      </c>
      <c r="AX214" t="s">
        <v>74</v>
      </c>
      <c r="AY214" t="s">
        <v>74</v>
      </c>
      <c r="AZ214" t="s">
        <v>74</v>
      </c>
      <c r="BA214" t="s">
        <v>74</v>
      </c>
      <c r="BB214" t="s">
        <v>74</v>
      </c>
      <c r="BC214" t="s">
        <v>74</v>
      </c>
      <c r="BD214">
        <v>5104611</v>
      </c>
      <c r="BE214" t="s">
        <v>4083</v>
      </c>
      <c r="BF214" t="str">
        <f>HYPERLINK("http://dx.doi.org/10.1109/TGRS.2023.3274566","http://dx.doi.org/10.1109/TGRS.2023.3274566")</f>
        <v>http://dx.doi.org/10.1109/TGRS.2023.3274566</v>
      </c>
      <c r="BG214" t="s">
        <v>74</v>
      </c>
      <c r="BH214" t="s">
        <v>74</v>
      </c>
      <c r="BI214">
        <v>11</v>
      </c>
      <c r="BJ214" t="s">
        <v>1751</v>
      </c>
      <c r="BK214" t="s">
        <v>104</v>
      </c>
      <c r="BL214" t="s">
        <v>1752</v>
      </c>
      <c r="BM214" t="s">
        <v>4084</v>
      </c>
      <c r="BN214" t="s">
        <v>74</v>
      </c>
      <c r="BO214" t="s">
        <v>74</v>
      </c>
      <c r="BP214" t="s">
        <v>74</v>
      </c>
      <c r="BQ214" t="s">
        <v>74</v>
      </c>
      <c r="BR214" t="s">
        <v>108</v>
      </c>
      <c r="BS214" t="s">
        <v>4085</v>
      </c>
      <c r="BT214" t="str">
        <f>HYPERLINK("https%3A%2F%2Fwww.webofscience.com%2Fwos%2Fwoscc%2Ffull-record%2FWOS:000994834000008","View Full Record in Web of Science")</f>
        <v>View Full Record in Web of Science</v>
      </c>
    </row>
    <row r="215" spans="1:72" x14ac:dyDescent="0.15">
      <c r="A215" t="s">
        <v>72</v>
      </c>
      <c r="B215" t="s">
        <v>4086</v>
      </c>
      <c r="C215" t="s">
        <v>74</v>
      </c>
      <c r="D215" t="s">
        <v>74</v>
      </c>
      <c r="E215" t="s">
        <v>74</v>
      </c>
      <c r="F215" t="s">
        <v>4087</v>
      </c>
      <c r="G215" t="s">
        <v>74</v>
      </c>
      <c r="H215" t="s">
        <v>74</v>
      </c>
      <c r="I215" t="s">
        <v>4088</v>
      </c>
      <c r="J215" t="s">
        <v>4089</v>
      </c>
      <c r="K215" t="s">
        <v>74</v>
      </c>
      <c r="L215" t="s">
        <v>74</v>
      </c>
      <c r="M215" t="s">
        <v>78</v>
      </c>
      <c r="N215" t="s">
        <v>79</v>
      </c>
      <c r="O215" t="s">
        <v>74</v>
      </c>
      <c r="P215" t="s">
        <v>74</v>
      </c>
      <c r="Q215" t="s">
        <v>74</v>
      </c>
      <c r="R215" t="s">
        <v>74</v>
      </c>
      <c r="S215" t="s">
        <v>74</v>
      </c>
      <c r="T215" t="s">
        <v>4090</v>
      </c>
      <c r="U215" t="s">
        <v>4091</v>
      </c>
      <c r="V215" t="s">
        <v>4092</v>
      </c>
      <c r="W215" t="s">
        <v>4093</v>
      </c>
      <c r="X215" t="s">
        <v>4094</v>
      </c>
      <c r="Y215" t="s">
        <v>4095</v>
      </c>
      <c r="Z215" t="s">
        <v>4096</v>
      </c>
      <c r="AA215" t="s">
        <v>4097</v>
      </c>
      <c r="AB215" t="s">
        <v>4098</v>
      </c>
      <c r="AC215" t="s">
        <v>4099</v>
      </c>
      <c r="AD215" t="s">
        <v>4100</v>
      </c>
      <c r="AE215" t="s">
        <v>4101</v>
      </c>
      <c r="AF215" t="s">
        <v>74</v>
      </c>
      <c r="AG215">
        <v>54</v>
      </c>
      <c r="AH215">
        <v>0</v>
      </c>
      <c r="AI215">
        <v>0</v>
      </c>
      <c r="AJ215">
        <v>2</v>
      </c>
      <c r="AK215">
        <v>6</v>
      </c>
      <c r="AL215" t="s">
        <v>1791</v>
      </c>
      <c r="AM215" t="s">
        <v>576</v>
      </c>
      <c r="AN215" t="s">
        <v>1792</v>
      </c>
      <c r="AO215" t="s">
        <v>74</v>
      </c>
      <c r="AP215" t="s">
        <v>4102</v>
      </c>
      <c r="AQ215" t="s">
        <v>74</v>
      </c>
      <c r="AR215" t="s">
        <v>4089</v>
      </c>
      <c r="AS215" t="s">
        <v>4103</v>
      </c>
      <c r="AT215" t="s">
        <v>276</v>
      </c>
      <c r="AU215">
        <v>2023</v>
      </c>
      <c r="AV215">
        <v>11</v>
      </c>
      <c r="AW215">
        <v>1</v>
      </c>
      <c r="AX215" t="s">
        <v>74</v>
      </c>
      <c r="AY215" t="s">
        <v>74</v>
      </c>
      <c r="AZ215" t="s">
        <v>74</v>
      </c>
      <c r="BA215" t="s">
        <v>74</v>
      </c>
      <c r="BB215" t="s">
        <v>74</v>
      </c>
      <c r="BC215" t="s">
        <v>74</v>
      </c>
      <c r="BD215" t="s">
        <v>4104</v>
      </c>
      <c r="BE215" t="s">
        <v>4105</v>
      </c>
      <c r="BF215" t="str">
        <f>HYPERLINK("http://dx.doi.org/10.1029/2022EF003212","http://dx.doi.org/10.1029/2022EF003212")</f>
        <v>http://dx.doi.org/10.1029/2022EF003212</v>
      </c>
      <c r="BG215" t="s">
        <v>74</v>
      </c>
      <c r="BH215" t="s">
        <v>74</v>
      </c>
      <c r="BI215">
        <v>14</v>
      </c>
      <c r="BJ215" t="s">
        <v>381</v>
      </c>
      <c r="BK215" t="s">
        <v>104</v>
      </c>
      <c r="BL215" t="s">
        <v>382</v>
      </c>
      <c r="BM215" t="s">
        <v>4106</v>
      </c>
      <c r="BN215" t="s">
        <v>74</v>
      </c>
      <c r="BO215" t="s">
        <v>165</v>
      </c>
      <c r="BP215" t="s">
        <v>74</v>
      </c>
      <c r="BQ215" t="s">
        <v>74</v>
      </c>
      <c r="BR215" t="s">
        <v>108</v>
      </c>
      <c r="BS215" t="s">
        <v>4107</v>
      </c>
      <c r="BT215" t="str">
        <f>HYPERLINK("https%3A%2F%2Fwww.webofscience.com%2Fwos%2Fwoscc%2Ffull-record%2FWOS:000998896900001","View Full Record in Web of Science")</f>
        <v>View Full Record in Web of Science</v>
      </c>
    </row>
    <row r="216" spans="1:72" x14ac:dyDescent="0.15">
      <c r="A216" t="s">
        <v>72</v>
      </c>
      <c r="B216" t="s">
        <v>4108</v>
      </c>
      <c r="C216" t="s">
        <v>74</v>
      </c>
      <c r="D216" t="s">
        <v>74</v>
      </c>
      <c r="E216" t="s">
        <v>74</v>
      </c>
      <c r="F216" t="s">
        <v>4109</v>
      </c>
      <c r="G216" t="s">
        <v>74</v>
      </c>
      <c r="H216" t="s">
        <v>74</v>
      </c>
      <c r="I216" t="s">
        <v>4110</v>
      </c>
      <c r="J216" t="s">
        <v>1362</v>
      </c>
      <c r="K216" t="s">
        <v>74</v>
      </c>
      <c r="L216" t="s">
        <v>74</v>
      </c>
      <c r="M216" t="s">
        <v>78</v>
      </c>
      <c r="N216" t="s">
        <v>79</v>
      </c>
      <c r="O216" t="s">
        <v>74</v>
      </c>
      <c r="P216" t="s">
        <v>74</v>
      </c>
      <c r="Q216" t="s">
        <v>74</v>
      </c>
      <c r="R216" t="s">
        <v>74</v>
      </c>
      <c r="S216" t="s">
        <v>74</v>
      </c>
      <c r="T216" t="s">
        <v>4111</v>
      </c>
      <c r="U216" t="s">
        <v>74</v>
      </c>
      <c r="V216" t="s">
        <v>4112</v>
      </c>
      <c r="W216" t="s">
        <v>4113</v>
      </c>
      <c r="X216" t="s">
        <v>4114</v>
      </c>
      <c r="Y216" t="s">
        <v>4115</v>
      </c>
      <c r="Z216" t="s">
        <v>4116</v>
      </c>
      <c r="AA216" t="s">
        <v>74</v>
      </c>
      <c r="AB216" t="s">
        <v>74</v>
      </c>
      <c r="AC216" t="s">
        <v>4117</v>
      </c>
      <c r="AD216" t="s">
        <v>4118</v>
      </c>
      <c r="AE216" t="s">
        <v>4119</v>
      </c>
      <c r="AF216" t="s">
        <v>74</v>
      </c>
      <c r="AG216">
        <v>17</v>
      </c>
      <c r="AH216">
        <v>0</v>
      </c>
      <c r="AI216">
        <v>0</v>
      </c>
      <c r="AJ216">
        <v>0</v>
      </c>
      <c r="AK216">
        <v>0</v>
      </c>
      <c r="AL216" t="s">
        <v>1371</v>
      </c>
      <c r="AM216" t="s">
        <v>1372</v>
      </c>
      <c r="AN216" t="s">
        <v>1373</v>
      </c>
      <c r="AO216" t="s">
        <v>1374</v>
      </c>
      <c r="AP216" t="s">
        <v>74</v>
      </c>
      <c r="AQ216" t="s">
        <v>74</v>
      </c>
      <c r="AR216" t="s">
        <v>1375</v>
      </c>
      <c r="AS216" t="s">
        <v>1376</v>
      </c>
      <c r="AT216" t="s">
        <v>74</v>
      </c>
      <c r="AU216">
        <v>2023</v>
      </c>
      <c r="AV216">
        <v>76</v>
      </c>
      <c r="AW216">
        <v>5</v>
      </c>
      <c r="AX216" t="s">
        <v>74</v>
      </c>
      <c r="AY216" t="s">
        <v>74</v>
      </c>
      <c r="AZ216" t="s">
        <v>74</v>
      </c>
      <c r="BA216" t="s">
        <v>74</v>
      </c>
      <c r="BB216">
        <v>778</v>
      </c>
      <c r="BC216">
        <v>788</v>
      </c>
      <c r="BD216" t="s">
        <v>74</v>
      </c>
      <c r="BE216" t="s">
        <v>4120</v>
      </c>
      <c r="BF216" t="str">
        <f>HYPERLINK("http://dx.doi.org/10.7546/CRABS.2023.05.14","http://dx.doi.org/10.7546/CRABS.2023.05.14")</f>
        <v>http://dx.doi.org/10.7546/CRABS.2023.05.14</v>
      </c>
      <c r="BG216" t="s">
        <v>74</v>
      </c>
      <c r="BH216" t="s">
        <v>74</v>
      </c>
      <c r="BI216">
        <v>11</v>
      </c>
      <c r="BJ216" t="s">
        <v>189</v>
      </c>
      <c r="BK216" t="s">
        <v>104</v>
      </c>
      <c r="BL216" t="s">
        <v>190</v>
      </c>
      <c r="BM216" t="s">
        <v>4121</v>
      </c>
      <c r="BN216" t="s">
        <v>74</v>
      </c>
      <c r="BO216" t="s">
        <v>660</v>
      </c>
      <c r="BP216" t="s">
        <v>74</v>
      </c>
      <c r="BQ216" t="s">
        <v>74</v>
      </c>
      <c r="BR216" t="s">
        <v>108</v>
      </c>
      <c r="BS216" t="s">
        <v>4122</v>
      </c>
      <c r="BT216" t="str">
        <f>HYPERLINK("https%3A%2F%2Fwww.webofscience.com%2Fwos%2Fwoscc%2Ffull-record%2FWOS:001001970700014","View Full Record in Web of Science")</f>
        <v>View Full Record in Web of Science</v>
      </c>
    </row>
    <row r="217" spans="1:72" x14ac:dyDescent="0.15">
      <c r="A217" t="s">
        <v>72</v>
      </c>
      <c r="B217" t="s">
        <v>4123</v>
      </c>
      <c r="C217" t="s">
        <v>74</v>
      </c>
      <c r="D217" t="s">
        <v>74</v>
      </c>
      <c r="E217" t="s">
        <v>74</v>
      </c>
      <c r="F217" t="s">
        <v>4124</v>
      </c>
      <c r="G217" t="s">
        <v>74</v>
      </c>
      <c r="H217" t="s">
        <v>74</v>
      </c>
      <c r="I217" t="s">
        <v>4125</v>
      </c>
      <c r="J217" t="s">
        <v>4126</v>
      </c>
      <c r="K217" t="s">
        <v>74</v>
      </c>
      <c r="L217" t="s">
        <v>74</v>
      </c>
      <c r="M217" t="s">
        <v>78</v>
      </c>
      <c r="N217" t="s">
        <v>52</v>
      </c>
      <c r="O217" t="s">
        <v>74</v>
      </c>
      <c r="P217" t="s">
        <v>74</v>
      </c>
      <c r="Q217" t="s">
        <v>74</v>
      </c>
      <c r="R217" t="s">
        <v>74</v>
      </c>
      <c r="S217" t="s">
        <v>74</v>
      </c>
      <c r="T217" t="s">
        <v>74</v>
      </c>
      <c r="U217" t="s">
        <v>74</v>
      </c>
      <c r="V217" t="s">
        <v>74</v>
      </c>
      <c r="W217" t="s">
        <v>4127</v>
      </c>
      <c r="X217" t="s">
        <v>4128</v>
      </c>
      <c r="Y217" t="s">
        <v>74</v>
      </c>
      <c r="Z217" t="s">
        <v>74</v>
      </c>
      <c r="AA217" t="s">
        <v>4129</v>
      </c>
      <c r="AB217" t="s">
        <v>4130</v>
      </c>
      <c r="AC217" t="s">
        <v>74</v>
      </c>
      <c r="AD217" t="s">
        <v>74</v>
      </c>
      <c r="AE217" t="s">
        <v>74</v>
      </c>
      <c r="AF217" t="s">
        <v>74</v>
      </c>
      <c r="AG217">
        <v>0</v>
      </c>
      <c r="AH217">
        <v>0</v>
      </c>
      <c r="AI217">
        <v>0</v>
      </c>
      <c r="AJ217">
        <v>2</v>
      </c>
      <c r="AK217">
        <v>3</v>
      </c>
      <c r="AL217" t="s">
        <v>4131</v>
      </c>
      <c r="AM217" t="s">
        <v>4132</v>
      </c>
      <c r="AN217" t="s">
        <v>4133</v>
      </c>
      <c r="AO217" t="s">
        <v>4134</v>
      </c>
      <c r="AP217" t="s">
        <v>74</v>
      </c>
      <c r="AQ217" t="s">
        <v>74</v>
      </c>
      <c r="AR217" t="s">
        <v>4135</v>
      </c>
      <c r="AS217" t="s">
        <v>4136</v>
      </c>
      <c r="AT217" t="s">
        <v>74</v>
      </c>
      <c r="AU217">
        <v>2023</v>
      </c>
      <c r="AV217">
        <v>20</v>
      </c>
      <c r="AW217" t="s">
        <v>74</v>
      </c>
      <c r="AX217" t="s">
        <v>74</v>
      </c>
      <c r="AY217" t="s">
        <v>74</v>
      </c>
      <c r="AZ217" t="s">
        <v>74</v>
      </c>
      <c r="BA217" t="s">
        <v>74</v>
      </c>
      <c r="BB217">
        <v>2</v>
      </c>
      <c r="BC217">
        <v>2</v>
      </c>
      <c r="BD217" t="s">
        <v>74</v>
      </c>
      <c r="BE217" t="s">
        <v>74</v>
      </c>
      <c r="BF217" t="s">
        <v>74</v>
      </c>
      <c r="BG217" t="s">
        <v>74</v>
      </c>
      <c r="BH217" t="s">
        <v>74</v>
      </c>
      <c r="BI217">
        <v>1</v>
      </c>
      <c r="BJ217" t="s">
        <v>4137</v>
      </c>
      <c r="BK217" t="s">
        <v>104</v>
      </c>
      <c r="BL217" t="s">
        <v>4137</v>
      </c>
      <c r="BM217" t="s">
        <v>4138</v>
      </c>
      <c r="BN217" t="s">
        <v>74</v>
      </c>
      <c r="BO217" t="s">
        <v>74</v>
      </c>
      <c r="BP217" t="s">
        <v>74</v>
      </c>
      <c r="BQ217" t="s">
        <v>74</v>
      </c>
      <c r="BR217" t="s">
        <v>108</v>
      </c>
      <c r="BS217" t="s">
        <v>4139</v>
      </c>
      <c r="BT217" t="str">
        <f>HYPERLINK("https%3A%2F%2Fwww.webofscience.com%2Fwos%2Fwoscc%2Ffull-record%2FWOS:001001498800003","View Full Record in Web of Science")</f>
        <v>View Full Record in Web of Science</v>
      </c>
    </row>
    <row r="218" spans="1:72" x14ac:dyDescent="0.15">
      <c r="A218" t="s">
        <v>72</v>
      </c>
      <c r="B218" t="s">
        <v>4140</v>
      </c>
      <c r="C218" t="s">
        <v>74</v>
      </c>
      <c r="D218" t="s">
        <v>74</v>
      </c>
      <c r="E218" t="s">
        <v>74</v>
      </c>
      <c r="F218" t="s">
        <v>4141</v>
      </c>
      <c r="G218" t="s">
        <v>74</v>
      </c>
      <c r="H218" t="s">
        <v>74</v>
      </c>
      <c r="I218" t="s">
        <v>4142</v>
      </c>
      <c r="J218" t="s">
        <v>4126</v>
      </c>
      <c r="K218" t="s">
        <v>74</v>
      </c>
      <c r="L218" t="s">
        <v>74</v>
      </c>
      <c r="M218" t="s">
        <v>78</v>
      </c>
      <c r="N218" t="s">
        <v>52</v>
      </c>
      <c r="O218" t="s">
        <v>74</v>
      </c>
      <c r="P218" t="s">
        <v>74</v>
      </c>
      <c r="Q218" t="s">
        <v>74</v>
      </c>
      <c r="R218" t="s">
        <v>74</v>
      </c>
      <c r="S218" t="s">
        <v>74</v>
      </c>
      <c r="T218" t="s">
        <v>74</v>
      </c>
      <c r="U218" t="s">
        <v>74</v>
      </c>
      <c r="V218" t="s">
        <v>74</v>
      </c>
      <c r="W218" t="s">
        <v>4143</v>
      </c>
      <c r="X218" t="s">
        <v>4144</v>
      </c>
      <c r="Y218" t="s">
        <v>74</v>
      </c>
      <c r="Z218" t="s">
        <v>74</v>
      </c>
      <c r="AA218" t="s">
        <v>4145</v>
      </c>
      <c r="AB218" t="s">
        <v>4146</v>
      </c>
      <c r="AC218" t="s">
        <v>74</v>
      </c>
      <c r="AD218" t="s">
        <v>74</v>
      </c>
      <c r="AE218" t="s">
        <v>74</v>
      </c>
      <c r="AF218" t="s">
        <v>74</v>
      </c>
      <c r="AG218">
        <v>0</v>
      </c>
      <c r="AH218">
        <v>0</v>
      </c>
      <c r="AI218">
        <v>0</v>
      </c>
      <c r="AJ218">
        <v>0</v>
      </c>
      <c r="AK218">
        <v>0</v>
      </c>
      <c r="AL218" t="s">
        <v>4131</v>
      </c>
      <c r="AM218" t="s">
        <v>4132</v>
      </c>
      <c r="AN218" t="s">
        <v>4133</v>
      </c>
      <c r="AO218" t="s">
        <v>4134</v>
      </c>
      <c r="AP218" t="s">
        <v>74</v>
      </c>
      <c r="AQ218" t="s">
        <v>74</v>
      </c>
      <c r="AR218" t="s">
        <v>4135</v>
      </c>
      <c r="AS218" t="s">
        <v>4136</v>
      </c>
      <c r="AT218" t="s">
        <v>74</v>
      </c>
      <c r="AU218">
        <v>2023</v>
      </c>
      <c r="AV218">
        <v>20</v>
      </c>
      <c r="AW218" t="s">
        <v>74</v>
      </c>
      <c r="AX218" t="s">
        <v>74</v>
      </c>
      <c r="AY218" t="s">
        <v>74</v>
      </c>
      <c r="AZ218" t="s">
        <v>74</v>
      </c>
      <c r="BA218" t="s">
        <v>74</v>
      </c>
      <c r="BB218">
        <v>3</v>
      </c>
      <c r="BC218">
        <v>4</v>
      </c>
      <c r="BD218" t="s">
        <v>74</v>
      </c>
      <c r="BE218" t="s">
        <v>74</v>
      </c>
      <c r="BF218" t="s">
        <v>74</v>
      </c>
      <c r="BG218" t="s">
        <v>74</v>
      </c>
      <c r="BH218" t="s">
        <v>74</v>
      </c>
      <c r="BI218">
        <v>2</v>
      </c>
      <c r="BJ218" t="s">
        <v>4137</v>
      </c>
      <c r="BK218" t="s">
        <v>104</v>
      </c>
      <c r="BL218" t="s">
        <v>4137</v>
      </c>
      <c r="BM218" t="s">
        <v>4138</v>
      </c>
      <c r="BN218" t="s">
        <v>74</v>
      </c>
      <c r="BO218" t="s">
        <v>74</v>
      </c>
      <c r="BP218" t="s">
        <v>74</v>
      </c>
      <c r="BQ218" t="s">
        <v>74</v>
      </c>
      <c r="BR218" t="s">
        <v>108</v>
      </c>
      <c r="BS218" t="s">
        <v>4147</v>
      </c>
      <c r="BT218" t="str">
        <f>HYPERLINK("https%3A%2F%2Fwww.webofscience.com%2Fwos%2Fwoscc%2Ffull-record%2FWOS:001001498800006","View Full Record in Web of Science")</f>
        <v>View Full Record in Web of Science</v>
      </c>
    </row>
    <row r="219" spans="1:72" x14ac:dyDescent="0.15">
      <c r="A219" t="s">
        <v>72</v>
      </c>
      <c r="B219" t="s">
        <v>4148</v>
      </c>
      <c r="C219" t="s">
        <v>74</v>
      </c>
      <c r="D219" t="s">
        <v>74</v>
      </c>
      <c r="E219" t="s">
        <v>74</v>
      </c>
      <c r="F219" t="s">
        <v>4149</v>
      </c>
      <c r="G219" t="s">
        <v>74</v>
      </c>
      <c r="H219" t="s">
        <v>74</v>
      </c>
      <c r="I219" t="s">
        <v>4150</v>
      </c>
      <c r="J219" t="s">
        <v>4126</v>
      </c>
      <c r="K219" t="s">
        <v>74</v>
      </c>
      <c r="L219" t="s">
        <v>74</v>
      </c>
      <c r="M219" t="s">
        <v>78</v>
      </c>
      <c r="N219" t="s">
        <v>52</v>
      </c>
      <c r="O219" t="s">
        <v>74</v>
      </c>
      <c r="P219" t="s">
        <v>74</v>
      </c>
      <c r="Q219" t="s">
        <v>74</v>
      </c>
      <c r="R219" t="s">
        <v>74</v>
      </c>
      <c r="S219" t="s">
        <v>74</v>
      </c>
      <c r="T219" t="s">
        <v>74</v>
      </c>
      <c r="U219" t="s">
        <v>74</v>
      </c>
      <c r="V219" t="s">
        <v>74</v>
      </c>
      <c r="W219" t="s">
        <v>4151</v>
      </c>
      <c r="X219" t="s">
        <v>4152</v>
      </c>
      <c r="Y219" t="s">
        <v>74</v>
      </c>
      <c r="Z219" t="s">
        <v>74</v>
      </c>
      <c r="AA219" t="s">
        <v>4153</v>
      </c>
      <c r="AB219" t="s">
        <v>74</v>
      </c>
      <c r="AC219" t="s">
        <v>4154</v>
      </c>
      <c r="AD219" t="s">
        <v>4155</v>
      </c>
      <c r="AE219" t="s">
        <v>4156</v>
      </c>
      <c r="AF219" t="s">
        <v>74</v>
      </c>
      <c r="AG219">
        <v>0</v>
      </c>
      <c r="AH219">
        <v>0</v>
      </c>
      <c r="AI219">
        <v>0</v>
      </c>
      <c r="AJ219">
        <v>0</v>
      </c>
      <c r="AK219">
        <v>0</v>
      </c>
      <c r="AL219" t="s">
        <v>4131</v>
      </c>
      <c r="AM219" t="s">
        <v>4132</v>
      </c>
      <c r="AN219" t="s">
        <v>4133</v>
      </c>
      <c r="AO219" t="s">
        <v>4134</v>
      </c>
      <c r="AP219" t="s">
        <v>74</v>
      </c>
      <c r="AQ219" t="s">
        <v>74</v>
      </c>
      <c r="AR219" t="s">
        <v>4135</v>
      </c>
      <c r="AS219" t="s">
        <v>4136</v>
      </c>
      <c r="AT219" t="s">
        <v>74</v>
      </c>
      <c r="AU219">
        <v>2023</v>
      </c>
      <c r="AV219">
        <v>20</v>
      </c>
      <c r="AW219" t="s">
        <v>74</v>
      </c>
      <c r="AX219" t="s">
        <v>74</v>
      </c>
      <c r="AY219" t="s">
        <v>74</v>
      </c>
      <c r="AZ219" t="s">
        <v>74</v>
      </c>
      <c r="BA219" t="s">
        <v>74</v>
      </c>
      <c r="BB219">
        <v>5</v>
      </c>
      <c r="BC219">
        <v>5</v>
      </c>
      <c r="BD219" t="s">
        <v>74</v>
      </c>
      <c r="BE219" t="s">
        <v>74</v>
      </c>
      <c r="BF219" t="s">
        <v>74</v>
      </c>
      <c r="BG219" t="s">
        <v>74</v>
      </c>
      <c r="BH219" t="s">
        <v>74</v>
      </c>
      <c r="BI219">
        <v>1</v>
      </c>
      <c r="BJ219" t="s">
        <v>4137</v>
      </c>
      <c r="BK219" t="s">
        <v>104</v>
      </c>
      <c r="BL219" t="s">
        <v>4137</v>
      </c>
      <c r="BM219" t="s">
        <v>4138</v>
      </c>
      <c r="BN219" t="s">
        <v>74</v>
      </c>
      <c r="BO219" t="s">
        <v>74</v>
      </c>
      <c r="BP219" t="s">
        <v>74</v>
      </c>
      <c r="BQ219" t="s">
        <v>74</v>
      </c>
      <c r="BR219" t="s">
        <v>108</v>
      </c>
      <c r="BS219" t="s">
        <v>4157</v>
      </c>
      <c r="BT219" t="str">
        <f>HYPERLINK("https%3A%2F%2Fwww.webofscience.com%2Fwos%2Fwoscc%2Ffull-record%2FWOS:001001498800010","View Full Record in Web of Science")</f>
        <v>View Full Record in Web of Science</v>
      </c>
    </row>
    <row r="220" spans="1:72" x14ac:dyDescent="0.15">
      <c r="A220" t="s">
        <v>72</v>
      </c>
      <c r="B220" t="s">
        <v>4158</v>
      </c>
      <c r="C220" t="s">
        <v>74</v>
      </c>
      <c r="D220" t="s">
        <v>74</v>
      </c>
      <c r="E220" t="s">
        <v>74</v>
      </c>
      <c r="F220" t="s">
        <v>4159</v>
      </c>
      <c r="G220" t="s">
        <v>74</v>
      </c>
      <c r="H220" t="s">
        <v>74</v>
      </c>
      <c r="I220" t="s">
        <v>4160</v>
      </c>
      <c r="J220" t="s">
        <v>4126</v>
      </c>
      <c r="K220" t="s">
        <v>74</v>
      </c>
      <c r="L220" t="s">
        <v>74</v>
      </c>
      <c r="M220" t="s">
        <v>78</v>
      </c>
      <c r="N220" t="s">
        <v>52</v>
      </c>
      <c r="O220" t="s">
        <v>74</v>
      </c>
      <c r="P220" t="s">
        <v>74</v>
      </c>
      <c r="Q220" t="s">
        <v>74</v>
      </c>
      <c r="R220" t="s">
        <v>74</v>
      </c>
      <c r="S220" t="s">
        <v>74</v>
      </c>
      <c r="T220" t="s">
        <v>74</v>
      </c>
      <c r="U220" t="s">
        <v>74</v>
      </c>
      <c r="V220" t="s">
        <v>74</v>
      </c>
      <c r="W220" t="s">
        <v>4161</v>
      </c>
      <c r="X220" t="s">
        <v>4162</v>
      </c>
      <c r="Y220" t="s">
        <v>74</v>
      </c>
      <c r="Z220" t="s">
        <v>74</v>
      </c>
      <c r="AA220" t="s">
        <v>4153</v>
      </c>
      <c r="AB220" t="s">
        <v>74</v>
      </c>
      <c r="AC220" t="s">
        <v>74</v>
      </c>
      <c r="AD220" t="s">
        <v>74</v>
      </c>
      <c r="AE220" t="s">
        <v>74</v>
      </c>
      <c r="AF220" t="s">
        <v>74</v>
      </c>
      <c r="AG220">
        <v>0</v>
      </c>
      <c r="AH220">
        <v>0</v>
      </c>
      <c r="AI220">
        <v>0</v>
      </c>
      <c r="AJ220">
        <v>0</v>
      </c>
      <c r="AK220">
        <v>0</v>
      </c>
      <c r="AL220" t="s">
        <v>4131</v>
      </c>
      <c r="AM220" t="s">
        <v>4132</v>
      </c>
      <c r="AN220" t="s">
        <v>4133</v>
      </c>
      <c r="AO220" t="s">
        <v>4134</v>
      </c>
      <c r="AP220" t="s">
        <v>74</v>
      </c>
      <c r="AQ220" t="s">
        <v>74</v>
      </c>
      <c r="AR220" t="s">
        <v>4135</v>
      </c>
      <c r="AS220" t="s">
        <v>4136</v>
      </c>
      <c r="AT220" t="s">
        <v>74</v>
      </c>
      <c r="AU220">
        <v>2023</v>
      </c>
      <c r="AV220">
        <v>20</v>
      </c>
      <c r="AW220" t="s">
        <v>74</v>
      </c>
      <c r="AX220" t="s">
        <v>74</v>
      </c>
      <c r="AY220" t="s">
        <v>74</v>
      </c>
      <c r="AZ220" t="s">
        <v>74</v>
      </c>
      <c r="BA220" t="s">
        <v>74</v>
      </c>
      <c r="BB220">
        <v>6</v>
      </c>
      <c r="BC220">
        <v>6</v>
      </c>
      <c r="BD220" t="s">
        <v>74</v>
      </c>
      <c r="BE220" t="s">
        <v>74</v>
      </c>
      <c r="BF220" t="s">
        <v>74</v>
      </c>
      <c r="BG220" t="s">
        <v>74</v>
      </c>
      <c r="BH220" t="s">
        <v>74</v>
      </c>
      <c r="BI220">
        <v>1</v>
      </c>
      <c r="BJ220" t="s">
        <v>4137</v>
      </c>
      <c r="BK220" t="s">
        <v>104</v>
      </c>
      <c r="BL220" t="s">
        <v>4137</v>
      </c>
      <c r="BM220" t="s">
        <v>4138</v>
      </c>
      <c r="BN220" t="s">
        <v>74</v>
      </c>
      <c r="BO220" t="s">
        <v>74</v>
      </c>
      <c r="BP220" t="s">
        <v>74</v>
      </c>
      <c r="BQ220" t="s">
        <v>74</v>
      </c>
      <c r="BR220" t="s">
        <v>108</v>
      </c>
      <c r="BS220" t="s">
        <v>4163</v>
      </c>
      <c r="BT220" t="str">
        <f>HYPERLINK("https%3A%2F%2Fwww.webofscience.com%2Fwos%2Fwoscc%2Ffull-record%2FWOS:001001498800012","View Full Record in Web of Science")</f>
        <v>View Full Record in Web of Science</v>
      </c>
    </row>
    <row r="221" spans="1:72" x14ac:dyDescent="0.15">
      <c r="A221" t="s">
        <v>72</v>
      </c>
      <c r="B221" t="s">
        <v>4164</v>
      </c>
      <c r="C221" t="s">
        <v>74</v>
      </c>
      <c r="D221" t="s">
        <v>74</v>
      </c>
      <c r="E221" t="s">
        <v>74</v>
      </c>
      <c r="F221" t="s">
        <v>4165</v>
      </c>
      <c r="G221" t="s">
        <v>74</v>
      </c>
      <c r="H221" t="s">
        <v>74</v>
      </c>
      <c r="I221" t="s">
        <v>4166</v>
      </c>
      <c r="J221" t="s">
        <v>4126</v>
      </c>
      <c r="K221" t="s">
        <v>74</v>
      </c>
      <c r="L221" t="s">
        <v>74</v>
      </c>
      <c r="M221" t="s">
        <v>78</v>
      </c>
      <c r="N221" t="s">
        <v>52</v>
      </c>
      <c r="O221" t="s">
        <v>74</v>
      </c>
      <c r="P221" t="s">
        <v>74</v>
      </c>
      <c r="Q221" t="s">
        <v>74</v>
      </c>
      <c r="R221" t="s">
        <v>74</v>
      </c>
      <c r="S221" t="s">
        <v>74</v>
      </c>
      <c r="T221" t="s">
        <v>74</v>
      </c>
      <c r="U221" t="s">
        <v>74</v>
      </c>
      <c r="V221" t="s">
        <v>74</v>
      </c>
      <c r="W221" t="s">
        <v>4167</v>
      </c>
      <c r="X221" t="s">
        <v>4168</v>
      </c>
      <c r="Y221" t="s">
        <v>74</v>
      </c>
      <c r="Z221" t="s">
        <v>74</v>
      </c>
      <c r="AA221" t="s">
        <v>74</v>
      </c>
      <c r="AB221" t="s">
        <v>74</v>
      </c>
      <c r="AC221" t="s">
        <v>4154</v>
      </c>
      <c r="AD221" t="s">
        <v>4155</v>
      </c>
      <c r="AE221" t="s">
        <v>4169</v>
      </c>
      <c r="AF221" t="s">
        <v>74</v>
      </c>
      <c r="AG221">
        <v>0</v>
      </c>
      <c r="AH221">
        <v>0</v>
      </c>
      <c r="AI221">
        <v>0</v>
      </c>
      <c r="AJ221">
        <v>0</v>
      </c>
      <c r="AK221">
        <v>0</v>
      </c>
      <c r="AL221" t="s">
        <v>4131</v>
      </c>
      <c r="AM221" t="s">
        <v>4132</v>
      </c>
      <c r="AN221" t="s">
        <v>4133</v>
      </c>
      <c r="AO221" t="s">
        <v>4134</v>
      </c>
      <c r="AP221" t="s">
        <v>74</v>
      </c>
      <c r="AQ221" t="s">
        <v>74</v>
      </c>
      <c r="AR221" t="s">
        <v>4135</v>
      </c>
      <c r="AS221" t="s">
        <v>4136</v>
      </c>
      <c r="AT221" t="s">
        <v>74</v>
      </c>
      <c r="AU221">
        <v>2023</v>
      </c>
      <c r="AV221">
        <v>20</v>
      </c>
      <c r="AW221" t="s">
        <v>74</v>
      </c>
      <c r="AX221" t="s">
        <v>74</v>
      </c>
      <c r="AY221" t="s">
        <v>74</v>
      </c>
      <c r="AZ221" t="s">
        <v>74</v>
      </c>
      <c r="BA221" t="s">
        <v>74</v>
      </c>
      <c r="BB221">
        <v>9</v>
      </c>
      <c r="BC221">
        <v>9</v>
      </c>
      <c r="BD221" t="s">
        <v>74</v>
      </c>
      <c r="BE221" t="s">
        <v>74</v>
      </c>
      <c r="BF221" t="s">
        <v>74</v>
      </c>
      <c r="BG221" t="s">
        <v>74</v>
      </c>
      <c r="BH221" t="s">
        <v>74</v>
      </c>
      <c r="BI221">
        <v>1</v>
      </c>
      <c r="BJ221" t="s">
        <v>4137</v>
      </c>
      <c r="BK221" t="s">
        <v>104</v>
      </c>
      <c r="BL221" t="s">
        <v>4137</v>
      </c>
      <c r="BM221" t="s">
        <v>4138</v>
      </c>
      <c r="BN221" t="s">
        <v>74</v>
      </c>
      <c r="BO221" t="s">
        <v>74</v>
      </c>
      <c r="BP221" t="s">
        <v>74</v>
      </c>
      <c r="BQ221" t="s">
        <v>74</v>
      </c>
      <c r="BR221" t="s">
        <v>108</v>
      </c>
      <c r="BS221" t="s">
        <v>4170</v>
      </c>
      <c r="BT221" t="str">
        <f>HYPERLINK("https%3A%2F%2Fwww.webofscience.com%2Fwos%2Fwoscc%2Ffull-record%2FWOS:001001498800019","View Full Record in Web of Science")</f>
        <v>View Full Record in Web of Science</v>
      </c>
    </row>
    <row r="222" spans="1:72" x14ac:dyDescent="0.15">
      <c r="A222" t="s">
        <v>72</v>
      </c>
      <c r="B222" t="s">
        <v>4171</v>
      </c>
      <c r="C222" t="s">
        <v>74</v>
      </c>
      <c r="D222" t="s">
        <v>74</v>
      </c>
      <c r="E222" t="s">
        <v>74</v>
      </c>
      <c r="F222" t="s">
        <v>4172</v>
      </c>
      <c r="G222" t="s">
        <v>74</v>
      </c>
      <c r="H222" t="s">
        <v>74</v>
      </c>
      <c r="I222" t="s">
        <v>4173</v>
      </c>
      <c r="J222" t="s">
        <v>1732</v>
      </c>
      <c r="K222" t="s">
        <v>74</v>
      </c>
      <c r="L222" t="s">
        <v>74</v>
      </c>
      <c r="M222" t="s">
        <v>78</v>
      </c>
      <c r="N222" t="s">
        <v>79</v>
      </c>
      <c r="O222" t="s">
        <v>74</v>
      </c>
      <c r="P222" t="s">
        <v>74</v>
      </c>
      <c r="Q222" t="s">
        <v>74</v>
      </c>
      <c r="R222" t="s">
        <v>74</v>
      </c>
      <c r="S222" t="s">
        <v>74</v>
      </c>
      <c r="T222" t="s">
        <v>4174</v>
      </c>
      <c r="U222" t="s">
        <v>4175</v>
      </c>
      <c r="V222" t="s">
        <v>4176</v>
      </c>
      <c r="W222" t="s">
        <v>4177</v>
      </c>
      <c r="X222" t="s">
        <v>4178</v>
      </c>
      <c r="Y222" t="s">
        <v>4179</v>
      </c>
      <c r="Z222" t="s">
        <v>4180</v>
      </c>
      <c r="AA222" t="s">
        <v>4181</v>
      </c>
      <c r="AB222" t="s">
        <v>4182</v>
      </c>
      <c r="AC222" t="s">
        <v>4183</v>
      </c>
      <c r="AD222" t="s">
        <v>4184</v>
      </c>
      <c r="AE222" t="s">
        <v>4185</v>
      </c>
      <c r="AF222" t="s">
        <v>74</v>
      </c>
      <c r="AG222">
        <v>52</v>
      </c>
      <c r="AH222">
        <v>1</v>
      </c>
      <c r="AI222">
        <v>1</v>
      </c>
      <c r="AJ222">
        <v>3</v>
      </c>
      <c r="AK222">
        <v>7</v>
      </c>
      <c r="AL222" t="s">
        <v>1743</v>
      </c>
      <c r="AM222" t="s">
        <v>1744</v>
      </c>
      <c r="AN222" t="s">
        <v>1745</v>
      </c>
      <c r="AO222" t="s">
        <v>1746</v>
      </c>
      <c r="AP222" t="s">
        <v>1747</v>
      </c>
      <c r="AQ222" t="s">
        <v>74</v>
      </c>
      <c r="AR222" t="s">
        <v>1748</v>
      </c>
      <c r="AS222" t="s">
        <v>1749</v>
      </c>
      <c r="AT222" t="s">
        <v>74</v>
      </c>
      <c r="AU222">
        <v>2023</v>
      </c>
      <c r="AV222">
        <v>61</v>
      </c>
      <c r="AW222" t="s">
        <v>74</v>
      </c>
      <c r="AX222" t="s">
        <v>74</v>
      </c>
      <c r="AY222" t="s">
        <v>74</v>
      </c>
      <c r="AZ222" t="s">
        <v>74</v>
      </c>
      <c r="BA222" t="s">
        <v>74</v>
      </c>
      <c r="BB222" t="s">
        <v>74</v>
      </c>
      <c r="BC222" t="s">
        <v>74</v>
      </c>
      <c r="BD222">
        <v>4300813</v>
      </c>
      <c r="BE222" t="s">
        <v>4186</v>
      </c>
      <c r="BF222" t="str">
        <f>HYPERLINK("http://dx.doi.org/10.1109/TGRS.2023.3271453","http://dx.doi.org/10.1109/TGRS.2023.3271453")</f>
        <v>http://dx.doi.org/10.1109/TGRS.2023.3271453</v>
      </c>
      <c r="BG222" t="s">
        <v>74</v>
      </c>
      <c r="BH222" t="s">
        <v>74</v>
      </c>
      <c r="BI222">
        <v>13</v>
      </c>
      <c r="BJ222" t="s">
        <v>1751</v>
      </c>
      <c r="BK222" t="s">
        <v>104</v>
      </c>
      <c r="BL222" t="s">
        <v>1752</v>
      </c>
      <c r="BM222" t="s">
        <v>4187</v>
      </c>
      <c r="BN222" t="s">
        <v>74</v>
      </c>
      <c r="BO222" t="s">
        <v>248</v>
      </c>
      <c r="BP222" t="s">
        <v>74</v>
      </c>
      <c r="BQ222" t="s">
        <v>74</v>
      </c>
      <c r="BR222" t="s">
        <v>108</v>
      </c>
      <c r="BS222" t="s">
        <v>4188</v>
      </c>
      <c r="BT222" t="str">
        <f>HYPERLINK("https%3A%2F%2Fwww.webofscience.com%2Fwos%2Fwoscc%2Ffull-record%2FWOS:000996488200008","View Full Record in Web of Science")</f>
        <v>View Full Record in Web of Science</v>
      </c>
    </row>
    <row r="223" spans="1:72" x14ac:dyDescent="0.15">
      <c r="A223" t="s">
        <v>72</v>
      </c>
      <c r="B223" t="s">
        <v>4189</v>
      </c>
      <c r="C223" t="s">
        <v>74</v>
      </c>
      <c r="D223" t="s">
        <v>74</v>
      </c>
      <c r="E223" t="s">
        <v>74</v>
      </c>
      <c r="F223" t="s">
        <v>4190</v>
      </c>
      <c r="G223" t="s">
        <v>74</v>
      </c>
      <c r="H223" t="s">
        <v>74</v>
      </c>
      <c r="I223" t="s">
        <v>4191</v>
      </c>
      <c r="J223" t="s">
        <v>4192</v>
      </c>
      <c r="K223" t="s">
        <v>74</v>
      </c>
      <c r="L223" t="s">
        <v>74</v>
      </c>
      <c r="M223" t="s">
        <v>78</v>
      </c>
      <c r="N223" t="s">
        <v>79</v>
      </c>
      <c r="O223" t="s">
        <v>74</v>
      </c>
      <c r="P223" t="s">
        <v>74</v>
      </c>
      <c r="Q223" t="s">
        <v>74</v>
      </c>
      <c r="R223" t="s">
        <v>74</v>
      </c>
      <c r="S223" t="s">
        <v>74</v>
      </c>
      <c r="T223" t="s">
        <v>4193</v>
      </c>
      <c r="U223" t="s">
        <v>4194</v>
      </c>
      <c r="V223" t="s">
        <v>4195</v>
      </c>
      <c r="W223" t="s">
        <v>4196</v>
      </c>
      <c r="X223" t="s">
        <v>4197</v>
      </c>
      <c r="Y223" t="s">
        <v>4198</v>
      </c>
      <c r="Z223" t="s">
        <v>4199</v>
      </c>
      <c r="AA223" t="s">
        <v>74</v>
      </c>
      <c r="AB223" t="s">
        <v>74</v>
      </c>
      <c r="AC223" t="s">
        <v>74</v>
      </c>
      <c r="AD223" t="s">
        <v>74</v>
      </c>
      <c r="AE223" t="s">
        <v>74</v>
      </c>
      <c r="AF223" t="s">
        <v>74</v>
      </c>
      <c r="AG223">
        <v>179</v>
      </c>
      <c r="AH223">
        <v>0</v>
      </c>
      <c r="AI223">
        <v>0</v>
      </c>
      <c r="AJ223">
        <v>1</v>
      </c>
      <c r="AK223">
        <v>5</v>
      </c>
      <c r="AL223" t="s">
        <v>4200</v>
      </c>
      <c r="AM223" t="s">
        <v>93</v>
      </c>
      <c r="AN223" t="s">
        <v>4201</v>
      </c>
      <c r="AO223" t="s">
        <v>4202</v>
      </c>
      <c r="AP223" t="s">
        <v>4203</v>
      </c>
      <c r="AQ223" t="s">
        <v>74</v>
      </c>
      <c r="AR223" t="s">
        <v>4204</v>
      </c>
      <c r="AS223" t="s">
        <v>4205</v>
      </c>
      <c r="AT223" t="s">
        <v>276</v>
      </c>
      <c r="AU223">
        <v>2023</v>
      </c>
      <c r="AV223">
        <v>61</v>
      </c>
      <c r="AW223">
        <v>1</v>
      </c>
      <c r="AX223" t="s">
        <v>74</v>
      </c>
      <c r="AY223" t="s">
        <v>74</v>
      </c>
      <c r="AZ223" t="s">
        <v>74</v>
      </c>
      <c r="BA223" t="s">
        <v>74</v>
      </c>
      <c r="BB223">
        <v>43</v>
      </c>
      <c r="BC223">
        <v>61</v>
      </c>
      <c r="BD223" t="s">
        <v>74</v>
      </c>
      <c r="BE223" t="s">
        <v>4206</v>
      </c>
      <c r="BF223" t="str">
        <f>HYPERLINK("http://dx.doi.org/10.1134/S001670292301007X","http://dx.doi.org/10.1134/S001670292301007X")</f>
        <v>http://dx.doi.org/10.1134/S001670292301007X</v>
      </c>
      <c r="BG223" t="s">
        <v>74</v>
      </c>
      <c r="BH223" t="s">
        <v>74</v>
      </c>
      <c r="BI223">
        <v>19</v>
      </c>
      <c r="BJ223" t="s">
        <v>430</v>
      </c>
      <c r="BK223" t="s">
        <v>104</v>
      </c>
      <c r="BL223" t="s">
        <v>430</v>
      </c>
      <c r="BM223" t="s">
        <v>4207</v>
      </c>
      <c r="BN223" t="s">
        <v>74</v>
      </c>
      <c r="BO223" t="s">
        <v>74</v>
      </c>
      <c r="BP223" t="s">
        <v>74</v>
      </c>
      <c r="BQ223" t="s">
        <v>74</v>
      </c>
      <c r="BR223" t="s">
        <v>108</v>
      </c>
      <c r="BS223" t="s">
        <v>4208</v>
      </c>
      <c r="BT223" t="str">
        <f>HYPERLINK("https%3A%2F%2Fwww.webofscience.com%2Fwos%2Fwoscc%2Ffull-record%2FWOS:000978079800003","View Full Record in Web of Science")</f>
        <v>View Full Record in Web of Science</v>
      </c>
    </row>
    <row r="224" spans="1:72" x14ac:dyDescent="0.15">
      <c r="A224" t="s">
        <v>72</v>
      </c>
      <c r="B224" t="s">
        <v>4209</v>
      </c>
      <c r="C224" t="s">
        <v>74</v>
      </c>
      <c r="D224" t="s">
        <v>74</v>
      </c>
      <c r="E224" t="s">
        <v>74</v>
      </c>
      <c r="F224" t="s">
        <v>4210</v>
      </c>
      <c r="G224" t="s">
        <v>74</v>
      </c>
      <c r="H224" t="s">
        <v>74</v>
      </c>
      <c r="I224" t="s">
        <v>4211</v>
      </c>
      <c r="J224" t="s">
        <v>1732</v>
      </c>
      <c r="K224" t="s">
        <v>74</v>
      </c>
      <c r="L224" t="s">
        <v>74</v>
      </c>
      <c r="M224" t="s">
        <v>78</v>
      </c>
      <c r="N224" t="s">
        <v>79</v>
      </c>
      <c r="O224" t="s">
        <v>74</v>
      </c>
      <c r="P224" t="s">
        <v>74</v>
      </c>
      <c r="Q224" t="s">
        <v>74</v>
      </c>
      <c r="R224" t="s">
        <v>74</v>
      </c>
      <c r="S224" t="s">
        <v>74</v>
      </c>
      <c r="T224" t="s">
        <v>4212</v>
      </c>
      <c r="U224" t="s">
        <v>4213</v>
      </c>
      <c r="V224" t="s">
        <v>4214</v>
      </c>
      <c r="W224" t="s">
        <v>4215</v>
      </c>
      <c r="X224" t="s">
        <v>4216</v>
      </c>
      <c r="Y224" t="s">
        <v>4217</v>
      </c>
      <c r="Z224" t="s">
        <v>4218</v>
      </c>
      <c r="AA224" t="s">
        <v>4219</v>
      </c>
      <c r="AB224" t="s">
        <v>4220</v>
      </c>
      <c r="AC224" t="s">
        <v>4221</v>
      </c>
      <c r="AD224" t="s">
        <v>2611</v>
      </c>
      <c r="AE224" t="s">
        <v>4222</v>
      </c>
      <c r="AF224" t="s">
        <v>74</v>
      </c>
      <c r="AG224">
        <v>65</v>
      </c>
      <c r="AH224">
        <v>1</v>
      </c>
      <c r="AI224">
        <v>1</v>
      </c>
      <c r="AJ224">
        <v>17</v>
      </c>
      <c r="AK224">
        <v>28</v>
      </c>
      <c r="AL224" t="s">
        <v>1743</v>
      </c>
      <c r="AM224" t="s">
        <v>1744</v>
      </c>
      <c r="AN224" t="s">
        <v>1745</v>
      </c>
      <c r="AO224" t="s">
        <v>1746</v>
      </c>
      <c r="AP224" t="s">
        <v>1747</v>
      </c>
      <c r="AQ224" t="s">
        <v>74</v>
      </c>
      <c r="AR224" t="s">
        <v>1748</v>
      </c>
      <c r="AS224" t="s">
        <v>1749</v>
      </c>
      <c r="AT224" t="s">
        <v>74</v>
      </c>
      <c r="AU224">
        <v>2023</v>
      </c>
      <c r="AV224">
        <v>61</v>
      </c>
      <c r="AW224" t="s">
        <v>74</v>
      </c>
      <c r="AX224" t="s">
        <v>74</v>
      </c>
      <c r="AY224" t="s">
        <v>74</v>
      </c>
      <c r="AZ224" t="s">
        <v>74</v>
      </c>
      <c r="BA224" t="s">
        <v>74</v>
      </c>
      <c r="BB224" t="s">
        <v>74</v>
      </c>
      <c r="BC224" t="s">
        <v>74</v>
      </c>
      <c r="BD224">
        <v>4301013</v>
      </c>
      <c r="BE224" t="s">
        <v>4223</v>
      </c>
      <c r="BF224" t="str">
        <f>HYPERLINK("http://dx.doi.org/10.1109/TGRS.2023.3275076","http://dx.doi.org/10.1109/TGRS.2023.3275076")</f>
        <v>http://dx.doi.org/10.1109/TGRS.2023.3275076</v>
      </c>
      <c r="BG224" t="s">
        <v>74</v>
      </c>
      <c r="BH224" t="s">
        <v>74</v>
      </c>
      <c r="BI224">
        <v>13</v>
      </c>
      <c r="BJ224" t="s">
        <v>1751</v>
      </c>
      <c r="BK224" t="s">
        <v>104</v>
      </c>
      <c r="BL224" t="s">
        <v>1752</v>
      </c>
      <c r="BM224" t="s">
        <v>4224</v>
      </c>
      <c r="BN224" t="s">
        <v>74</v>
      </c>
      <c r="BO224" t="s">
        <v>74</v>
      </c>
      <c r="BP224" t="s">
        <v>74</v>
      </c>
      <c r="BQ224" t="s">
        <v>74</v>
      </c>
      <c r="BR224" t="s">
        <v>108</v>
      </c>
      <c r="BS224" t="s">
        <v>4225</v>
      </c>
      <c r="BT224" t="str">
        <f>HYPERLINK("https%3A%2F%2Fwww.webofscience.com%2Fwos%2Fwoscc%2Ffull-record%2FWOS:001000313600019","View Full Record in Web of Science")</f>
        <v>View Full Record in Web of Science</v>
      </c>
    </row>
    <row r="225" spans="1:72" x14ac:dyDescent="0.15">
      <c r="A225" t="s">
        <v>72</v>
      </c>
      <c r="B225" t="s">
        <v>4226</v>
      </c>
      <c r="C225" t="s">
        <v>74</v>
      </c>
      <c r="D225" t="s">
        <v>74</v>
      </c>
      <c r="E225" t="s">
        <v>74</v>
      </c>
      <c r="F225" t="s">
        <v>4227</v>
      </c>
      <c r="G225" t="s">
        <v>74</v>
      </c>
      <c r="H225" t="s">
        <v>74</v>
      </c>
      <c r="I225" t="s">
        <v>4228</v>
      </c>
      <c r="J225" t="s">
        <v>4229</v>
      </c>
      <c r="K225" t="s">
        <v>74</v>
      </c>
      <c r="L225" t="s">
        <v>74</v>
      </c>
      <c r="M225" t="s">
        <v>78</v>
      </c>
      <c r="N225" t="s">
        <v>79</v>
      </c>
      <c r="O225" t="s">
        <v>74</v>
      </c>
      <c r="P225" t="s">
        <v>74</v>
      </c>
      <c r="Q225" t="s">
        <v>74</v>
      </c>
      <c r="R225" t="s">
        <v>74</v>
      </c>
      <c r="S225" t="s">
        <v>74</v>
      </c>
      <c r="T225" t="s">
        <v>74</v>
      </c>
      <c r="U225" t="s">
        <v>4230</v>
      </c>
      <c r="V225" t="s">
        <v>4231</v>
      </c>
      <c r="W225" t="s">
        <v>4232</v>
      </c>
      <c r="X225" t="s">
        <v>4233</v>
      </c>
      <c r="Y225" t="s">
        <v>4234</v>
      </c>
      <c r="Z225" t="s">
        <v>4235</v>
      </c>
      <c r="AA225" t="s">
        <v>4236</v>
      </c>
      <c r="AB225" t="s">
        <v>4237</v>
      </c>
      <c r="AC225" t="s">
        <v>4238</v>
      </c>
      <c r="AD225" t="s">
        <v>4239</v>
      </c>
      <c r="AE225" t="s">
        <v>4240</v>
      </c>
      <c r="AF225" t="s">
        <v>74</v>
      </c>
      <c r="AG225">
        <v>68</v>
      </c>
      <c r="AH225">
        <v>3</v>
      </c>
      <c r="AI225">
        <v>3</v>
      </c>
      <c r="AJ225">
        <v>3</v>
      </c>
      <c r="AK225">
        <v>6</v>
      </c>
      <c r="AL225" t="s">
        <v>1791</v>
      </c>
      <c r="AM225" t="s">
        <v>576</v>
      </c>
      <c r="AN225" t="s">
        <v>1792</v>
      </c>
      <c r="AO225" t="s">
        <v>74</v>
      </c>
      <c r="AP225" t="s">
        <v>4241</v>
      </c>
      <c r="AQ225" t="s">
        <v>74</v>
      </c>
      <c r="AR225" t="s">
        <v>4242</v>
      </c>
      <c r="AS225" t="s">
        <v>4243</v>
      </c>
      <c r="AT225" t="s">
        <v>276</v>
      </c>
      <c r="AU225">
        <v>2023</v>
      </c>
      <c r="AV225">
        <v>21</v>
      </c>
      <c r="AW225">
        <v>1</v>
      </c>
      <c r="AX225" t="s">
        <v>74</v>
      </c>
      <c r="AY225" t="s">
        <v>74</v>
      </c>
      <c r="AZ225" t="s">
        <v>74</v>
      </c>
      <c r="BA225" t="s">
        <v>74</v>
      </c>
      <c r="BB225" t="s">
        <v>74</v>
      </c>
      <c r="BC225" t="s">
        <v>74</v>
      </c>
      <c r="BD225" t="s">
        <v>4244</v>
      </c>
      <c r="BE225" t="s">
        <v>4245</v>
      </c>
      <c r="BF225" t="str">
        <f>HYPERLINK("http://dx.doi.org/10.1029/2022SW003301","http://dx.doi.org/10.1029/2022SW003301")</f>
        <v>http://dx.doi.org/10.1029/2022SW003301</v>
      </c>
      <c r="BG225" t="s">
        <v>74</v>
      </c>
      <c r="BH225" t="s">
        <v>74</v>
      </c>
      <c r="BI225">
        <v>24</v>
      </c>
      <c r="BJ225" t="s">
        <v>4246</v>
      </c>
      <c r="BK225" t="s">
        <v>104</v>
      </c>
      <c r="BL225" t="s">
        <v>4246</v>
      </c>
      <c r="BM225" t="s">
        <v>4247</v>
      </c>
      <c r="BN225" t="s">
        <v>74</v>
      </c>
      <c r="BO225" t="s">
        <v>4248</v>
      </c>
      <c r="BP225" t="s">
        <v>74</v>
      </c>
      <c r="BQ225" t="s">
        <v>74</v>
      </c>
      <c r="BR225" t="s">
        <v>108</v>
      </c>
      <c r="BS225" t="s">
        <v>4249</v>
      </c>
      <c r="BT225" t="str">
        <f>HYPERLINK("https%3A%2F%2Fwww.webofscience.com%2Fwos%2Fwoscc%2Ffull-record%2FWOS:000986039800001","View Full Record in Web of Science")</f>
        <v>View Full Record in Web of Science</v>
      </c>
    </row>
    <row r="226" spans="1:72" x14ac:dyDescent="0.15">
      <c r="A226" t="s">
        <v>72</v>
      </c>
      <c r="B226" t="s">
        <v>4250</v>
      </c>
      <c r="C226" t="s">
        <v>74</v>
      </c>
      <c r="D226" t="s">
        <v>74</v>
      </c>
      <c r="E226" t="s">
        <v>74</v>
      </c>
      <c r="F226" t="s">
        <v>4251</v>
      </c>
      <c r="G226" t="s">
        <v>74</v>
      </c>
      <c r="H226" t="s">
        <v>74</v>
      </c>
      <c r="I226" t="s">
        <v>4252</v>
      </c>
      <c r="J226" t="s">
        <v>4253</v>
      </c>
      <c r="K226" t="s">
        <v>74</v>
      </c>
      <c r="L226" t="s">
        <v>74</v>
      </c>
      <c r="M226" t="s">
        <v>78</v>
      </c>
      <c r="N226" t="s">
        <v>79</v>
      </c>
      <c r="O226" t="s">
        <v>74</v>
      </c>
      <c r="P226" t="s">
        <v>74</v>
      </c>
      <c r="Q226" t="s">
        <v>74</v>
      </c>
      <c r="R226" t="s">
        <v>74</v>
      </c>
      <c r="S226" t="s">
        <v>74</v>
      </c>
      <c r="T226" t="s">
        <v>4254</v>
      </c>
      <c r="U226" t="s">
        <v>4255</v>
      </c>
      <c r="V226" t="s">
        <v>4256</v>
      </c>
      <c r="W226" t="s">
        <v>4257</v>
      </c>
      <c r="X226" t="s">
        <v>4258</v>
      </c>
      <c r="Y226" t="s">
        <v>4259</v>
      </c>
      <c r="Z226" t="s">
        <v>4260</v>
      </c>
      <c r="AA226" t="s">
        <v>4261</v>
      </c>
      <c r="AB226" t="s">
        <v>4262</v>
      </c>
      <c r="AC226" t="s">
        <v>4263</v>
      </c>
      <c r="AD226" t="s">
        <v>4264</v>
      </c>
      <c r="AE226" t="s">
        <v>4265</v>
      </c>
      <c r="AF226" t="s">
        <v>74</v>
      </c>
      <c r="AG226">
        <v>81</v>
      </c>
      <c r="AH226">
        <v>0</v>
      </c>
      <c r="AI226">
        <v>0</v>
      </c>
      <c r="AJ226">
        <v>2</v>
      </c>
      <c r="AK226">
        <v>3</v>
      </c>
      <c r="AL226" t="s">
        <v>1791</v>
      </c>
      <c r="AM226" t="s">
        <v>576</v>
      </c>
      <c r="AN226" t="s">
        <v>1792</v>
      </c>
      <c r="AO226" t="s">
        <v>74</v>
      </c>
      <c r="AP226" t="s">
        <v>4266</v>
      </c>
      <c r="AQ226" t="s">
        <v>74</v>
      </c>
      <c r="AR226" t="s">
        <v>4267</v>
      </c>
      <c r="AS226" t="s">
        <v>4268</v>
      </c>
      <c r="AT226" t="s">
        <v>276</v>
      </c>
      <c r="AU226">
        <v>2023</v>
      </c>
      <c r="AV226">
        <v>10</v>
      </c>
      <c r="AW226">
        <v>1</v>
      </c>
      <c r="AX226" t="s">
        <v>74</v>
      </c>
      <c r="AY226" t="s">
        <v>74</v>
      </c>
      <c r="AZ226" t="s">
        <v>74</v>
      </c>
      <c r="BA226" t="s">
        <v>74</v>
      </c>
      <c r="BB226" t="s">
        <v>74</v>
      </c>
      <c r="BC226" t="s">
        <v>74</v>
      </c>
      <c r="BD226" t="s">
        <v>4269</v>
      </c>
      <c r="BE226" t="s">
        <v>4270</v>
      </c>
      <c r="BF226" t="str">
        <f>HYPERLINK("http://dx.doi.org/10.1029/2022EA002564","http://dx.doi.org/10.1029/2022EA002564")</f>
        <v>http://dx.doi.org/10.1029/2022EA002564</v>
      </c>
      <c r="BG226" t="s">
        <v>74</v>
      </c>
      <c r="BH226" t="s">
        <v>74</v>
      </c>
      <c r="BI226">
        <v>22</v>
      </c>
      <c r="BJ226" t="s">
        <v>4271</v>
      </c>
      <c r="BK226" t="s">
        <v>104</v>
      </c>
      <c r="BL226" t="s">
        <v>4272</v>
      </c>
      <c r="BM226" t="s">
        <v>4273</v>
      </c>
      <c r="BN226" t="s">
        <v>74</v>
      </c>
      <c r="BO226" t="s">
        <v>165</v>
      </c>
      <c r="BP226" t="s">
        <v>74</v>
      </c>
      <c r="BQ226" t="s">
        <v>74</v>
      </c>
      <c r="BR226" t="s">
        <v>108</v>
      </c>
      <c r="BS226" t="s">
        <v>4274</v>
      </c>
      <c r="BT226" t="str">
        <f>HYPERLINK("https%3A%2F%2Fwww.webofscience.com%2Fwos%2Fwoscc%2Ffull-record%2FWOS:000998822900001","View Full Record in Web of Science")</f>
        <v>View Full Record in Web of Science</v>
      </c>
    </row>
    <row r="227" spans="1:72" x14ac:dyDescent="0.15">
      <c r="A227" t="s">
        <v>72</v>
      </c>
      <c r="B227" t="s">
        <v>4275</v>
      </c>
      <c r="C227" t="s">
        <v>74</v>
      </c>
      <c r="D227" t="s">
        <v>74</v>
      </c>
      <c r="E227" t="s">
        <v>74</v>
      </c>
      <c r="F227" t="s">
        <v>4276</v>
      </c>
      <c r="G227" t="s">
        <v>74</v>
      </c>
      <c r="H227" t="s">
        <v>74</v>
      </c>
      <c r="I227" t="s">
        <v>4277</v>
      </c>
      <c r="J227" t="s">
        <v>4278</v>
      </c>
      <c r="K227" t="s">
        <v>74</v>
      </c>
      <c r="L227" t="s">
        <v>74</v>
      </c>
      <c r="M227" t="s">
        <v>78</v>
      </c>
      <c r="N227" t="s">
        <v>256</v>
      </c>
      <c r="O227" t="s">
        <v>74</v>
      </c>
      <c r="P227" t="s">
        <v>74</v>
      </c>
      <c r="Q227" t="s">
        <v>74</v>
      </c>
      <c r="R227" t="s">
        <v>74</v>
      </c>
      <c r="S227" t="s">
        <v>74</v>
      </c>
      <c r="T227" t="s">
        <v>4279</v>
      </c>
      <c r="U227" t="s">
        <v>4280</v>
      </c>
      <c r="V227" t="s">
        <v>4281</v>
      </c>
      <c r="W227" t="s">
        <v>4282</v>
      </c>
      <c r="X227" t="s">
        <v>4283</v>
      </c>
      <c r="Y227" t="s">
        <v>4284</v>
      </c>
      <c r="Z227" t="s">
        <v>4285</v>
      </c>
      <c r="AA227" t="s">
        <v>4286</v>
      </c>
      <c r="AB227" t="s">
        <v>4287</v>
      </c>
      <c r="AC227" t="s">
        <v>4288</v>
      </c>
      <c r="AD227" t="s">
        <v>4289</v>
      </c>
      <c r="AE227" t="s">
        <v>4290</v>
      </c>
      <c r="AF227" t="s">
        <v>74</v>
      </c>
      <c r="AG227">
        <v>133</v>
      </c>
      <c r="AH227">
        <v>3</v>
      </c>
      <c r="AI227">
        <v>3</v>
      </c>
      <c r="AJ227">
        <v>6</v>
      </c>
      <c r="AK227">
        <v>12</v>
      </c>
      <c r="AL227" t="s">
        <v>3428</v>
      </c>
      <c r="AM227" t="s">
        <v>3429</v>
      </c>
      <c r="AN227" t="s">
        <v>3430</v>
      </c>
      <c r="AO227" t="s">
        <v>4291</v>
      </c>
      <c r="AP227" t="s">
        <v>4292</v>
      </c>
      <c r="AQ227" t="s">
        <v>74</v>
      </c>
      <c r="AR227" t="s">
        <v>4293</v>
      </c>
      <c r="AS227" t="s">
        <v>4294</v>
      </c>
      <c r="AT227" t="s">
        <v>74</v>
      </c>
      <c r="AU227">
        <v>2023</v>
      </c>
      <c r="AV227">
        <v>51</v>
      </c>
      <c r="AW227" t="s">
        <v>74</v>
      </c>
      <c r="AX227" t="s">
        <v>74</v>
      </c>
      <c r="AY227" t="s">
        <v>74</v>
      </c>
      <c r="AZ227" t="s">
        <v>74</v>
      </c>
      <c r="BA227" t="s">
        <v>74</v>
      </c>
      <c r="BB227">
        <v>189</v>
      </c>
      <c r="BC227">
        <v>215</v>
      </c>
      <c r="BD227" t="s">
        <v>74</v>
      </c>
      <c r="BE227" t="s">
        <v>4295</v>
      </c>
      <c r="BF227" t="str">
        <f>HYPERLINK("http://dx.doi.org/10.1146/annurev-earth-032320-110916","http://dx.doi.org/10.1146/annurev-earth-032320-110916")</f>
        <v>http://dx.doi.org/10.1146/annurev-earth-032320-110916</v>
      </c>
      <c r="BG227" t="s">
        <v>74</v>
      </c>
      <c r="BH227" t="s">
        <v>74</v>
      </c>
      <c r="BI227">
        <v>27</v>
      </c>
      <c r="BJ227" t="s">
        <v>4271</v>
      </c>
      <c r="BK227" t="s">
        <v>104</v>
      </c>
      <c r="BL227" t="s">
        <v>4272</v>
      </c>
      <c r="BM227" t="s">
        <v>4296</v>
      </c>
      <c r="BN227" t="s">
        <v>74</v>
      </c>
      <c r="BO227" t="s">
        <v>219</v>
      </c>
      <c r="BP227" t="s">
        <v>74</v>
      </c>
      <c r="BQ227" t="s">
        <v>74</v>
      </c>
      <c r="BR227" t="s">
        <v>108</v>
      </c>
      <c r="BS227" t="s">
        <v>4297</v>
      </c>
      <c r="BT227" t="str">
        <f>HYPERLINK("https%3A%2F%2Fwww.webofscience.com%2Fwos%2Fwoscc%2Ffull-record%2FWOS:000998943200009","View Full Record in Web of Science")</f>
        <v>View Full Record in Web of Science</v>
      </c>
    </row>
    <row r="228" spans="1:72" x14ac:dyDescent="0.15">
      <c r="A228" t="s">
        <v>72</v>
      </c>
      <c r="B228" t="s">
        <v>4298</v>
      </c>
      <c r="C228" t="s">
        <v>74</v>
      </c>
      <c r="D228" t="s">
        <v>74</v>
      </c>
      <c r="E228" t="s">
        <v>74</v>
      </c>
      <c r="F228" t="s">
        <v>4299</v>
      </c>
      <c r="G228" t="s">
        <v>74</v>
      </c>
      <c r="H228" t="s">
        <v>74</v>
      </c>
      <c r="I228" t="s">
        <v>4300</v>
      </c>
      <c r="J228" t="s">
        <v>4301</v>
      </c>
      <c r="K228" t="s">
        <v>74</v>
      </c>
      <c r="L228" t="s">
        <v>74</v>
      </c>
      <c r="M228" t="s">
        <v>78</v>
      </c>
      <c r="N228" t="s">
        <v>79</v>
      </c>
      <c r="O228" t="s">
        <v>74</v>
      </c>
      <c r="P228" t="s">
        <v>74</v>
      </c>
      <c r="Q228" t="s">
        <v>74</v>
      </c>
      <c r="R228" t="s">
        <v>74</v>
      </c>
      <c r="S228" t="s">
        <v>74</v>
      </c>
      <c r="T228" t="s">
        <v>4302</v>
      </c>
      <c r="U228" t="s">
        <v>4303</v>
      </c>
      <c r="V228" t="s">
        <v>4304</v>
      </c>
      <c r="W228" t="s">
        <v>4305</v>
      </c>
      <c r="X228" t="s">
        <v>4306</v>
      </c>
      <c r="Y228" t="s">
        <v>4307</v>
      </c>
      <c r="Z228" t="s">
        <v>4308</v>
      </c>
      <c r="AA228" t="s">
        <v>4309</v>
      </c>
      <c r="AB228" t="s">
        <v>4310</v>
      </c>
      <c r="AC228" t="s">
        <v>4311</v>
      </c>
      <c r="AD228" t="s">
        <v>4312</v>
      </c>
      <c r="AE228" t="s">
        <v>4313</v>
      </c>
      <c r="AF228" t="s">
        <v>74</v>
      </c>
      <c r="AG228">
        <v>56</v>
      </c>
      <c r="AH228">
        <v>0</v>
      </c>
      <c r="AI228">
        <v>0</v>
      </c>
      <c r="AJ228">
        <v>1</v>
      </c>
      <c r="AK228">
        <v>3</v>
      </c>
      <c r="AL228" t="s">
        <v>4314</v>
      </c>
      <c r="AM228" t="s">
        <v>4315</v>
      </c>
      <c r="AN228" t="s">
        <v>4316</v>
      </c>
      <c r="AO228" t="s">
        <v>4317</v>
      </c>
      <c r="AP228" t="s">
        <v>4318</v>
      </c>
      <c r="AQ228" t="s">
        <v>74</v>
      </c>
      <c r="AR228" t="s">
        <v>4319</v>
      </c>
      <c r="AS228" t="s">
        <v>4320</v>
      </c>
      <c r="AT228" t="s">
        <v>2829</v>
      </c>
      <c r="AU228">
        <v>2023</v>
      </c>
      <c r="AV228">
        <v>61</v>
      </c>
      <c r="AW228">
        <v>1</v>
      </c>
      <c r="AX228" t="s">
        <v>74</v>
      </c>
      <c r="AY228" t="s">
        <v>74</v>
      </c>
      <c r="AZ228" t="s">
        <v>74</v>
      </c>
      <c r="BA228" t="s">
        <v>74</v>
      </c>
      <c r="BB228">
        <v>51</v>
      </c>
      <c r="BC228">
        <v>63</v>
      </c>
      <c r="BD228" t="s">
        <v>74</v>
      </c>
      <c r="BE228" t="s">
        <v>4321</v>
      </c>
      <c r="BF228" t="str">
        <f>HYPERLINK("http://dx.doi.org/10.17113/ftb.61.01.23.7926","http://dx.doi.org/10.17113/ftb.61.01.23.7926")</f>
        <v>http://dx.doi.org/10.17113/ftb.61.01.23.7926</v>
      </c>
      <c r="BG228" t="s">
        <v>74</v>
      </c>
      <c r="BH228" t="s">
        <v>74</v>
      </c>
      <c r="BI228">
        <v>13</v>
      </c>
      <c r="BJ228" t="s">
        <v>4322</v>
      </c>
      <c r="BK228" t="s">
        <v>104</v>
      </c>
      <c r="BL228" t="s">
        <v>4322</v>
      </c>
      <c r="BM228" t="s">
        <v>4323</v>
      </c>
      <c r="BN228">
        <v>37200797</v>
      </c>
      <c r="BO228" t="s">
        <v>3181</v>
      </c>
      <c r="BP228" t="s">
        <v>74</v>
      </c>
      <c r="BQ228" t="s">
        <v>74</v>
      </c>
      <c r="BR228" t="s">
        <v>108</v>
      </c>
      <c r="BS228" t="s">
        <v>4324</v>
      </c>
      <c r="BT228" t="str">
        <f>HYPERLINK("https%3A%2F%2Fwww.webofscience.com%2Fwos%2Fwoscc%2Ffull-record%2FWOS:000992734300001","View Full Record in Web of Science")</f>
        <v>View Full Record in Web of Science</v>
      </c>
    </row>
    <row r="229" spans="1:72" x14ac:dyDescent="0.15">
      <c r="A229" t="s">
        <v>72</v>
      </c>
      <c r="B229" t="s">
        <v>4325</v>
      </c>
      <c r="C229" t="s">
        <v>74</v>
      </c>
      <c r="D229" t="s">
        <v>74</v>
      </c>
      <c r="E229" t="s">
        <v>74</v>
      </c>
      <c r="F229" t="s">
        <v>4326</v>
      </c>
      <c r="G229" t="s">
        <v>74</v>
      </c>
      <c r="H229" t="s">
        <v>74</v>
      </c>
      <c r="I229" t="s">
        <v>4327</v>
      </c>
      <c r="J229" t="s">
        <v>4328</v>
      </c>
      <c r="K229" t="s">
        <v>74</v>
      </c>
      <c r="L229" t="s">
        <v>74</v>
      </c>
      <c r="M229" t="s">
        <v>78</v>
      </c>
      <c r="N229" t="s">
        <v>79</v>
      </c>
      <c r="O229" t="s">
        <v>74</v>
      </c>
      <c r="P229" t="s">
        <v>74</v>
      </c>
      <c r="Q229" t="s">
        <v>74</v>
      </c>
      <c r="R229" t="s">
        <v>74</v>
      </c>
      <c r="S229" t="s">
        <v>74</v>
      </c>
      <c r="T229" t="s">
        <v>4329</v>
      </c>
      <c r="U229" t="s">
        <v>4330</v>
      </c>
      <c r="V229" t="s">
        <v>4331</v>
      </c>
      <c r="W229" t="s">
        <v>4332</v>
      </c>
      <c r="X229" t="s">
        <v>4333</v>
      </c>
      <c r="Y229" t="s">
        <v>4334</v>
      </c>
      <c r="Z229" t="s">
        <v>4335</v>
      </c>
      <c r="AA229" t="s">
        <v>74</v>
      </c>
      <c r="AB229" t="s">
        <v>4336</v>
      </c>
      <c r="AC229" t="s">
        <v>4337</v>
      </c>
      <c r="AD229" t="s">
        <v>4338</v>
      </c>
      <c r="AE229" t="s">
        <v>4339</v>
      </c>
      <c r="AF229" t="s">
        <v>74</v>
      </c>
      <c r="AG229">
        <v>52</v>
      </c>
      <c r="AH229">
        <v>3</v>
      </c>
      <c r="AI229">
        <v>3</v>
      </c>
      <c r="AJ229">
        <v>2</v>
      </c>
      <c r="AK229">
        <v>5</v>
      </c>
      <c r="AL229" t="s">
        <v>1791</v>
      </c>
      <c r="AM229" t="s">
        <v>576</v>
      </c>
      <c r="AN229" t="s">
        <v>1792</v>
      </c>
      <c r="AO229" t="s">
        <v>4340</v>
      </c>
      <c r="AP229" t="s">
        <v>4341</v>
      </c>
      <c r="AQ229" t="s">
        <v>74</v>
      </c>
      <c r="AR229" t="s">
        <v>4342</v>
      </c>
      <c r="AS229" t="s">
        <v>4343</v>
      </c>
      <c r="AT229" t="s">
        <v>276</v>
      </c>
      <c r="AU229">
        <v>2023</v>
      </c>
      <c r="AV229">
        <v>38</v>
      </c>
      <c r="AW229">
        <v>1</v>
      </c>
      <c r="AX229" t="s">
        <v>74</v>
      </c>
      <c r="AY229" t="s">
        <v>74</v>
      </c>
      <c r="AZ229" t="s">
        <v>74</v>
      </c>
      <c r="BA229" t="s">
        <v>74</v>
      </c>
      <c r="BB229" t="s">
        <v>74</v>
      </c>
      <c r="BC229" t="s">
        <v>74</v>
      </c>
      <c r="BD229" t="s">
        <v>4344</v>
      </c>
      <c r="BE229" t="s">
        <v>4345</v>
      </c>
      <c r="BF229" t="str">
        <f>HYPERLINK("http://dx.doi.org/10.1029/2022PA004527","http://dx.doi.org/10.1029/2022PA004527")</f>
        <v>http://dx.doi.org/10.1029/2022PA004527</v>
      </c>
      <c r="BG229" t="s">
        <v>74</v>
      </c>
      <c r="BH229" t="s">
        <v>74</v>
      </c>
      <c r="BI229">
        <v>16</v>
      </c>
      <c r="BJ229" t="s">
        <v>4346</v>
      </c>
      <c r="BK229" t="s">
        <v>104</v>
      </c>
      <c r="BL229" t="s">
        <v>4347</v>
      </c>
      <c r="BM229" t="s">
        <v>4348</v>
      </c>
      <c r="BN229" t="s">
        <v>74</v>
      </c>
      <c r="BO229" t="s">
        <v>660</v>
      </c>
      <c r="BP229" t="s">
        <v>74</v>
      </c>
      <c r="BQ229" t="s">
        <v>74</v>
      </c>
      <c r="BR229" t="s">
        <v>108</v>
      </c>
      <c r="BS229" t="s">
        <v>4349</v>
      </c>
      <c r="BT229" t="str">
        <f>HYPERLINK("https%3A%2F%2Fwww.webofscience.com%2Fwos%2Fwoscc%2Ffull-record%2FWOS:000986006500001","View Full Record in Web of Science")</f>
        <v>View Full Record in Web of Science</v>
      </c>
    </row>
    <row r="230" spans="1:72" x14ac:dyDescent="0.15">
      <c r="A230" t="s">
        <v>72</v>
      </c>
      <c r="B230" t="s">
        <v>4350</v>
      </c>
      <c r="C230" t="s">
        <v>74</v>
      </c>
      <c r="D230" t="s">
        <v>74</v>
      </c>
      <c r="E230" t="s">
        <v>74</v>
      </c>
      <c r="F230" t="s">
        <v>4351</v>
      </c>
      <c r="G230" t="s">
        <v>74</v>
      </c>
      <c r="H230" t="s">
        <v>74</v>
      </c>
      <c r="I230" t="s">
        <v>4352</v>
      </c>
      <c r="J230" t="s">
        <v>1680</v>
      </c>
      <c r="K230" t="s">
        <v>74</v>
      </c>
      <c r="L230" t="s">
        <v>74</v>
      </c>
      <c r="M230" t="s">
        <v>78</v>
      </c>
      <c r="N230" t="s">
        <v>79</v>
      </c>
      <c r="O230" t="s">
        <v>74</v>
      </c>
      <c r="P230" t="s">
        <v>74</v>
      </c>
      <c r="Q230" t="s">
        <v>74</v>
      </c>
      <c r="R230" t="s">
        <v>74</v>
      </c>
      <c r="S230" t="s">
        <v>74</v>
      </c>
      <c r="T230" t="s">
        <v>4353</v>
      </c>
      <c r="U230" t="s">
        <v>4354</v>
      </c>
      <c r="V230" t="s">
        <v>4355</v>
      </c>
      <c r="W230" t="s">
        <v>4356</v>
      </c>
      <c r="X230" t="s">
        <v>4357</v>
      </c>
      <c r="Y230" t="s">
        <v>4358</v>
      </c>
      <c r="Z230" t="s">
        <v>4359</v>
      </c>
      <c r="AA230" t="s">
        <v>74</v>
      </c>
      <c r="AB230" t="s">
        <v>4360</v>
      </c>
      <c r="AC230" t="s">
        <v>4361</v>
      </c>
      <c r="AD230" t="s">
        <v>4362</v>
      </c>
      <c r="AE230" t="s">
        <v>4363</v>
      </c>
      <c r="AF230" t="s">
        <v>74</v>
      </c>
      <c r="AG230">
        <v>52</v>
      </c>
      <c r="AH230">
        <v>1</v>
      </c>
      <c r="AI230">
        <v>1</v>
      </c>
      <c r="AJ230">
        <v>1</v>
      </c>
      <c r="AK230">
        <v>1</v>
      </c>
      <c r="AL230" t="s">
        <v>1692</v>
      </c>
      <c r="AM230" t="s">
        <v>375</v>
      </c>
      <c r="AN230" t="s">
        <v>1693</v>
      </c>
      <c r="AO230" t="s">
        <v>1694</v>
      </c>
      <c r="AP230" t="s">
        <v>1695</v>
      </c>
      <c r="AQ230" t="s">
        <v>74</v>
      </c>
      <c r="AR230" t="s">
        <v>1696</v>
      </c>
      <c r="AS230" t="s">
        <v>1697</v>
      </c>
      <c r="AT230" t="s">
        <v>74</v>
      </c>
      <c r="AU230">
        <v>2023</v>
      </c>
      <c r="AV230">
        <v>73</v>
      </c>
      <c r="AW230">
        <v>4</v>
      </c>
      <c r="AX230" t="s">
        <v>74</v>
      </c>
      <c r="AY230" t="s">
        <v>74</v>
      </c>
      <c r="AZ230" t="s">
        <v>74</v>
      </c>
      <c r="BA230" t="s">
        <v>74</v>
      </c>
      <c r="BB230" t="s">
        <v>74</v>
      </c>
      <c r="BC230" t="s">
        <v>74</v>
      </c>
      <c r="BD230">
        <v>5815</v>
      </c>
      <c r="BE230" t="s">
        <v>4364</v>
      </c>
      <c r="BF230" t="str">
        <f>HYPERLINK("http://dx.doi.org/10.1099/ijsem.0.005815","http://dx.doi.org/10.1099/ijsem.0.005815")</f>
        <v>http://dx.doi.org/10.1099/ijsem.0.005815</v>
      </c>
      <c r="BG230" t="s">
        <v>74</v>
      </c>
      <c r="BH230" t="s">
        <v>74</v>
      </c>
      <c r="BI230">
        <v>9</v>
      </c>
      <c r="BJ230" t="s">
        <v>1699</v>
      </c>
      <c r="BK230" t="s">
        <v>104</v>
      </c>
      <c r="BL230" t="s">
        <v>1699</v>
      </c>
      <c r="BM230" t="s">
        <v>4365</v>
      </c>
      <c r="BN230">
        <v>37010890</v>
      </c>
      <c r="BO230" t="s">
        <v>74</v>
      </c>
      <c r="BP230" t="s">
        <v>74</v>
      </c>
      <c r="BQ230" t="s">
        <v>74</v>
      </c>
      <c r="BR230" t="s">
        <v>108</v>
      </c>
      <c r="BS230" t="s">
        <v>4366</v>
      </c>
      <c r="BT230" t="str">
        <f>HYPERLINK("https%3A%2F%2Fwww.webofscience.com%2Fwos%2Fwoscc%2Ffull-record%2FWOS:000976043900002","View Full Record in Web of Science")</f>
        <v>View Full Record in Web of Science</v>
      </c>
    </row>
    <row r="231" spans="1:72" x14ac:dyDescent="0.15">
      <c r="A231" t="s">
        <v>72</v>
      </c>
      <c r="B231" t="s">
        <v>4367</v>
      </c>
      <c r="C231" t="s">
        <v>74</v>
      </c>
      <c r="D231" t="s">
        <v>74</v>
      </c>
      <c r="E231" t="s">
        <v>74</v>
      </c>
      <c r="F231" t="s">
        <v>4368</v>
      </c>
      <c r="G231" t="s">
        <v>74</v>
      </c>
      <c r="H231" t="s">
        <v>74</v>
      </c>
      <c r="I231" t="s">
        <v>4369</v>
      </c>
      <c r="J231" t="s">
        <v>1383</v>
      </c>
      <c r="K231" t="s">
        <v>74</v>
      </c>
      <c r="L231" t="s">
        <v>74</v>
      </c>
      <c r="M231" t="s">
        <v>78</v>
      </c>
      <c r="N231" t="s">
        <v>79</v>
      </c>
      <c r="O231" t="s">
        <v>74</v>
      </c>
      <c r="P231" t="s">
        <v>74</v>
      </c>
      <c r="Q231" t="s">
        <v>74</v>
      </c>
      <c r="R231" t="s">
        <v>74</v>
      </c>
      <c r="S231" t="s">
        <v>74</v>
      </c>
      <c r="T231" t="s">
        <v>4370</v>
      </c>
      <c r="U231" t="s">
        <v>4371</v>
      </c>
      <c r="V231" t="s">
        <v>4372</v>
      </c>
      <c r="W231" t="s">
        <v>4373</v>
      </c>
      <c r="X231" t="s">
        <v>4374</v>
      </c>
      <c r="Y231" t="s">
        <v>1390</v>
      </c>
      <c r="Z231" t="s">
        <v>1391</v>
      </c>
      <c r="AA231" t="s">
        <v>74</v>
      </c>
      <c r="AB231" t="s">
        <v>74</v>
      </c>
      <c r="AC231" t="s">
        <v>4375</v>
      </c>
      <c r="AD231" t="s">
        <v>4376</v>
      </c>
      <c r="AE231" t="s">
        <v>4377</v>
      </c>
      <c r="AF231" t="s">
        <v>74</v>
      </c>
      <c r="AG231">
        <v>30</v>
      </c>
      <c r="AH231">
        <v>0</v>
      </c>
      <c r="AI231">
        <v>0</v>
      </c>
      <c r="AJ231">
        <v>2</v>
      </c>
      <c r="AK231">
        <v>3</v>
      </c>
      <c r="AL231" t="s">
        <v>1392</v>
      </c>
      <c r="AM231" t="s">
        <v>1393</v>
      </c>
      <c r="AN231" t="s">
        <v>1394</v>
      </c>
      <c r="AO231" t="s">
        <v>1395</v>
      </c>
      <c r="AP231" t="s">
        <v>1396</v>
      </c>
      <c r="AQ231" t="s">
        <v>74</v>
      </c>
      <c r="AR231" t="s">
        <v>1397</v>
      </c>
      <c r="AS231" t="s">
        <v>1398</v>
      </c>
      <c r="AT231" t="s">
        <v>74</v>
      </c>
      <c r="AU231">
        <v>2023</v>
      </c>
      <c r="AV231">
        <v>63</v>
      </c>
      <c r="AW231">
        <v>1</v>
      </c>
      <c r="AX231" t="s">
        <v>74</v>
      </c>
      <c r="AY231" t="s">
        <v>74</v>
      </c>
      <c r="AZ231" t="s">
        <v>74</v>
      </c>
      <c r="BA231" t="s">
        <v>74</v>
      </c>
      <c r="BB231">
        <v>33</v>
      </c>
      <c r="BC231">
        <v>47</v>
      </c>
      <c r="BD231" t="s">
        <v>74</v>
      </c>
      <c r="BE231" t="s">
        <v>4378</v>
      </c>
      <c r="BF231" t="str">
        <f>HYPERLINK("http://dx.doi.org/10.31857/S2076673423010052","http://dx.doi.org/10.31857/S2076673423010052")</f>
        <v>http://dx.doi.org/10.31857/S2076673423010052</v>
      </c>
      <c r="BG231" t="s">
        <v>74</v>
      </c>
      <c r="BH231" t="s">
        <v>74</v>
      </c>
      <c r="BI231">
        <v>15</v>
      </c>
      <c r="BJ231" t="s">
        <v>455</v>
      </c>
      <c r="BK231" t="s">
        <v>757</v>
      </c>
      <c r="BL231" t="s">
        <v>456</v>
      </c>
      <c r="BM231" t="s">
        <v>4379</v>
      </c>
      <c r="BN231" t="s">
        <v>74</v>
      </c>
      <c r="BO231" t="s">
        <v>74</v>
      </c>
      <c r="BP231" t="s">
        <v>74</v>
      </c>
      <c r="BQ231" t="s">
        <v>74</v>
      </c>
      <c r="BR231" t="s">
        <v>108</v>
      </c>
      <c r="BS231" t="s">
        <v>4380</v>
      </c>
      <c r="BT231" t="str">
        <f>HYPERLINK("https%3A%2F%2Fwww.webofscience.com%2Fwos%2Fwoscc%2Ffull-record%2FWOS:000982711400001","View Full Record in Web of Science")</f>
        <v>View Full Record in Web of Science</v>
      </c>
    </row>
    <row r="232" spans="1:72" x14ac:dyDescent="0.15">
      <c r="A232" t="s">
        <v>72</v>
      </c>
      <c r="B232" t="s">
        <v>4381</v>
      </c>
      <c r="C232" t="s">
        <v>74</v>
      </c>
      <c r="D232" t="s">
        <v>74</v>
      </c>
      <c r="E232" t="s">
        <v>74</v>
      </c>
      <c r="F232" t="s">
        <v>4382</v>
      </c>
      <c r="G232" t="s">
        <v>74</v>
      </c>
      <c r="H232" t="s">
        <v>74</v>
      </c>
      <c r="I232" t="s">
        <v>4383</v>
      </c>
      <c r="J232" t="s">
        <v>1383</v>
      </c>
      <c r="K232" t="s">
        <v>74</v>
      </c>
      <c r="L232" t="s">
        <v>74</v>
      </c>
      <c r="M232" t="s">
        <v>78</v>
      </c>
      <c r="N232" t="s">
        <v>79</v>
      </c>
      <c r="O232" t="s">
        <v>74</v>
      </c>
      <c r="P232" t="s">
        <v>74</v>
      </c>
      <c r="Q232" t="s">
        <v>74</v>
      </c>
      <c r="R232" t="s">
        <v>74</v>
      </c>
      <c r="S232" t="s">
        <v>74</v>
      </c>
      <c r="T232" t="s">
        <v>4384</v>
      </c>
      <c r="U232" t="s">
        <v>4385</v>
      </c>
      <c r="V232" t="s">
        <v>4386</v>
      </c>
      <c r="W232" t="s">
        <v>4387</v>
      </c>
      <c r="X232" t="s">
        <v>2072</v>
      </c>
      <c r="Y232" t="s">
        <v>4388</v>
      </c>
      <c r="Z232" t="s">
        <v>4389</v>
      </c>
      <c r="AA232" t="s">
        <v>74</v>
      </c>
      <c r="AB232" t="s">
        <v>74</v>
      </c>
      <c r="AC232" t="s">
        <v>4390</v>
      </c>
      <c r="AD232" t="s">
        <v>4391</v>
      </c>
      <c r="AE232" t="s">
        <v>4392</v>
      </c>
      <c r="AF232" t="s">
        <v>74</v>
      </c>
      <c r="AG232">
        <v>16</v>
      </c>
      <c r="AH232">
        <v>0</v>
      </c>
      <c r="AI232">
        <v>0</v>
      </c>
      <c r="AJ232">
        <v>0</v>
      </c>
      <c r="AK232">
        <v>0</v>
      </c>
      <c r="AL232" t="s">
        <v>1392</v>
      </c>
      <c r="AM232" t="s">
        <v>1393</v>
      </c>
      <c r="AN232" t="s">
        <v>1394</v>
      </c>
      <c r="AO232" t="s">
        <v>1395</v>
      </c>
      <c r="AP232" t="s">
        <v>1396</v>
      </c>
      <c r="AQ232" t="s">
        <v>74</v>
      </c>
      <c r="AR232" t="s">
        <v>1397</v>
      </c>
      <c r="AS232" t="s">
        <v>1398</v>
      </c>
      <c r="AT232" t="s">
        <v>74</v>
      </c>
      <c r="AU232">
        <v>2023</v>
      </c>
      <c r="AV232">
        <v>63</v>
      </c>
      <c r="AW232">
        <v>1</v>
      </c>
      <c r="AX232" t="s">
        <v>74</v>
      </c>
      <c r="AY232" t="s">
        <v>74</v>
      </c>
      <c r="AZ232" t="s">
        <v>74</v>
      </c>
      <c r="BA232" t="s">
        <v>74</v>
      </c>
      <c r="BB232">
        <v>116</v>
      </c>
      <c r="BC232">
        <v>129</v>
      </c>
      <c r="BD232" t="s">
        <v>74</v>
      </c>
      <c r="BE232" t="s">
        <v>4393</v>
      </c>
      <c r="BF232" t="str">
        <f>HYPERLINK("http://dx.doi.org/10.31857/S2076673423010088","http://dx.doi.org/10.31857/S2076673423010088")</f>
        <v>http://dx.doi.org/10.31857/S2076673423010088</v>
      </c>
      <c r="BG232" t="s">
        <v>74</v>
      </c>
      <c r="BH232" t="s">
        <v>74</v>
      </c>
      <c r="BI232">
        <v>14</v>
      </c>
      <c r="BJ232" t="s">
        <v>455</v>
      </c>
      <c r="BK232" t="s">
        <v>757</v>
      </c>
      <c r="BL232" t="s">
        <v>456</v>
      </c>
      <c r="BM232" t="s">
        <v>4394</v>
      </c>
      <c r="BN232" t="s">
        <v>74</v>
      </c>
      <c r="BO232" t="s">
        <v>74</v>
      </c>
      <c r="BP232" t="s">
        <v>74</v>
      </c>
      <c r="BQ232" t="s">
        <v>74</v>
      </c>
      <c r="BR232" t="s">
        <v>108</v>
      </c>
      <c r="BS232" t="s">
        <v>4395</v>
      </c>
      <c r="BT232" t="str">
        <f>HYPERLINK("https%3A%2F%2Fwww.webofscience.com%2Fwos%2Fwoscc%2Ffull-record%2FWOS:000980090300003","View Full Record in Web of Science")</f>
        <v>View Full Record in Web of Science</v>
      </c>
    </row>
    <row r="233" spans="1:72" x14ac:dyDescent="0.15">
      <c r="A233" t="s">
        <v>72</v>
      </c>
      <c r="B233" t="s">
        <v>4396</v>
      </c>
      <c r="C233" t="s">
        <v>74</v>
      </c>
      <c r="D233" t="s">
        <v>74</v>
      </c>
      <c r="E233" t="s">
        <v>74</v>
      </c>
      <c r="F233" t="s">
        <v>4397</v>
      </c>
      <c r="G233" t="s">
        <v>74</v>
      </c>
      <c r="H233" t="s">
        <v>74</v>
      </c>
      <c r="I233" t="s">
        <v>4398</v>
      </c>
      <c r="J233" t="s">
        <v>1383</v>
      </c>
      <c r="K233" t="s">
        <v>74</v>
      </c>
      <c r="L233" t="s">
        <v>74</v>
      </c>
      <c r="M233" t="s">
        <v>78</v>
      </c>
      <c r="N233" t="s">
        <v>79</v>
      </c>
      <c r="O233" t="s">
        <v>74</v>
      </c>
      <c r="P233" t="s">
        <v>74</v>
      </c>
      <c r="Q233" t="s">
        <v>74</v>
      </c>
      <c r="R233" t="s">
        <v>74</v>
      </c>
      <c r="S233" t="s">
        <v>74</v>
      </c>
      <c r="T233" t="s">
        <v>4399</v>
      </c>
      <c r="U233" t="s">
        <v>74</v>
      </c>
      <c r="V233" t="s">
        <v>4400</v>
      </c>
      <c r="W233" t="s">
        <v>4401</v>
      </c>
      <c r="X233" t="s">
        <v>4402</v>
      </c>
      <c r="Y233" t="s">
        <v>4403</v>
      </c>
      <c r="Z233" t="s">
        <v>4404</v>
      </c>
      <c r="AA233" t="s">
        <v>74</v>
      </c>
      <c r="AB233" t="s">
        <v>74</v>
      </c>
      <c r="AC233" t="s">
        <v>4405</v>
      </c>
      <c r="AD233" t="s">
        <v>1413</v>
      </c>
      <c r="AE233" t="s">
        <v>4406</v>
      </c>
      <c r="AF233" t="s">
        <v>74</v>
      </c>
      <c r="AG233">
        <v>22</v>
      </c>
      <c r="AH233">
        <v>1</v>
      </c>
      <c r="AI233">
        <v>1</v>
      </c>
      <c r="AJ233">
        <v>0</v>
      </c>
      <c r="AK233">
        <v>0</v>
      </c>
      <c r="AL233" t="s">
        <v>1392</v>
      </c>
      <c r="AM233" t="s">
        <v>1393</v>
      </c>
      <c r="AN233" t="s">
        <v>1394</v>
      </c>
      <c r="AO233" t="s">
        <v>1395</v>
      </c>
      <c r="AP233" t="s">
        <v>1396</v>
      </c>
      <c r="AQ233" t="s">
        <v>74</v>
      </c>
      <c r="AR233" t="s">
        <v>1397</v>
      </c>
      <c r="AS233" t="s">
        <v>1398</v>
      </c>
      <c r="AT233" t="s">
        <v>74</v>
      </c>
      <c r="AU233">
        <v>2023</v>
      </c>
      <c r="AV233">
        <v>63</v>
      </c>
      <c r="AW233">
        <v>1</v>
      </c>
      <c r="AX233" t="s">
        <v>74</v>
      </c>
      <c r="AY233" t="s">
        <v>74</v>
      </c>
      <c r="AZ233" t="s">
        <v>74</v>
      </c>
      <c r="BA233" t="s">
        <v>74</v>
      </c>
      <c r="BB233">
        <v>130</v>
      </c>
      <c r="BC233">
        <v>140</v>
      </c>
      <c r="BD233" t="s">
        <v>74</v>
      </c>
      <c r="BE233" t="s">
        <v>4407</v>
      </c>
      <c r="BF233" t="str">
        <f>HYPERLINK("http://dx.doi.org/10.31857/S2076673423010131","http://dx.doi.org/10.31857/S2076673423010131")</f>
        <v>http://dx.doi.org/10.31857/S2076673423010131</v>
      </c>
      <c r="BG233" t="s">
        <v>74</v>
      </c>
      <c r="BH233" t="s">
        <v>74</v>
      </c>
      <c r="BI233">
        <v>11</v>
      </c>
      <c r="BJ233" t="s">
        <v>455</v>
      </c>
      <c r="BK233" t="s">
        <v>757</v>
      </c>
      <c r="BL233" t="s">
        <v>456</v>
      </c>
      <c r="BM233" t="s">
        <v>4394</v>
      </c>
      <c r="BN233" t="s">
        <v>74</v>
      </c>
      <c r="BO233" t="s">
        <v>74</v>
      </c>
      <c r="BP233" t="s">
        <v>74</v>
      </c>
      <c r="BQ233" t="s">
        <v>74</v>
      </c>
      <c r="BR233" t="s">
        <v>108</v>
      </c>
      <c r="BS233" t="s">
        <v>4408</v>
      </c>
      <c r="BT233" t="str">
        <f>HYPERLINK("https%3A%2F%2Fwww.webofscience.com%2Fwos%2Fwoscc%2Ffull-record%2FWOS:000980090300004","View Full Record in Web of Science")</f>
        <v>View Full Record in Web of Science</v>
      </c>
    </row>
    <row r="234" spans="1:72" x14ac:dyDescent="0.15">
      <c r="A234" t="s">
        <v>72</v>
      </c>
      <c r="B234" t="s">
        <v>4409</v>
      </c>
      <c r="C234" t="s">
        <v>74</v>
      </c>
      <c r="D234" t="s">
        <v>74</v>
      </c>
      <c r="E234" t="s">
        <v>74</v>
      </c>
      <c r="F234" t="s">
        <v>4410</v>
      </c>
      <c r="G234" t="s">
        <v>74</v>
      </c>
      <c r="H234" t="s">
        <v>74</v>
      </c>
      <c r="I234" t="s">
        <v>4411</v>
      </c>
      <c r="J234" t="s">
        <v>1383</v>
      </c>
      <c r="K234" t="s">
        <v>74</v>
      </c>
      <c r="L234" t="s">
        <v>74</v>
      </c>
      <c r="M234" t="s">
        <v>78</v>
      </c>
      <c r="N234" t="s">
        <v>79</v>
      </c>
      <c r="O234" t="s">
        <v>74</v>
      </c>
      <c r="P234" t="s">
        <v>74</v>
      </c>
      <c r="Q234" t="s">
        <v>74</v>
      </c>
      <c r="R234" t="s">
        <v>74</v>
      </c>
      <c r="S234" t="s">
        <v>74</v>
      </c>
      <c r="T234" t="s">
        <v>4412</v>
      </c>
      <c r="U234" t="s">
        <v>4413</v>
      </c>
      <c r="V234" t="s">
        <v>4414</v>
      </c>
      <c r="W234" t="s">
        <v>4415</v>
      </c>
      <c r="X234" t="s">
        <v>4416</v>
      </c>
      <c r="Y234" t="s">
        <v>4417</v>
      </c>
      <c r="Z234" t="s">
        <v>1108</v>
      </c>
      <c r="AA234" t="s">
        <v>74</v>
      </c>
      <c r="AB234" t="s">
        <v>74</v>
      </c>
      <c r="AC234" t="s">
        <v>4418</v>
      </c>
      <c r="AD234" t="s">
        <v>4419</v>
      </c>
      <c r="AE234" t="s">
        <v>4420</v>
      </c>
      <c r="AF234" t="s">
        <v>74</v>
      </c>
      <c r="AG234">
        <v>25</v>
      </c>
      <c r="AH234">
        <v>1</v>
      </c>
      <c r="AI234">
        <v>1</v>
      </c>
      <c r="AJ234">
        <v>1</v>
      </c>
      <c r="AK234">
        <v>2</v>
      </c>
      <c r="AL234" t="s">
        <v>1392</v>
      </c>
      <c r="AM234" t="s">
        <v>1393</v>
      </c>
      <c r="AN234" t="s">
        <v>1394</v>
      </c>
      <c r="AO234" t="s">
        <v>1395</v>
      </c>
      <c r="AP234" t="s">
        <v>1396</v>
      </c>
      <c r="AQ234" t="s">
        <v>74</v>
      </c>
      <c r="AR234" t="s">
        <v>1397</v>
      </c>
      <c r="AS234" t="s">
        <v>1398</v>
      </c>
      <c r="AT234" t="s">
        <v>74</v>
      </c>
      <c r="AU234">
        <v>2023</v>
      </c>
      <c r="AV234">
        <v>63</v>
      </c>
      <c r="AW234">
        <v>1</v>
      </c>
      <c r="AX234" t="s">
        <v>74</v>
      </c>
      <c r="AY234" t="s">
        <v>74</v>
      </c>
      <c r="AZ234" t="s">
        <v>74</v>
      </c>
      <c r="BA234" t="s">
        <v>74</v>
      </c>
      <c r="BB234">
        <v>141</v>
      </c>
      <c r="BC234">
        <v>152</v>
      </c>
      <c r="BD234" t="s">
        <v>74</v>
      </c>
      <c r="BE234" t="s">
        <v>4421</v>
      </c>
      <c r="BF234" t="str">
        <f>HYPERLINK("http://dx.doi.org/10.31857/S2076673423010076","http://dx.doi.org/10.31857/S2076673423010076")</f>
        <v>http://dx.doi.org/10.31857/S2076673423010076</v>
      </c>
      <c r="BG234" t="s">
        <v>74</v>
      </c>
      <c r="BH234" t="s">
        <v>74</v>
      </c>
      <c r="BI234">
        <v>12</v>
      </c>
      <c r="BJ234" t="s">
        <v>455</v>
      </c>
      <c r="BK234" t="s">
        <v>757</v>
      </c>
      <c r="BL234" t="s">
        <v>456</v>
      </c>
      <c r="BM234" t="s">
        <v>4394</v>
      </c>
      <c r="BN234" t="s">
        <v>74</v>
      </c>
      <c r="BO234" t="s">
        <v>74</v>
      </c>
      <c r="BP234" t="s">
        <v>74</v>
      </c>
      <c r="BQ234" t="s">
        <v>74</v>
      </c>
      <c r="BR234" t="s">
        <v>108</v>
      </c>
      <c r="BS234" t="s">
        <v>4422</v>
      </c>
      <c r="BT234" t="str">
        <f>HYPERLINK("https%3A%2F%2Fwww.webofscience.com%2Fwos%2Fwoscc%2Ffull-record%2FWOS:000980090300005","View Full Record in Web of Science")</f>
        <v>View Full Record in Web of Science</v>
      </c>
    </row>
    <row r="235" spans="1:72" x14ac:dyDescent="0.15">
      <c r="A235" t="s">
        <v>72</v>
      </c>
      <c r="B235" t="s">
        <v>4423</v>
      </c>
      <c r="C235" t="s">
        <v>74</v>
      </c>
      <c r="D235" t="s">
        <v>74</v>
      </c>
      <c r="E235" t="s">
        <v>74</v>
      </c>
      <c r="F235" t="s">
        <v>4424</v>
      </c>
      <c r="G235" t="s">
        <v>74</v>
      </c>
      <c r="H235" t="s">
        <v>74</v>
      </c>
      <c r="I235" t="s">
        <v>4425</v>
      </c>
      <c r="J235" t="s">
        <v>4426</v>
      </c>
      <c r="K235" t="s">
        <v>74</v>
      </c>
      <c r="L235" t="s">
        <v>74</v>
      </c>
      <c r="M235" t="s">
        <v>78</v>
      </c>
      <c r="N235" t="s">
        <v>79</v>
      </c>
      <c r="O235" t="s">
        <v>74</v>
      </c>
      <c r="P235" t="s">
        <v>74</v>
      </c>
      <c r="Q235" t="s">
        <v>74</v>
      </c>
      <c r="R235" t="s">
        <v>74</v>
      </c>
      <c r="S235" t="s">
        <v>74</v>
      </c>
      <c r="T235" t="s">
        <v>4427</v>
      </c>
      <c r="U235" t="s">
        <v>74</v>
      </c>
      <c r="V235" t="s">
        <v>4428</v>
      </c>
      <c r="W235" t="s">
        <v>4429</v>
      </c>
      <c r="X235" t="s">
        <v>74</v>
      </c>
      <c r="Y235" t="s">
        <v>4430</v>
      </c>
      <c r="Z235" t="s">
        <v>4431</v>
      </c>
      <c r="AA235" t="s">
        <v>74</v>
      </c>
      <c r="AB235" t="s">
        <v>74</v>
      </c>
      <c r="AC235" t="s">
        <v>74</v>
      </c>
      <c r="AD235" t="s">
        <v>74</v>
      </c>
      <c r="AE235" t="s">
        <v>74</v>
      </c>
      <c r="AF235" t="s">
        <v>74</v>
      </c>
      <c r="AG235">
        <v>13</v>
      </c>
      <c r="AH235">
        <v>0</v>
      </c>
      <c r="AI235">
        <v>0</v>
      </c>
      <c r="AJ235">
        <v>0</v>
      </c>
      <c r="AK235">
        <v>0</v>
      </c>
      <c r="AL235" t="s">
        <v>4432</v>
      </c>
      <c r="AM235" t="s">
        <v>4433</v>
      </c>
      <c r="AN235" t="s">
        <v>4434</v>
      </c>
      <c r="AO235" t="s">
        <v>74</v>
      </c>
      <c r="AP235" t="s">
        <v>4435</v>
      </c>
      <c r="AQ235" t="s">
        <v>74</v>
      </c>
      <c r="AR235" t="s">
        <v>4436</v>
      </c>
      <c r="AS235" t="s">
        <v>4437</v>
      </c>
      <c r="AT235" t="s">
        <v>74</v>
      </c>
      <c r="AU235">
        <v>2023</v>
      </c>
      <c r="AV235">
        <v>7</v>
      </c>
      <c r="AW235">
        <v>3</v>
      </c>
      <c r="AX235" t="s">
        <v>74</v>
      </c>
      <c r="AY235" t="s">
        <v>74</v>
      </c>
      <c r="AZ235" t="s">
        <v>74</v>
      </c>
      <c r="BA235" t="s">
        <v>74</v>
      </c>
      <c r="BB235">
        <v>1</v>
      </c>
      <c r="BC235">
        <v>9</v>
      </c>
      <c r="BD235" t="s">
        <v>74</v>
      </c>
      <c r="BE235" t="s">
        <v>4438</v>
      </c>
      <c r="BF235" t="str">
        <f>HYPERLINK("http://dx.doi.org/10.5281/10.5281/zenodo.7850159","http://dx.doi.org/10.5281/10.5281/zenodo.7850159")</f>
        <v>http://dx.doi.org/10.5281/10.5281/zenodo.7850159</v>
      </c>
      <c r="BG235" t="s">
        <v>74</v>
      </c>
      <c r="BH235" t="s">
        <v>74</v>
      </c>
      <c r="BI235">
        <v>9</v>
      </c>
      <c r="BJ235" t="s">
        <v>305</v>
      </c>
      <c r="BK235" t="s">
        <v>757</v>
      </c>
      <c r="BL235" t="s">
        <v>306</v>
      </c>
      <c r="BM235" t="s">
        <v>4439</v>
      </c>
      <c r="BN235" t="s">
        <v>74</v>
      </c>
      <c r="BO235" t="s">
        <v>74</v>
      </c>
      <c r="BP235" t="s">
        <v>74</v>
      </c>
      <c r="BQ235" t="s">
        <v>74</v>
      </c>
      <c r="BR235" t="s">
        <v>108</v>
      </c>
      <c r="BS235" t="s">
        <v>4440</v>
      </c>
      <c r="BT235" t="str">
        <f>HYPERLINK("https%3A%2F%2Fwww.webofscience.com%2Fwos%2Fwoscc%2Ffull-record%2FWOS:000977147100001","View Full Record in Web of Science")</f>
        <v>View Full Record in Web of Science</v>
      </c>
    </row>
    <row r="236" spans="1:72" x14ac:dyDescent="0.15">
      <c r="A236" t="s">
        <v>72</v>
      </c>
      <c r="B236" t="s">
        <v>4441</v>
      </c>
      <c r="C236" t="s">
        <v>74</v>
      </c>
      <c r="D236" t="s">
        <v>74</v>
      </c>
      <c r="E236" t="s">
        <v>74</v>
      </c>
      <c r="F236" t="s">
        <v>4442</v>
      </c>
      <c r="G236" t="s">
        <v>74</v>
      </c>
      <c r="H236" t="s">
        <v>74</v>
      </c>
      <c r="I236" t="s">
        <v>4443</v>
      </c>
      <c r="J236" t="s">
        <v>4444</v>
      </c>
      <c r="K236" t="s">
        <v>74</v>
      </c>
      <c r="L236" t="s">
        <v>74</v>
      </c>
      <c r="M236" t="s">
        <v>78</v>
      </c>
      <c r="N236" t="s">
        <v>79</v>
      </c>
      <c r="O236" t="s">
        <v>74</v>
      </c>
      <c r="P236" t="s">
        <v>74</v>
      </c>
      <c r="Q236" t="s">
        <v>74</v>
      </c>
      <c r="R236" t="s">
        <v>74</v>
      </c>
      <c r="S236" t="s">
        <v>74</v>
      </c>
      <c r="T236" t="s">
        <v>4445</v>
      </c>
      <c r="U236" t="s">
        <v>74</v>
      </c>
      <c r="V236" t="s">
        <v>4446</v>
      </c>
      <c r="W236" t="s">
        <v>4447</v>
      </c>
      <c r="X236" t="s">
        <v>2072</v>
      </c>
      <c r="Y236" t="s">
        <v>4448</v>
      </c>
      <c r="Z236" t="s">
        <v>4449</v>
      </c>
      <c r="AA236" t="s">
        <v>4450</v>
      </c>
      <c r="AB236" t="s">
        <v>4451</v>
      </c>
      <c r="AC236" t="s">
        <v>74</v>
      </c>
      <c r="AD236" t="s">
        <v>74</v>
      </c>
      <c r="AE236" t="s">
        <v>74</v>
      </c>
      <c r="AF236" t="s">
        <v>74</v>
      </c>
      <c r="AG236">
        <v>25</v>
      </c>
      <c r="AH236">
        <v>0</v>
      </c>
      <c r="AI236">
        <v>0</v>
      </c>
      <c r="AJ236">
        <v>8</v>
      </c>
      <c r="AK236">
        <v>9</v>
      </c>
      <c r="AL236" t="s">
        <v>4452</v>
      </c>
      <c r="AM236" t="s">
        <v>93</v>
      </c>
      <c r="AN236" t="s">
        <v>4453</v>
      </c>
      <c r="AO236" t="s">
        <v>4454</v>
      </c>
      <c r="AP236" t="s">
        <v>4455</v>
      </c>
      <c r="AQ236" t="s">
        <v>74</v>
      </c>
      <c r="AR236" t="s">
        <v>4456</v>
      </c>
      <c r="AS236" t="s">
        <v>4457</v>
      </c>
      <c r="AT236" t="s">
        <v>276</v>
      </c>
      <c r="AU236">
        <v>2023</v>
      </c>
      <c r="AV236">
        <v>48</v>
      </c>
      <c r="AW236">
        <v>1</v>
      </c>
      <c r="AX236" t="s">
        <v>74</v>
      </c>
      <c r="AY236" t="s">
        <v>74</v>
      </c>
      <c r="AZ236" t="s">
        <v>74</v>
      </c>
      <c r="BA236" t="s">
        <v>74</v>
      </c>
      <c r="BB236">
        <v>37</v>
      </c>
      <c r="BC236">
        <v>44</v>
      </c>
      <c r="BD236" t="s">
        <v>74</v>
      </c>
      <c r="BE236" t="s">
        <v>4458</v>
      </c>
      <c r="BF236" t="str">
        <f>HYPERLINK("http://dx.doi.org/10.3103/S1068373923010053","http://dx.doi.org/10.3103/S1068373923010053")</f>
        <v>http://dx.doi.org/10.3103/S1068373923010053</v>
      </c>
      <c r="BG236" t="s">
        <v>74</v>
      </c>
      <c r="BH236" t="s">
        <v>74</v>
      </c>
      <c r="BI236">
        <v>8</v>
      </c>
      <c r="BJ236" t="s">
        <v>532</v>
      </c>
      <c r="BK236" t="s">
        <v>104</v>
      </c>
      <c r="BL236" t="s">
        <v>532</v>
      </c>
      <c r="BM236" t="s">
        <v>4459</v>
      </c>
      <c r="BN236" t="s">
        <v>74</v>
      </c>
      <c r="BO236" t="s">
        <v>74</v>
      </c>
      <c r="BP236" t="s">
        <v>74</v>
      </c>
      <c r="BQ236" t="s">
        <v>74</v>
      </c>
      <c r="BR236" t="s">
        <v>108</v>
      </c>
      <c r="BS236" t="s">
        <v>4460</v>
      </c>
      <c r="BT236" t="str">
        <f>HYPERLINK("https%3A%2F%2Fwww.webofscience.com%2Fwos%2Fwoscc%2Ffull-record%2FWOS:000974822900005","View Full Record in Web of Science")</f>
        <v>View Full Record in Web of Science</v>
      </c>
    </row>
    <row r="237" spans="1:72" x14ac:dyDescent="0.15">
      <c r="A237" t="s">
        <v>72</v>
      </c>
      <c r="B237" t="s">
        <v>4461</v>
      </c>
      <c r="C237" t="s">
        <v>74</v>
      </c>
      <c r="D237" t="s">
        <v>74</v>
      </c>
      <c r="E237" t="s">
        <v>74</v>
      </c>
      <c r="F237" t="s">
        <v>4462</v>
      </c>
      <c r="G237" t="s">
        <v>74</v>
      </c>
      <c r="H237" t="s">
        <v>74</v>
      </c>
      <c r="I237" t="s">
        <v>4463</v>
      </c>
      <c r="J237" t="s">
        <v>4464</v>
      </c>
      <c r="K237" t="s">
        <v>74</v>
      </c>
      <c r="L237" t="s">
        <v>74</v>
      </c>
      <c r="M237" t="s">
        <v>78</v>
      </c>
      <c r="N237" t="s">
        <v>79</v>
      </c>
      <c r="O237" t="s">
        <v>74</v>
      </c>
      <c r="P237" t="s">
        <v>74</v>
      </c>
      <c r="Q237" t="s">
        <v>74</v>
      </c>
      <c r="R237" t="s">
        <v>74</v>
      </c>
      <c r="S237" t="s">
        <v>74</v>
      </c>
      <c r="T237" t="s">
        <v>4465</v>
      </c>
      <c r="U237" t="s">
        <v>4466</v>
      </c>
      <c r="V237" t="s">
        <v>4467</v>
      </c>
      <c r="W237" t="s">
        <v>4468</v>
      </c>
      <c r="X237" t="s">
        <v>4469</v>
      </c>
      <c r="Y237" t="s">
        <v>4470</v>
      </c>
      <c r="Z237" t="s">
        <v>4471</v>
      </c>
      <c r="AA237" t="s">
        <v>74</v>
      </c>
      <c r="AB237" t="s">
        <v>74</v>
      </c>
      <c r="AC237" t="s">
        <v>4472</v>
      </c>
      <c r="AD237" t="s">
        <v>4473</v>
      </c>
      <c r="AE237" t="s">
        <v>4474</v>
      </c>
      <c r="AF237" t="s">
        <v>74</v>
      </c>
      <c r="AG237">
        <v>22</v>
      </c>
      <c r="AH237">
        <v>1</v>
      </c>
      <c r="AI237">
        <v>1</v>
      </c>
      <c r="AJ237">
        <v>0</v>
      </c>
      <c r="AK237">
        <v>2</v>
      </c>
      <c r="AL237" t="s">
        <v>4475</v>
      </c>
      <c r="AM237" t="s">
        <v>4476</v>
      </c>
      <c r="AN237" t="s">
        <v>4477</v>
      </c>
      <c r="AO237" t="s">
        <v>4478</v>
      </c>
      <c r="AP237" t="s">
        <v>4479</v>
      </c>
      <c r="AQ237" t="s">
        <v>74</v>
      </c>
      <c r="AR237" t="s">
        <v>4480</v>
      </c>
      <c r="AS237" t="s">
        <v>4481</v>
      </c>
      <c r="AT237" t="s">
        <v>74</v>
      </c>
      <c r="AU237">
        <v>2023</v>
      </c>
      <c r="AV237">
        <v>334</v>
      </c>
      <c r="AW237">
        <v>3</v>
      </c>
      <c r="AX237" t="s">
        <v>74</v>
      </c>
      <c r="AY237" t="s">
        <v>74</v>
      </c>
      <c r="AZ237" t="s">
        <v>74</v>
      </c>
      <c r="BA237" t="s">
        <v>74</v>
      </c>
      <c r="BB237">
        <v>186</v>
      </c>
      <c r="BC237">
        <v>196</v>
      </c>
      <c r="BD237" t="s">
        <v>74</v>
      </c>
      <c r="BE237" t="s">
        <v>4482</v>
      </c>
      <c r="BF237" t="str">
        <f>HYPERLINK("http://dx.doi.org/10.18799/24131830/2023/3/3953","http://dx.doi.org/10.18799/24131830/2023/3/3953")</f>
        <v>http://dx.doi.org/10.18799/24131830/2023/3/3953</v>
      </c>
      <c r="BG237" t="s">
        <v>74</v>
      </c>
      <c r="BH237" t="s">
        <v>74</v>
      </c>
      <c r="BI237">
        <v>11</v>
      </c>
      <c r="BJ237" t="s">
        <v>4483</v>
      </c>
      <c r="BK237" t="s">
        <v>757</v>
      </c>
      <c r="BL237" t="s">
        <v>2342</v>
      </c>
      <c r="BM237" t="s">
        <v>4484</v>
      </c>
      <c r="BN237" t="s">
        <v>74</v>
      </c>
      <c r="BO237" t="s">
        <v>192</v>
      </c>
      <c r="BP237" t="s">
        <v>74</v>
      </c>
      <c r="BQ237" t="s">
        <v>74</v>
      </c>
      <c r="BR237" t="s">
        <v>108</v>
      </c>
      <c r="BS237" t="s">
        <v>4485</v>
      </c>
      <c r="BT237" t="str">
        <f>HYPERLINK("https%3A%2F%2Fwww.webofscience.com%2Fwos%2Fwoscc%2Ffull-record%2FWOS:000971924600016","View Full Record in Web of Science")</f>
        <v>View Full Record in Web of Science</v>
      </c>
    </row>
    <row r="238" spans="1:72" x14ac:dyDescent="0.15">
      <c r="A238" t="s">
        <v>72</v>
      </c>
      <c r="B238" t="s">
        <v>4486</v>
      </c>
      <c r="C238" t="s">
        <v>74</v>
      </c>
      <c r="D238" t="s">
        <v>74</v>
      </c>
      <c r="E238" t="s">
        <v>74</v>
      </c>
      <c r="F238" t="s">
        <v>4487</v>
      </c>
      <c r="G238" t="s">
        <v>74</v>
      </c>
      <c r="H238" t="s">
        <v>74</v>
      </c>
      <c r="I238" t="s">
        <v>4488</v>
      </c>
      <c r="J238" t="s">
        <v>1732</v>
      </c>
      <c r="K238" t="s">
        <v>74</v>
      </c>
      <c r="L238" t="s">
        <v>74</v>
      </c>
      <c r="M238" t="s">
        <v>78</v>
      </c>
      <c r="N238" t="s">
        <v>79</v>
      </c>
      <c r="O238" t="s">
        <v>74</v>
      </c>
      <c r="P238" t="s">
        <v>74</v>
      </c>
      <c r="Q238" t="s">
        <v>74</v>
      </c>
      <c r="R238" t="s">
        <v>74</v>
      </c>
      <c r="S238" t="s">
        <v>74</v>
      </c>
      <c r="T238" t="s">
        <v>4489</v>
      </c>
      <c r="U238" t="s">
        <v>4490</v>
      </c>
      <c r="V238" t="s">
        <v>4491</v>
      </c>
      <c r="W238" t="s">
        <v>4492</v>
      </c>
      <c r="X238" t="s">
        <v>3872</v>
      </c>
      <c r="Y238" t="s">
        <v>4493</v>
      </c>
      <c r="Z238" t="s">
        <v>4494</v>
      </c>
      <c r="AA238" t="s">
        <v>4495</v>
      </c>
      <c r="AB238" t="s">
        <v>4496</v>
      </c>
      <c r="AC238" t="s">
        <v>4497</v>
      </c>
      <c r="AD238" t="s">
        <v>4498</v>
      </c>
      <c r="AE238" t="s">
        <v>4499</v>
      </c>
      <c r="AF238" t="s">
        <v>74</v>
      </c>
      <c r="AG238">
        <v>52</v>
      </c>
      <c r="AH238">
        <v>1</v>
      </c>
      <c r="AI238">
        <v>1</v>
      </c>
      <c r="AJ238">
        <v>12</v>
      </c>
      <c r="AK238">
        <v>17</v>
      </c>
      <c r="AL238" t="s">
        <v>1743</v>
      </c>
      <c r="AM238" t="s">
        <v>1744</v>
      </c>
      <c r="AN238" t="s">
        <v>1745</v>
      </c>
      <c r="AO238" t="s">
        <v>1746</v>
      </c>
      <c r="AP238" t="s">
        <v>1747</v>
      </c>
      <c r="AQ238" t="s">
        <v>74</v>
      </c>
      <c r="AR238" t="s">
        <v>1748</v>
      </c>
      <c r="AS238" t="s">
        <v>1749</v>
      </c>
      <c r="AT238" t="s">
        <v>74</v>
      </c>
      <c r="AU238">
        <v>2023</v>
      </c>
      <c r="AV238">
        <v>61</v>
      </c>
      <c r="AW238" t="s">
        <v>74</v>
      </c>
      <c r="AX238" t="s">
        <v>74</v>
      </c>
      <c r="AY238" t="s">
        <v>74</v>
      </c>
      <c r="AZ238" t="s">
        <v>74</v>
      </c>
      <c r="BA238" t="s">
        <v>74</v>
      </c>
      <c r="BB238" t="s">
        <v>74</v>
      </c>
      <c r="BC238" t="s">
        <v>74</v>
      </c>
      <c r="BD238">
        <v>5800410</v>
      </c>
      <c r="BE238" t="s">
        <v>4500</v>
      </c>
      <c r="BF238" t="str">
        <f>HYPERLINK("http://dx.doi.org/10.1109/TGRS.2023.3252041","http://dx.doi.org/10.1109/TGRS.2023.3252041")</f>
        <v>http://dx.doi.org/10.1109/TGRS.2023.3252041</v>
      </c>
      <c r="BG238" t="s">
        <v>74</v>
      </c>
      <c r="BH238" t="s">
        <v>74</v>
      </c>
      <c r="BI238">
        <v>10</v>
      </c>
      <c r="BJ238" t="s">
        <v>1751</v>
      </c>
      <c r="BK238" t="s">
        <v>104</v>
      </c>
      <c r="BL238" t="s">
        <v>1752</v>
      </c>
      <c r="BM238" t="s">
        <v>4501</v>
      </c>
      <c r="BN238" t="s">
        <v>74</v>
      </c>
      <c r="BO238" t="s">
        <v>74</v>
      </c>
      <c r="BP238" t="s">
        <v>74</v>
      </c>
      <c r="BQ238" t="s">
        <v>74</v>
      </c>
      <c r="BR238" t="s">
        <v>108</v>
      </c>
      <c r="BS238" t="s">
        <v>4502</v>
      </c>
      <c r="BT238" t="str">
        <f>HYPERLINK("https%3A%2F%2Fwww.webofscience.com%2Fwos%2Fwoscc%2Ffull-record%2FWOS:000961112200012","View Full Record in Web of Science")</f>
        <v>View Full Record in Web of Science</v>
      </c>
    </row>
    <row r="239" spans="1:72" x14ac:dyDescent="0.15">
      <c r="A239" t="s">
        <v>72</v>
      </c>
      <c r="B239" t="s">
        <v>4503</v>
      </c>
      <c r="C239" t="s">
        <v>74</v>
      </c>
      <c r="D239" t="s">
        <v>74</v>
      </c>
      <c r="E239" t="s">
        <v>74</v>
      </c>
      <c r="F239" t="s">
        <v>4504</v>
      </c>
      <c r="G239" t="s">
        <v>74</v>
      </c>
      <c r="H239" t="s">
        <v>74</v>
      </c>
      <c r="I239" t="s">
        <v>4505</v>
      </c>
      <c r="J239" t="s">
        <v>4506</v>
      </c>
      <c r="K239" t="s">
        <v>74</v>
      </c>
      <c r="L239" t="s">
        <v>74</v>
      </c>
      <c r="M239" t="s">
        <v>78</v>
      </c>
      <c r="N239" t="s">
        <v>79</v>
      </c>
      <c r="O239" t="s">
        <v>74</v>
      </c>
      <c r="P239" t="s">
        <v>74</v>
      </c>
      <c r="Q239" t="s">
        <v>74</v>
      </c>
      <c r="R239" t="s">
        <v>74</v>
      </c>
      <c r="S239" t="s">
        <v>74</v>
      </c>
      <c r="T239" t="s">
        <v>4507</v>
      </c>
      <c r="U239" t="s">
        <v>4508</v>
      </c>
      <c r="V239" t="s">
        <v>4509</v>
      </c>
      <c r="W239" t="s">
        <v>4510</v>
      </c>
      <c r="X239" t="s">
        <v>4511</v>
      </c>
      <c r="Y239" t="s">
        <v>4512</v>
      </c>
      <c r="Z239" t="s">
        <v>4513</v>
      </c>
      <c r="AA239" t="s">
        <v>4514</v>
      </c>
      <c r="AB239" t="s">
        <v>4515</v>
      </c>
      <c r="AC239" t="s">
        <v>4516</v>
      </c>
      <c r="AD239" t="s">
        <v>4517</v>
      </c>
      <c r="AE239" t="s">
        <v>4518</v>
      </c>
      <c r="AF239" t="s">
        <v>74</v>
      </c>
      <c r="AG239">
        <v>43</v>
      </c>
      <c r="AH239">
        <v>0</v>
      </c>
      <c r="AI239">
        <v>0</v>
      </c>
      <c r="AJ239">
        <v>2</v>
      </c>
      <c r="AK239">
        <v>2</v>
      </c>
      <c r="AL239" t="s">
        <v>4519</v>
      </c>
      <c r="AM239" t="s">
        <v>4520</v>
      </c>
      <c r="AN239" t="s">
        <v>4521</v>
      </c>
      <c r="AO239" t="s">
        <v>4522</v>
      </c>
      <c r="AP239" t="s">
        <v>74</v>
      </c>
      <c r="AQ239" t="s">
        <v>74</v>
      </c>
      <c r="AR239" t="s">
        <v>4523</v>
      </c>
      <c r="AS239" t="s">
        <v>4524</v>
      </c>
      <c r="AT239" t="s">
        <v>276</v>
      </c>
      <c r="AU239">
        <v>2023</v>
      </c>
      <c r="AV239">
        <v>52</v>
      </c>
      <c r="AW239">
        <v>1</v>
      </c>
      <c r="AX239" t="s">
        <v>74</v>
      </c>
      <c r="AY239" t="s">
        <v>74</v>
      </c>
      <c r="AZ239" t="s">
        <v>74</v>
      </c>
      <c r="BA239" t="s">
        <v>74</v>
      </c>
      <c r="BB239">
        <v>83</v>
      </c>
      <c r="BC239">
        <v>93</v>
      </c>
      <c r="BD239" t="s">
        <v>74</v>
      </c>
      <c r="BE239" t="s">
        <v>4525</v>
      </c>
      <c r="BF239" t="str">
        <f>HYPERLINK("http://dx.doi.org/10.17576/jsm-2023-5201-07","http://dx.doi.org/10.17576/jsm-2023-5201-07")</f>
        <v>http://dx.doi.org/10.17576/jsm-2023-5201-07</v>
      </c>
      <c r="BG239" t="s">
        <v>74</v>
      </c>
      <c r="BH239" t="s">
        <v>74</v>
      </c>
      <c r="BI239">
        <v>11</v>
      </c>
      <c r="BJ239" t="s">
        <v>189</v>
      </c>
      <c r="BK239" t="s">
        <v>104</v>
      </c>
      <c r="BL239" t="s">
        <v>190</v>
      </c>
      <c r="BM239" t="s">
        <v>4526</v>
      </c>
      <c r="BN239" t="s">
        <v>74</v>
      </c>
      <c r="BO239" t="s">
        <v>2832</v>
      </c>
      <c r="BP239" t="s">
        <v>74</v>
      </c>
      <c r="BQ239" t="s">
        <v>74</v>
      </c>
      <c r="BR239" t="s">
        <v>108</v>
      </c>
      <c r="BS239" t="s">
        <v>4527</v>
      </c>
      <c r="BT239" t="str">
        <f>HYPERLINK("https%3A%2F%2Fwww.webofscience.com%2Fwos%2Fwoscc%2Ffull-record%2FWOS:000966791300007","View Full Record in Web of Science")</f>
        <v>View Full Record in Web of Science</v>
      </c>
    </row>
    <row r="240" spans="1:72" x14ac:dyDescent="0.15">
      <c r="A240" t="s">
        <v>72</v>
      </c>
      <c r="B240" t="s">
        <v>4528</v>
      </c>
      <c r="C240" t="s">
        <v>74</v>
      </c>
      <c r="D240" t="s">
        <v>74</v>
      </c>
      <c r="E240" t="s">
        <v>74</v>
      </c>
      <c r="F240" t="s">
        <v>4529</v>
      </c>
      <c r="G240" t="s">
        <v>74</v>
      </c>
      <c r="H240" t="s">
        <v>74</v>
      </c>
      <c r="I240" t="s">
        <v>4530</v>
      </c>
      <c r="J240" t="s">
        <v>1732</v>
      </c>
      <c r="K240" t="s">
        <v>74</v>
      </c>
      <c r="L240" t="s">
        <v>74</v>
      </c>
      <c r="M240" t="s">
        <v>78</v>
      </c>
      <c r="N240" t="s">
        <v>79</v>
      </c>
      <c r="O240" t="s">
        <v>74</v>
      </c>
      <c r="P240" t="s">
        <v>74</v>
      </c>
      <c r="Q240" t="s">
        <v>74</v>
      </c>
      <c r="R240" t="s">
        <v>74</v>
      </c>
      <c r="S240" t="s">
        <v>74</v>
      </c>
      <c r="T240" t="s">
        <v>4531</v>
      </c>
      <c r="U240" t="s">
        <v>4532</v>
      </c>
      <c r="V240" t="s">
        <v>4533</v>
      </c>
      <c r="W240" t="s">
        <v>4534</v>
      </c>
      <c r="X240" t="s">
        <v>4535</v>
      </c>
      <c r="Y240" t="s">
        <v>4536</v>
      </c>
      <c r="Z240" t="s">
        <v>4537</v>
      </c>
      <c r="AA240" t="s">
        <v>74</v>
      </c>
      <c r="AB240" t="s">
        <v>74</v>
      </c>
      <c r="AC240" t="s">
        <v>4538</v>
      </c>
      <c r="AD240" t="s">
        <v>4539</v>
      </c>
      <c r="AE240" t="s">
        <v>4540</v>
      </c>
      <c r="AF240" t="s">
        <v>74</v>
      </c>
      <c r="AG240">
        <v>60</v>
      </c>
      <c r="AH240">
        <v>0</v>
      </c>
      <c r="AI240">
        <v>0</v>
      </c>
      <c r="AJ240">
        <v>9</v>
      </c>
      <c r="AK240">
        <v>24</v>
      </c>
      <c r="AL240" t="s">
        <v>1743</v>
      </c>
      <c r="AM240" t="s">
        <v>1744</v>
      </c>
      <c r="AN240" t="s">
        <v>1745</v>
      </c>
      <c r="AO240" t="s">
        <v>1746</v>
      </c>
      <c r="AP240" t="s">
        <v>1747</v>
      </c>
      <c r="AQ240" t="s">
        <v>74</v>
      </c>
      <c r="AR240" t="s">
        <v>1748</v>
      </c>
      <c r="AS240" t="s">
        <v>1749</v>
      </c>
      <c r="AT240" t="s">
        <v>74</v>
      </c>
      <c r="AU240">
        <v>2023</v>
      </c>
      <c r="AV240">
        <v>61</v>
      </c>
      <c r="AW240" t="s">
        <v>74</v>
      </c>
      <c r="AX240" t="s">
        <v>74</v>
      </c>
      <c r="AY240" t="s">
        <v>74</v>
      </c>
      <c r="AZ240" t="s">
        <v>74</v>
      </c>
      <c r="BA240" t="s">
        <v>74</v>
      </c>
      <c r="BB240" t="s">
        <v>74</v>
      </c>
      <c r="BC240" t="s">
        <v>74</v>
      </c>
      <c r="BD240">
        <v>4203113</v>
      </c>
      <c r="BE240" t="s">
        <v>4541</v>
      </c>
      <c r="BF240" t="str">
        <f>HYPERLINK("http://dx.doi.org/10.1109/TGRS.2023.3256367","http://dx.doi.org/10.1109/TGRS.2023.3256367")</f>
        <v>http://dx.doi.org/10.1109/TGRS.2023.3256367</v>
      </c>
      <c r="BG240" t="s">
        <v>74</v>
      </c>
      <c r="BH240" t="s">
        <v>74</v>
      </c>
      <c r="BI240">
        <v>13</v>
      </c>
      <c r="BJ240" t="s">
        <v>1751</v>
      </c>
      <c r="BK240" t="s">
        <v>104</v>
      </c>
      <c r="BL240" t="s">
        <v>1752</v>
      </c>
      <c r="BM240" t="s">
        <v>4542</v>
      </c>
      <c r="BN240" t="s">
        <v>74</v>
      </c>
      <c r="BO240" t="s">
        <v>74</v>
      </c>
      <c r="BP240" t="s">
        <v>74</v>
      </c>
      <c r="BQ240" t="s">
        <v>74</v>
      </c>
      <c r="BR240" t="s">
        <v>108</v>
      </c>
      <c r="BS240" t="s">
        <v>4543</v>
      </c>
      <c r="BT240" t="str">
        <f>HYPERLINK("https%3A%2F%2Fwww.webofscience.com%2Fwos%2Fwoscc%2Ffull-record%2FWOS:000966113400001","View Full Record in Web of Science")</f>
        <v>View Full Record in Web of Science</v>
      </c>
    </row>
    <row r="241" spans="1:72" x14ac:dyDescent="0.15">
      <c r="A241" t="s">
        <v>72</v>
      </c>
      <c r="B241" t="s">
        <v>4544</v>
      </c>
      <c r="C241" t="s">
        <v>74</v>
      </c>
      <c r="D241" t="s">
        <v>74</v>
      </c>
      <c r="E241" t="s">
        <v>74</v>
      </c>
      <c r="F241" t="s">
        <v>4545</v>
      </c>
      <c r="G241" t="s">
        <v>74</v>
      </c>
      <c r="H241" t="s">
        <v>74</v>
      </c>
      <c r="I241" t="s">
        <v>4546</v>
      </c>
      <c r="J241" t="s">
        <v>4547</v>
      </c>
      <c r="K241" t="s">
        <v>74</v>
      </c>
      <c r="L241" t="s">
        <v>74</v>
      </c>
      <c r="M241" t="s">
        <v>78</v>
      </c>
      <c r="N241" t="s">
        <v>79</v>
      </c>
      <c r="O241" t="s">
        <v>74</v>
      </c>
      <c r="P241" t="s">
        <v>74</v>
      </c>
      <c r="Q241" t="s">
        <v>74</v>
      </c>
      <c r="R241" t="s">
        <v>74</v>
      </c>
      <c r="S241" t="s">
        <v>74</v>
      </c>
      <c r="T241" t="s">
        <v>4548</v>
      </c>
      <c r="U241" t="s">
        <v>4549</v>
      </c>
      <c r="V241" t="s">
        <v>4550</v>
      </c>
      <c r="W241" t="s">
        <v>4551</v>
      </c>
      <c r="X241" t="s">
        <v>4552</v>
      </c>
      <c r="Y241" t="s">
        <v>4553</v>
      </c>
      <c r="Z241" t="s">
        <v>4554</v>
      </c>
      <c r="AA241" t="s">
        <v>4555</v>
      </c>
      <c r="AB241" t="s">
        <v>4556</v>
      </c>
      <c r="AC241" t="s">
        <v>74</v>
      </c>
      <c r="AD241" t="s">
        <v>74</v>
      </c>
      <c r="AE241" t="s">
        <v>74</v>
      </c>
      <c r="AF241" t="s">
        <v>74</v>
      </c>
      <c r="AG241">
        <v>77</v>
      </c>
      <c r="AH241">
        <v>0</v>
      </c>
      <c r="AI241">
        <v>0</v>
      </c>
      <c r="AJ241">
        <v>0</v>
      </c>
      <c r="AK241">
        <v>3</v>
      </c>
      <c r="AL241" t="s">
        <v>3783</v>
      </c>
      <c r="AM241" t="s">
        <v>155</v>
      </c>
      <c r="AN241" t="s">
        <v>4557</v>
      </c>
      <c r="AO241" t="s">
        <v>4558</v>
      </c>
      <c r="AP241" t="s">
        <v>4559</v>
      </c>
      <c r="AQ241" t="s">
        <v>74</v>
      </c>
      <c r="AR241" t="s">
        <v>4560</v>
      </c>
      <c r="AS241" t="s">
        <v>4561</v>
      </c>
      <c r="AT241" t="s">
        <v>276</v>
      </c>
      <c r="AU241">
        <v>2023</v>
      </c>
      <c r="AV241">
        <v>39</v>
      </c>
      <c r="AW241">
        <v>1</v>
      </c>
      <c r="AX241" t="s">
        <v>74</v>
      </c>
      <c r="AY241" t="s">
        <v>74</v>
      </c>
      <c r="AZ241" t="s">
        <v>74</v>
      </c>
      <c r="BA241" t="s">
        <v>74</v>
      </c>
      <c r="BB241">
        <v>205</v>
      </c>
      <c r="BC241">
        <v>216</v>
      </c>
      <c r="BD241" t="s">
        <v>74</v>
      </c>
      <c r="BE241" t="s">
        <v>4562</v>
      </c>
      <c r="BF241" t="str">
        <f>HYPERLINK("http://dx.doi.org/10.18654/1000-0569/2023.01.14","http://dx.doi.org/10.18654/1000-0569/2023.01.14")</f>
        <v>http://dx.doi.org/10.18654/1000-0569/2023.01.14</v>
      </c>
      <c r="BG241" t="s">
        <v>74</v>
      </c>
      <c r="BH241" t="s">
        <v>74</v>
      </c>
      <c r="BI241">
        <v>12</v>
      </c>
      <c r="BJ241" t="s">
        <v>456</v>
      </c>
      <c r="BK241" t="s">
        <v>104</v>
      </c>
      <c r="BL241" t="s">
        <v>456</v>
      </c>
      <c r="BM241" t="s">
        <v>4563</v>
      </c>
      <c r="BN241" t="s">
        <v>74</v>
      </c>
      <c r="BO241" t="s">
        <v>219</v>
      </c>
      <c r="BP241" t="s">
        <v>74</v>
      </c>
      <c r="BQ241" t="s">
        <v>74</v>
      </c>
      <c r="BR241" t="s">
        <v>108</v>
      </c>
      <c r="BS241" t="s">
        <v>4564</v>
      </c>
      <c r="BT241" t="str">
        <f>HYPERLINK("https%3A%2F%2Fwww.webofscience.com%2Fwos%2Fwoscc%2Ffull-record%2FWOS:000952014200014","View Full Record in Web of Science")</f>
        <v>View Full Record in Web of Science</v>
      </c>
    </row>
    <row r="242" spans="1:72" x14ac:dyDescent="0.15">
      <c r="A242" t="s">
        <v>72</v>
      </c>
      <c r="B242" t="s">
        <v>4565</v>
      </c>
      <c r="C242" t="s">
        <v>74</v>
      </c>
      <c r="D242" t="s">
        <v>74</v>
      </c>
      <c r="E242" t="s">
        <v>74</v>
      </c>
      <c r="F242" t="s">
        <v>4566</v>
      </c>
      <c r="G242" t="s">
        <v>74</v>
      </c>
      <c r="H242" t="s">
        <v>74</v>
      </c>
      <c r="I242" t="s">
        <v>4567</v>
      </c>
      <c r="J242" t="s">
        <v>2602</v>
      </c>
      <c r="K242" t="s">
        <v>74</v>
      </c>
      <c r="L242" t="s">
        <v>74</v>
      </c>
      <c r="M242" t="s">
        <v>78</v>
      </c>
      <c r="N242" t="s">
        <v>79</v>
      </c>
      <c r="O242" t="s">
        <v>74</v>
      </c>
      <c r="P242" t="s">
        <v>74</v>
      </c>
      <c r="Q242" t="s">
        <v>74</v>
      </c>
      <c r="R242" t="s">
        <v>74</v>
      </c>
      <c r="S242" t="s">
        <v>74</v>
      </c>
      <c r="T242" t="s">
        <v>4568</v>
      </c>
      <c r="U242" t="s">
        <v>4569</v>
      </c>
      <c r="V242" t="s">
        <v>4570</v>
      </c>
      <c r="W242" t="s">
        <v>4571</v>
      </c>
      <c r="X242" t="s">
        <v>4572</v>
      </c>
      <c r="Y242" t="s">
        <v>4573</v>
      </c>
      <c r="Z242" t="s">
        <v>4574</v>
      </c>
      <c r="AA242" t="s">
        <v>4575</v>
      </c>
      <c r="AB242" t="s">
        <v>4576</v>
      </c>
      <c r="AC242" t="s">
        <v>4577</v>
      </c>
      <c r="AD242" t="s">
        <v>4578</v>
      </c>
      <c r="AE242" t="s">
        <v>4579</v>
      </c>
      <c r="AF242" t="s">
        <v>74</v>
      </c>
      <c r="AG242">
        <v>21</v>
      </c>
      <c r="AH242">
        <v>3</v>
      </c>
      <c r="AI242">
        <v>4</v>
      </c>
      <c r="AJ242">
        <v>10</v>
      </c>
      <c r="AK242">
        <v>22</v>
      </c>
      <c r="AL242" t="s">
        <v>1743</v>
      </c>
      <c r="AM242" t="s">
        <v>1744</v>
      </c>
      <c r="AN242" t="s">
        <v>1745</v>
      </c>
      <c r="AO242" t="s">
        <v>2613</v>
      </c>
      <c r="AP242" t="s">
        <v>2614</v>
      </c>
      <c r="AQ242" t="s">
        <v>74</v>
      </c>
      <c r="AR242" t="s">
        <v>2615</v>
      </c>
      <c r="AS242" t="s">
        <v>2616</v>
      </c>
      <c r="AT242" t="s">
        <v>74</v>
      </c>
      <c r="AU242">
        <v>2023</v>
      </c>
      <c r="AV242">
        <v>20</v>
      </c>
      <c r="AW242" t="s">
        <v>74</v>
      </c>
      <c r="AX242" t="s">
        <v>74</v>
      </c>
      <c r="AY242" t="s">
        <v>74</v>
      </c>
      <c r="AZ242" t="s">
        <v>74</v>
      </c>
      <c r="BA242" t="s">
        <v>74</v>
      </c>
      <c r="BB242" t="s">
        <v>74</v>
      </c>
      <c r="BC242" t="s">
        <v>74</v>
      </c>
      <c r="BD242">
        <v>6000205</v>
      </c>
      <c r="BE242" t="s">
        <v>4580</v>
      </c>
      <c r="BF242" t="str">
        <f>HYPERLINK("http://dx.doi.org/10.1109/LGRS.2023.3239030","http://dx.doi.org/10.1109/LGRS.2023.3239030")</f>
        <v>http://dx.doi.org/10.1109/LGRS.2023.3239030</v>
      </c>
      <c r="BG242" t="s">
        <v>74</v>
      </c>
      <c r="BH242" t="s">
        <v>74</v>
      </c>
      <c r="BI242">
        <v>5</v>
      </c>
      <c r="BJ242" t="s">
        <v>1751</v>
      </c>
      <c r="BK242" t="s">
        <v>104</v>
      </c>
      <c r="BL242" t="s">
        <v>1752</v>
      </c>
      <c r="BM242" t="s">
        <v>4581</v>
      </c>
      <c r="BN242" t="s">
        <v>74</v>
      </c>
      <c r="BO242" t="s">
        <v>74</v>
      </c>
      <c r="BP242" t="s">
        <v>74</v>
      </c>
      <c r="BQ242" t="s">
        <v>74</v>
      </c>
      <c r="BR242" t="s">
        <v>108</v>
      </c>
      <c r="BS242" t="s">
        <v>4582</v>
      </c>
      <c r="BT242" t="str">
        <f>HYPERLINK("https%3A%2F%2Fwww.webofscience.com%2Fwos%2Fwoscc%2Ffull-record%2FWOS:000966768400001","View Full Record in Web of Science")</f>
        <v>View Full Record in Web of Science</v>
      </c>
    </row>
    <row r="243" spans="1:72" x14ac:dyDescent="0.15">
      <c r="A243" t="s">
        <v>72</v>
      </c>
      <c r="B243" t="s">
        <v>4583</v>
      </c>
      <c r="C243" t="s">
        <v>74</v>
      </c>
      <c r="D243" t="s">
        <v>74</v>
      </c>
      <c r="E243" t="s">
        <v>74</v>
      </c>
      <c r="F243" t="s">
        <v>4584</v>
      </c>
      <c r="G243" t="s">
        <v>74</v>
      </c>
      <c r="H243" t="s">
        <v>74</v>
      </c>
      <c r="I243" t="s">
        <v>4585</v>
      </c>
      <c r="J243" t="s">
        <v>2100</v>
      </c>
      <c r="K243" t="s">
        <v>74</v>
      </c>
      <c r="L243" t="s">
        <v>74</v>
      </c>
      <c r="M243" t="s">
        <v>78</v>
      </c>
      <c r="N243" t="s">
        <v>79</v>
      </c>
      <c r="O243" t="s">
        <v>74</v>
      </c>
      <c r="P243" t="s">
        <v>74</v>
      </c>
      <c r="Q243" t="s">
        <v>74</v>
      </c>
      <c r="R243" t="s">
        <v>74</v>
      </c>
      <c r="S243" t="s">
        <v>74</v>
      </c>
      <c r="T243" t="s">
        <v>4586</v>
      </c>
      <c r="U243" t="s">
        <v>4587</v>
      </c>
      <c r="V243" t="s">
        <v>4588</v>
      </c>
      <c r="W243" t="s">
        <v>4589</v>
      </c>
      <c r="X243" t="s">
        <v>4590</v>
      </c>
      <c r="Y243" t="s">
        <v>4591</v>
      </c>
      <c r="Z243" t="s">
        <v>4592</v>
      </c>
      <c r="AA243" t="s">
        <v>4593</v>
      </c>
      <c r="AB243" t="s">
        <v>4594</v>
      </c>
      <c r="AC243" t="s">
        <v>4595</v>
      </c>
      <c r="AD243" t="s">
        <v>4596</v>
      </c>
      <c r="AE243" t="s">
        <v>4597</v>
      </c>
      <c r="AF243" t="s">
        <v>74</v>
      </c>
      <c r="AG243">
        <v>119</v>
      </c>
      <c r="AH243">
        <v>4</v>
      </c>
      <c r="AI243">
        <v>4</v>
      </c>
      <c r="AJ243">
        <v>16</v>
      </c>
      <c r="AK243">
        <v>31</v>
      </c>
      <c r="AL243" t="s">
        <v>1743</v>
      </c>
      <c r="AM243" t="s">
        <v>1744</v>
      </c>
      <c r="AN243" t="s">
        <v>1745</v>
      </c>
      <c r="AO243" t="s">
        <v>2109</v>
      </c>
      <c r="AP243" t="s">
        <v>2110</v>
      </c>
      <c r="AQ243" t="s">
        <v>74</v>
      </c>
      <c r="AR243" t="s">
        <v>2111</v>
      </c>
      <c r="AS243" t="s">
        <v>2112</v>
      </c>
      <c r="AT243" t="s">
        <v>74</v>
      </c>
      <c r="AU243">
        <v>2023</v>
      </c>
      <c r="AV243">
        <v>16</v>
      </c>
      <c r="AW243" t="s">
        <v>74</v>
      </c>
      <c r="AX243" t="s">
        <v>74</v>
      </c>
      <c r="AY243" t="s">
        <v>74</v>
      </c>
      <c r="AZ243" t="s">
        <v>74</v>
      </c>
      <c r="BA243" t="s">
        <v>74</v>
      </c>
      <c r="BB243">
        <v>2462</v>
      </c>
      <c r="BC243">
        <v>2480</v>
      </c>
      <c r="BD243" t="s">
        <v>74</v>
      </c>
      <c r="BE243" t="s">
        <v>4598</v>
      </c>
      <c r="BF243" t="str">
        <f>HYPERLINK("http://dx.doi.org/10.1109/JSTARS.2022.3216953","http://dx.doi.org/10.1109/JSTARS.2022.3216953")</f>
        <v>http://dx.doi.org/10.1109/JSTARS.2022.3216953</v>
      </c>
      <c r="BG243" t="s">
        <v>74</v>
      </c>
      <c r="BH243" t="s">
        <v>74</v>
      </c>
      <c r="BI243">
        <v>19</v>
      </c>
      <c r="BJ243" t="s">
        <v>2114</v>
      </c>
      <c r="BK243" t="s">
        <v>104</v>
      </c>
      <c r="BL243" t="s">
        <v>2115</v>
      </c>
      <c r="BM243" t="s">
        <v>4599</v>
      </c>
      <c r="BN243" t="s">
        <v>74</v>
      </c>
      <c r="BO243" t="s">
        <v>3181</v>
      </c>
      <c r="BP243" t="s">
        <v>74</v>
      </c>
      <c r="BQ243" t="s">
        <v>74</v>
      </c>
      <c r="BR243" t="s">
        <v>108</v>
      </c>
      <c r="BS243" t="s">
        <v>4600</v>
      </c>
      <c r="BT243" t="str">
        <f>HYPERLINK("https%3A%2F%2Fwww.webofscience.com%2Fwos%2Fwoscc%2Ffull-record%2FWOS:000952892000006","View Full Record in Web of Science")</f>
        <v>View Full Record in Web of Science</v>
      </c>
    </row>
    <row r="244" spans="1:72" x14ac:dyDescent="0.15">
      <c r="A244" t="s">
        <v>72</v>
      </c>
      <c r="B244" t="s">
        <v>4601</v>
      </c>
      <c r="C244" t="s">
        <v>74</v>
      </c>
      <c r="D244" t="s">
        <v>74</v>
      </c>
      <c r="E244" t="s">
        <v>74</v>
      </c>
      <c r="F244" t="s">
        <v>4602</v>
      </c>
      <c r="G244" t="s">
        <v>74</v>
      </c>
      <c r="H244" t="s">
        <v>74</v>
      </c>
      <c r="I244" t="s">
        <v>4603</v>
      </c>
      <c r="J244" t="s">
        <v>2669</v>
      </c>
      <c r="K244" t="s">
        <v>74</v>
      </c>
      <c r="L244" t="s">
        <v>74</v>
      </c>
      <c r="M244" t="s">
        <v>78</v>
      </c>
      <c r="N244" t="s">
        <v>79</v>
      </c>
      <c r="O244" t="s">
        <v>74</v>
      </c>
      <c r="P244" t="s">
        <v>74</v>
      </c>
      <c r="Q244" t="s">
        <v>74</v>
      </c>
      <c r="R244" t="s">
        <v>74</v>
      </c>
      <c r="S244" t="s">
        <v>74</v>
      </c>
      <c r="T244" t="s">
        <v>4604</v>
      </c>
      <c r="U244" t="s">
        <v>4605</v>
      </c>
      <c r="V244" t="s">
        <v>4606</v>
      </c>
      <c r="W244" t="s">
        <v>4607</v>
      </c>
      <c r="X244" t="s">
        <v>4608</v>
      </c>
      <c r="Y244" t="s">
        <v>4609</v>
      </c>
      <c r="Z244" t="s">
        <v>4610</v>
      </c>
      <c r="AA244" t="s">
        <v>4611</v>
      </c>
      <c r="AB244" t="s">
        <v>4612</v>
      </c>
      <c r="AC244" t="s">
        <v>4613</v>
      </c>
      <c r="AD244" t="s">
        <v>4614</v>
      </c>
      <c r="AE244" t="s">
        <v>4615</v>
      </c>
      <c r="AF244" t="s">
        <v>74</v>
      </c>
      <c r="AG244">
        <v>64</v>
      </c>
      <c r="AH244">
        <v>1</v>
      </c>
      <c r="AI244">
        <v>1</v>
      </c>
      <c r="AJ244">
        <v>4</v>
      </c>
      <c r="AK244">
        <v>7</v>
      </c>
      <c r="AL244" t="s">
        <v>2679</v>
      </c>
      <c r="AM244" t="s">
        <v>1766</v>
      </c>
      <c r="AN244" t="s">
        <v>1767</v>
      </c>
      <c r="AO244" t="s">
        <v>2680</v>
      </c>
      <c r="AP244" t="s">
        <v>2681</v>
      </c>
      <c r="AQ244" t="s">
        <v>74</v>
      </c>
      <c r="AR244" t="s">
        <v>2682</v>
      </c>
      <c r="AS244" t="s">
        <v>2683</v>
      </c>
      <c r="AT244" t="s">
        <v>74</v>
      </c>
      <c r="AU244">
        <v>2023</v>
      </c>
      <c r="AV244">
        <v>44</v>
      </c>
      <c r="AW244">
        <v>1</v>
      </c>
      <c r="AX244" t="s">
        <v>74</v>
      </c>
      <c r="AY244" t="s">
        <v>74</v>
      </c>
      <c r="AZ244" t="s">
        <v>74</v>
      </c>
      <c r="BA244" t="s">
        <v>74</v>
      </c>
      <c r="BB244">
        <v>41</v>
      </c>
      <c r="BC244">
        <v>68</v>
      </c>
      <c r="BD244" t="s">
        <v>74</v>
      </c>
      <c r="BE244" t="s">
        <v>4616</v>
      </c>
      <c r="BF244" t="str">
        <f>HYPERLINK("http://dx.doi.org/10.24425/ppr.2023.144537","http://dx.doi.org/10.24425/ppr.2023.144537")</f>
        <v>http://dx.doi.org/10.24425/ppr.2023.144537</v>
      </c>
      <c r="BG244" t="s">
        <v>74</v>
      </c>
      <c r="BH244" t="s">
        <v>74</v>
      </c>
      <c r="BI244">
        <v>28</v>
      </c>
      <c r="BJ244" t="s">
        <v>734</v>
      </c>
      <c r="BK244" t="s">
        <v>104</v>
      </c>
      <c r="BL244" t="s">
        <v>735</v>
      </c>
      <c r="BM244" t="s">
        <v>4617</v>
      </c>
      <c r="BN244" t="s">
        <v>74</v>
      </c>
      <c r="BO244" t="s">
        <v>165</v>
      </c>
      <c r="BP244" t="s">
        <v>74</v>
      </c>
      <c r="BQ244" t="s">
        <v>74</v>
      </c>
      <c r="BR244" t="s">
        <v>108</v>
      </c>
      <c r="BS244" t="s">
        <v>4618</v>
      </c>
      <c r="BT244" t="str">
        <f>HYPERLINK("https%3A%2F%2Fwww.webofscience.com%2Fwos%2Fwoscc%2Ffull-record%2FWOS:000956740100003","View Full Record in Web of Science")</f>
        <v>View Full Record in Web of Science</v>
      </c>
    </row>
    <row r="245" spans="1:72" x14ac:dyDescent="0.15">
      <c r="A245" t="s">
        <v>72</v>
      </c>
      <c r="B245" t="s">
        <v>4619</v>
      </c>
      <c r="C245" t="s">
        <v>74</v>
      </c>
      <c r="D245" t="s">
        <v>74</v>
      </c>
      <c r="E245" t="s">
        <v>74</v>
      </c>
      <c r="F245" t="s">
        <v>4620</v>
      </c>
      <c r="G245" t="s">
        <v>74</v>
      </c>
      <c r="H245" t="s">
        <v>74</v>
      </c>
      <c r="I245" t="s">
        <v>4621</v>
      </c>
      <c r="J245" t="s">
        <v>2669</v>
      </c>
      <c r="K245" t="s">
        <v>74</v>
      </c>
      <c r="L245" t="s">
        <v>74</v>
      </c>
      <c r="M245" t="s">
        <v>78</v>
      </c>
      <c r="N245" t="s">
        <v>79</v>
      </c>
      <c r="O245" t="s">
        <v>74</v>
      </c>
      <c r="P245" t="s">
        <v>74</v>
      </c>
      <c r="Q245" t="s">
        <v>74</v>
      </c>
      <c r="R245" t="s">
        <v>74</v>
      </c>
      <c r="S245" t="s">
        <v>74</v>
      </c>
      <c r="T245" t="s">
        <v>4622</v>
      </c>
      <c r="U245" t="s">
        <v>4623</v>
      </c>
      <c r="V245" t="s">
        <v>4624</v>
      </c>
      <c r="W245" t="s">
        <v>4625</v>
      </c>
      <c r="X245" t="s">
        <v>4626</v>
      </c>
      <c r="Y245" t="s">
        <v>4627</v>
      </c>
      <c r="Z245" t="s">
        <v>3192</v>
      </c>
      <c r="AA245" t="s">
        <v>3193</v>
      </c>
      <c r="AB245" t="s">
        <v>3194</v>
      </c>
      <c r="AC245" t="s">
        <v>4628</v>
      </c>
      <c r="AD245" t="s">
        <v>4629</v>
      </c>
      <c r="AE245" t="s">
        <v>4630</v>
      </c>
      <c r="AF245" t="s">
        <v>74</v>
      </c>
      <c r="AG245">
        <v>40</v>
      </c>
      <c r="AH245">
        <v>1</v>
      </c>
      <c r="AI245">
        <v>1</v>
      </c>
      <c r="AJ245">
        <v>2</v>
      </c>
      <c r="AK245">
        <v>4</v>
      </c>
      <c r="AL245" t="s">
        <v>2679</v>
      </c>
      <c r="AM245" t="s">
        <v>1766</v>
      </c>
      <c r="AN245" t="s">
        <v>1767</v>
      </c>
      <c r="AO245" t="s">
        <v>2680</v>
      </c>
      <c r="AP245" t="s">
        <v>2681</v>
      </c>
      <c r="AQ245" t="s">
        <v>74</v>
      </c>
      <c r="AR245" t="s">
        <v>2682</v>
      </c>
      <c r="AS245" t="s">
        <v>2683</v>
      </c>
      <c r="AT245" t="s">
        <v>74</v>
      </c>
      <c r="AU245">
        <v>2023</v>
      </c>
      <c r="AV245">
        <v>44</v>
      </c>
      <c r="AW245">
        <v>1</v>
      </c>
      <c r="AX245" t="s">
        <v>74</v>
      </c>
      <c r="AY245" t="s">
        <v>74</v>
      </c>
      <c r="AZ245" t="s">
        <v>74</v>
      </c>
      <c r="BA245" t="s">
        <v>74</v>
      </c>
      <c r="BB245">
        <v>69</v>
      </c>
      <c r="BC245">
        <v>83</v>
      </c>
      <c r="BD245" t="s">
        <v>74</v>
      </c>
      <c r="BE245" t="s">
        <v>4631</v>
      </c>
      <c r="BF245" t="str">
        <f>HYPERLINK("http://dx.doi.org/10.24425/ppr.2022.140370","http://dx.doi.org/10.24425/ppr.2022.140370")</f>
        <v>http://dx.doi.org/10.24425/ppr.2022.140370</v>
      </c>
      <c r="BG245" t="s">
        <v>74</v>
      </c>
      <c r="BH245" t="s">
        <v>74</v>
      </c>
      <c r="BI245">
        <v>15</v>
      </c>
      <c r="BJ245" t="s">
        <v>734</v>
      </c>
      <c r="BK245" t="s">
        <v>104</v>
      </c>
      <c r="BL245" t="s">
        <v>735</v>
      </c>
      <c r="BM245" t="s">
        <v>4617</v>
      </c>
      <c r="BN245" t="s">
        <v>74</v>
      </c>
      <c r="BO245" t="s">
        <v>165</v>
      </c>
      <c r="BP245" t="s">
        <v>74</v>
      </c>
      <c r="BQ245" t="s">
        <v>74</v>
      </c>
      <c r="BR245" t="s">
        <v>108</v>
      </c>
      <c r="BS245" t="s">
        <v>4632</v>
      </c>
      <c r="BT245" t="str">
        <f>HYPERLINK("https%3A%2F%2Fwww.webofscience.com%2Fwos%2Fwoscc%2Ffull-record%2FWOS:000956740100004","View Full Record in Web of Science")</f>
        <v>View Full Record in Web of Science</v>
      </c>
    </row>
    <row r="246" spans="1:72" x14ac:dyDescent="0.15">
      <c r="A246" t="s">
        <v>72</v>
      </c>
      <c r="B246" t="s">
        <v>4633</v>
      </c>
      <c r="C246" t="s">
        <v>74</v>
      </c>
      <c r="D246" t="s">
        <v>74</v>
      </c>
      <c r="E246" t="s">
        <v>74</v>
      </c>
      <c r="F246" t="s">
        <v>4634</v>
      </c>
      <c r="G246" t="s">
        <v>74</v>
      </c>
      <c r="H246" t="s">
        <v>74</v>
      </c>
      <c r="I246" t="s">
        <v>4635</v>
      </c>
      <c r="J246" t="s">
        <v>4636</v>
      </c>
      <c r="K246" t="s">
        <v>74</v>
      </c>
      <c r="L246" t="s">
        <v>74</v>
      </c>
      <c r="M246" t="s">
        <v>78</v>
      </c>
      <c r="N246" t="s">
        <v>79</v>
      </c>
      <c r="O246" t="s">
        <v>74</v>
      </c>
      <c r="P246" t="s">
        <v>74</v>
      </c>
      <c r="Q246" t="s">
        <v>74</v>
      </c>
      <c r="R246" t="s">
        <v>74</v>
      </c>
      <c r="S246" t="s">
        <v>74</v>
      </c>
      <c r="T246" t="s">
        <v>4637</v>
      </c>
      <c r="U246" t="s">
        <v>4638</v>
      </c>
      <c r="V246" t="s">
        <v>4639</v>
      </c>
      <c r="W246" t="s">
        <v>4640</v>
      </c>
      <c r="X246" t="s">
        <v>4641</v>
      </c>
      <c r="Y246" t="s">
        <v>4642</v>
      </c>
      <c r="Z246" t="s">
        <v>4643</v>
      </c>
      <c r="AA246" t="s">
        <v>4644</v>
      </c>
      <c r="AB246" t="s">
        <v>4645</v>
      </c>
      <c r="AC246" t="s">
        <v>4646</v>
      </c>
      <c r="AD246" t="s">
        <v>4647</v>
      </c>
      <c r="AE246" t="s">
        <v>4648</v>
      </c>
      <c r="AF246" t="s">
        <v>74</v>
      </c>
      <c r="AG246">
        <v>32</v>
      </c>
      <c r="AH246">
        <v>0</v>
      </c>
      <c r="AI246">
        <v>0</v>
      </c>
      <c r="AJ246">
        <v>0</v>
      </c>
      <c r="AK246">
        <v>1</v>
      </c>
      <c r="AL246" t="s">
        <v>4649</v>
      </c>
      <c r="AM246" t="s">
        <v>4650</v>
      </c>
      <c r="AN246" t="s">
        <v>4651</v>
      </c>
      <c r="AO246" t="s">
        <v>4652</v>
      </c>
      <c r="AP246" t="s">
        <v>4653</v>
      </c>
      <c r="AQ246" t="s">
        <v>74</v>
      </c>
      <c r="AR246" t="s">
        <v>4654</v>
      </c>
      <c r="AS246" t="s">
        <v>4655</v>
      </c>
      <c r="AT246" t="s">
        <v>74</v>
      </c>
      <c r="AU246">
        <v>2023</v>
      </c>
      <c r="AV246">
        <v>47</v>
      </c>
      <c r="AW246">
        <v>1</v>
      </c>
      <c r="AX246" t="s">
        <v>74</v>
      </c>
      <c r="AY246" t="s">
        <v>74</v>
      </c>
      <c r="AZ246" t="s">
        <v>74</v>
      </c>
      <c r="BA246" t="s">
        <v>74</v>
      </c>
      <c r="BB246" t="s">
        <v>74</v>
      </c>
      <c r="BC246" t="s">
        <v>74</v>
      </c>
      <c r="BD246">
        <v>3509</v>
      </c>
      <c r="BE246" t="s">
        <v>4656</v>
      </c>
      <c r="BF246" t="str">
        <f>HYPERLINK("http://dx.doi.org/10.20417/nzjecol.47.3509","http://dx.doi.org/10.20417/nzjecol.47.3509")</f>
        <v>http://dx.doi.org/10.20417/nzjecol.47.3509</v>
      </c>
      <c r="BG246" t="s">
        <v>74</v>
      </c>
      <c r="BH246" t="s">
        <v>74</v>
      </c>
      <c r="BI246">
        <v>8</v>
      </c>
      <c r="BJ246" t="s">
        <v>2639</v>
      </c>
      <c r="BK246" t="s">
        <v>104</v>
      </c>
      <c r="BL246" t="s">
        <v>217</v>
      </c>
      <c r="BM246" t="s">
        <v>4657</v>
      </c>
      <c r="BN246" t="s">
        <v>74</v>
      </c>
      <c r="BO246" t="s">
        <v>4658</v>
      </c>
      <c r="BP246" t="s">
        <v>74</v>
      </c>
      <c r="BQ246" t="s">
        <v>74</v>
      </c>
      <c r="BR246" t="s">
        <v>108</v>
      </c>
      <c r="BS246" t="s">
        <v>4659</v>
      </c>
      <c r="BT246" t="str">
        <f>HYPERLINK("https%3A%2F%2Fwww.webofscience.com%2Fwos%2Fwoscc%2Ffull-record%2FWOS:000933626000010","View Full Record in Web of Science")</f>
        <v>View Full Record in Web of Science</v>
      </c>
    </row>
    <row r="247" spans="1:72" x14ac:dyDescent="0.15">
      <c r="A247" t="s">
        <v>72</v>
      </c>
      <c r="B247" t="s">
        <v>4660</v>
      </c>
      <c r="C247" t="s">
        <v>74</v>
      </c>
      <c r="D247" t="s">
        <v>74</v>
      </c>
      <c r="E247" t="s">
        <v>74</v>
      </c>
      <c r="F247" t="s">
        <v>4661</v>
      </c>
      <c r="G247" t="s">
        <v>74</v>
      </c>
      <c r="H247" t="s">
        <v>74</v>
      </c>
      <c r="I247" t="s">
        <v>4662</v>
      </c>
      <c r="J247" t="s">
        <v>3541</v>
      </c>
      <c r="K247" t="s">
        <v>74</v>
      </c>
      <c r="L247" t="s">
        <v>74</v>
      </c>
      <c r="M247" t="s">
        <v>78</v>
      </c>
      <c r="N247" t="s">
        <v>79</v>
      </c>
      <c r="O247" t="s">
        <v>74</v>
      </c>
      <c r="P247" t="s">
        <v>74</v>
      </c>
      <c r="Q247" t="s">
        <v>74</v>
      </c>
      <c r="R247" t="s">
        <v>74</v>
      </c>
      <c r="S247" t="s">
        <v>74</v>
      </c>
      <c r="T247" t="s">
        <v>4663</v>
      </c>
      <c r="U247" t="s">
        <v>4664</v>
      </c>
      <c r="V247" t="s">
        <v>4665</v>
      </c>
      <c r="W247" t="s">
        <v>4666</v>
      </c>
      <c r="X247" t="s">
        <v>4667</v>
      </c>
      <c r="Y247" t="s">
        <v>4668</v>
      </c>
      <c r="Z247" t="s">
        <v>4669</v>
      </c>
      <c r="AA247" t="s">
        <v>4670</v>
      </c>
      <c r="AB247" t="s">
        <v>4671</v>
      </c>
      <c r="AC247" t="s">
        <v>4672</v>
      </c>
      <c r="AD247" t="s">
        <v>4673</v>
      </c>
      <c r="AE247" t="s">
        <v>4674</v>
      </c>
      <c r="AF247" t="s">
        <v>74</v>
      </c>
      <c r="AG247">
        <v>65</v>
      </c>
      <c r="AH247">
        <v>0</v>
      </c>
      <c r="AI247">
        <v>0</v>
      </c>
      <c r="AJ247">
        <v>1</v>
      </c>
      <c r="AK247">
        <v>4</v>
      </c>
      <c r="AL247" t="s">
        <v>1791</v>
      </c>
      <c r="AM247" t="s">
        <v>576</v>
      </c>
      <c r="AN247" t="s">
        <v>1792</v>
      </c>
      <c r="AO247" t="s">
        <v>3554</v>
      </c>
      <c r="AP247" t="s">
        <v>3555</v>
      </c>
      <c r="AQ247" t="s">
        <v>74</v>
      </c>
      <c r="AR247" t="s">
        <v>3556</v>
      </c>
      <c r="AS247" t="s">
        <v>3557</v>
      </c>
      <c r="AT247" t="s">
        <v>276</v>
      </c>
      <c r="AU247">
        <v>2023</v>
      </c>
      <c r="AV247">
        <v>128</v>
      </c>
      <c r="AW247">
        <v>1</v>
      </c>
      <c r="AX247" t="s">
        <v>74</v>
      </c>
      <c r="AY247" t="s">
        <v>74</v>
      </c>
      <c r="AZ247" t="s">
        <v>74</v>
      </c>
      <c r="BA247" t="s">
        <v>74</v>
      </c>
      <c r="BB247" t="s">
        <v>74</v>
      </c>
      <c r="BC247" t="s">
        <v>74</v>
      </c>
      <c r="BD247" t="s">
        <v>4675</v>
      </c>
      <c r="BE247" t="s">
        <v>4676</v>
      </c>
      <c r="BF247" t="str">
        <f>HYPERLINK("http://dx.doi.org/10.1029/2022JC018677","http://dx.doi.org/10.1029/2022JC018677")</f>
        <v>http://dx.doi.org/10.1029/2022JC018677</v>
      </c>
      <c r="BG247" t="s">
        <v>74</v>
      </c>
      <c r="BH247" t="s">
        <v>74</v>
      </c>
      <c r="BI247">
        <v>19</v>
      </c>
      <c r="BJ247" t="s">
        <v>403</v>
      </c>
      <c r="BK247" t="s">
        <v>104</v>
      </c>
      <c r="BL247" t="s">
        <v>403</v>
      </c>
      <c r="BM247" t="s">
        <v>4677</v>
      </c>
      <c r="BN247" t="s">
        <v>74</v>
      </c>
      <c r="BO247" t="s">
        <v>107</v>
      </c>
      <c r="BP247" t="s">
        <v>74</v>
      </c>
      <c r="BQ247" t="s">
        <v>74</v>
      </c>
      <c r="BR247" t="s">
        <v>108</v>
      </c>
      <c r="BS247" t="s">
        <v>4678</v>
      </c>
      <c r="BT247" t="str">
        <f>HYPERLINK("https%3A%2F%2Fwww.webofscience.com%2Fwos%2Fwoscc%2Ffull-record%2FWOS:000949112300001","View Full Record in Web of Science")</f>
        <v>View Full Record in Web of Science</v>
      </c>
    </row>
    <row r="248" spans="1:72" x14ac:dyDescent="0.15">
      <c r="A248" t="s">
        <v>72</v>
      </c>
      <c r="B248" t="s">
        <v>4679</v>
      </c>
      <c r="C248" t="s">
        <v>74</v>
      </c>
      <c r="D248" t="s">
        <v>74</v>
      </c>
      <c r="E248" t="s">
        <v>74</v>
      </c>
      <c r="F248" t="s">
        <v>4680</v>
      </c>
      <c r="G248" t="s">
        <v>74</v>
      </c>
      <c r="H248" t="s">
        <v>74</v>
      </c>
      <c r="I248" t="s">
        <v>4681</v>
      </c>
      <c r="J248" t="s">
        <v>4682</v>
      </c>
      <c r="K248" t="s">
        <v>74</v>
      </c>
      <c r="L248" t="s">
        <v>74</v>
      </c>
      <c r="M248" t="s">
        <v>78</v>
      </c>
      <c r="N248" t="s">
        <v>79</v>
      </c>
      <c r="O248" t="s">
        <v>74</v>
      </c>
      <c r="P248" t="s">
        <v>74</v>
      </c>
      <c r="Q248" t="s">
        <v>74</v>
      </c>
      <c r="R248" t="s">
        <v>74</v>
      </c>
      <c r="S248" t="s">
        <v>74</v>
      </c>
      <c r="T248" t="s">
        <v>4683</v>
      </c>
      <c r="U248" t="s">
        <v>4684</v>
      </c>
      <c r="V248" t="s">
        <v>4685</v>
      </c>
      <c r="W248" t="s">
        <v>4686</v>
      </c>
      <c r="X248" t="s">
        <v>4687</v>
      </c>
      <c r="Y248" t="s">
        <v>4688</v>
      </c>
      <c r="Z248" t="s">
        <v>4689</v>
      </c>
      <c r="AA248" t="s">
        <v>4690</v>
      </c>
      <c r="AB248" t="s">
        <v>74</v>
      </c>
      <c r="AC248" t="s">
        <v>4691</v>
      </c>
      <c r="AD248" t="s">
        <v>1413</v>
      </c>
      <c r="AE248" t="s">
        <v>4692</v>
      </c>
      <c r="AF248" t="s">
        <v>74</v>
      </c>
      <c r="AG248">
        <v>23</v>
      </c>
      <c r="AH248">
        <v>0</v>
      </c>
      <c r="AI248">
        <v>0</v>
      </c>
      <c r="AJ248">
        <v>0</v>
      </c>
      <c r="AK248">
        <v>1</v>
      </c>
      <c r="AL248" t="s">
        <v>4693</v>
      </c>
      <c r="AM248" t="s">
        <v>4694</v>
      </c>
      <c r="AN248" t="s">
        <v>4695</v>
      </c>
      <c r="AO248" t="s">
        <v>4696</v>
      </c>
      <c r="AP248" t="s">
        <v>4697</v>
      </c>
      <c r="AQ248" t="s">
        <v>74</v>
      </c>
      <c r="AR248" t="s">
        <v>4698</v>
      </c>
      <c r="AS248" t="s">
        <v>4699</v>
      </c>
      <c r="AT248" t="s">
        <v>74</v>
      </c>
      <c r="AU248">
        <v>2023</v>
      </c>
      <c r="AV248">
        <v>30</v>
      </c>
      <c r="AW248">
        <v>1</v>
      </c>
      <c r="AX248" t="s">
        <v>74</v>
      </c>
      <c r="AY248" t="s">
        <v>74</v>
      </c>
      <c r="AZ248" t="s">
        <v>74</v>
      </c>
      <c r="BA248" t="s">
        <v>74</v>
      </c>
      <c r="BB248">
        <v>27</v>
      </c>
      <c r="BC248">
        <v>46</v>
      </c>
      <c r="BD248" t="s">
        <v>74</v>
      </c>
      <c r="BE248" t="s">
        <v>4700</v>
      </c>
      <c r="BF248" t="str">
        <f>HYPERLINK("http://dx.doi.org/10.29039/1573-160X-2023-1-27-46","http://dx.doi.org/10.29039/1573-160X-2023-1-27-46")</f>
        <v>http://dx.doi.org/10.29039/1573-160X-2023-1-27-46</v>
      </c>
      <c r="BG248" t="s">
        <v>74</v>
      </c>
      <c r="BH248" t="s">
        <v>74</v>
      </c>
      <c r="BI248">
        <v>20</v>
      </c>
      <c r="BJ248" t="s">
        <v>403</v>
      </c>
      <c r="BK248" t="s">
        <v>757</v>
      </c>
      <c r="BL248" t="s">
        <v>403</v>
      </c>
      <c r="BM248" t="s">
        <v>4701</v>
      </c>
      <c r="BN248" t="s">
        <v>74</v>
      </c>
      <c r="BO248" t="s">
        <v>74</v>
      </c>
      <c r="BP248" t="s">
        <v>74</v>
      </c>
      <c r="BQ248" t="s">
        <v>74</v>
      </c>
      <c r="BR248" t="s">
        <v>108</v>
      </c>
      <c r="BS248" t="s">
        <v>4702</v>
      </c>
      <c r="BT248" t="str">
        <f>HYPERLINK("https%3A%2F%2Fwww.webofscience.com%2Fwos%2Fwoscc%2Ffull-record%2FWOS:000946353800003","View Full Record in Web of Science")</f>
        <v>View Full Record in Web of Science</v>
      </c>
    </row>
    <row r="249" spans="1:72" x14ac:dyDescent="0.15">
      <c r="A249" t="s">
        <v>72</v>
      </c>
      <c r="B249" t="s">
        <v>4703</v>
      </c>
      <c r="C249" t="s">
        <v>74</v>
      </c>
      <c r="D249" t="s">
        <v>74</v>
      </c>
      <c r="E249" t="s">
        <v>74</v>
      </c>
      <c r="F249" t="s">
        <v>4704</v>
      </c>
      <c r="G249" t="s">
        <v>74</v>
      </c>
      <c r="H249" t="s">
        <v>74</v>
      </c>
      <c r="I249" t="s">
        <v>4705</v>
      </c>
      <c r="J249" t="s">
        <v>4682</v>
      </c>
      <c r="K249" t="s">
        <v>74</v>
      </c>
      <c r="L249" t="s">
        <v>74</v>
      </c>
      <c r="M249" t="s">
        <v>78</v>
      </c>
      <c r="N249" t="s">
        <v>79</v>
      </c>
      <c r="O249" t="s">
        <v>74</v>
      </c>
      <c r="P249" t="s">
        <v>74</v>
      </c>
      <c r="Q249" t="s">
        <v>74</v>
      </c>
      <c r="R249" t="s">
        <v>74</v>
      </c>
      <c r="S249" t="s">
        <v>74</v>
      </c>
      <c r="T249" t="s">
        <v>4706</v>
      </c>
      <c r="U249" t="s">
        <v>4707</v>
      </c>
      <c r="V249" t="s">
        <v>4708</v>
      </c>
      <c r="W249" t="s">
        <v>4709</v>
      </c>
      <c r="X249" t="s">
        <v>4710</v>
      </c>
      <c r="Y249" t="s">
        <v>4711</v>
      </c>
      <c r="Z249" t="s">
        <v>4712</v>
      </c>
      <c r="AA249" t="s">
        <v>4713</v>
      </c>
      <c r="AB249" t="s">
        <v>4714</v>
      </c>
      <c r="AC249" t="s">
        <v>4715</v>
      </c>
      <c r="AD249" t="s">
        <v>4716</v>
      </c>
      <c r="AE249" t="s">
        <v>4717</v>
      </c>
      <c r="AF249" t="s">
        <v>74</v>
      </c>
      <c r="AG249">
        <v>25</v>
      </c>
      <c r="AH249">
        <v>1</v>
      </c>
      <c r="AI249">
        <v>1</v>
      </c>
      <c r="AJ249">
        <v>0</v>
      </c>
      <c r="AK249">
        <v>0</v>
      </c>
      <c r="AL249" t="s">
        <v>4693</v>
      </c>
      <c r="AM249" t="s">
        <v>4694</v>
      </c>
      <c r="AN249" t="s">
        <v>4695</v>
      </c>
      <c r="AO249" t="s">
        <v>4696</v>
      </c>
      <c r="AP249" t="s">
        <v>4697</v>
      </c>
      <c r="AQ249" t="s">
        <v>74</v>
      </c>
      <c r="AR249" t="s">
        <v>4698</v>
      </c>
      <c r="AS249" t="s">
        <v>4699</v>
      </c>
      <c r="AT249" t="s">
        <v>74</v>
      </c>
      <c r="AU249">
        <v>2023</v>
      </c>
      <c r="AV249">
        <v>30</v>
      </c>
      <c r="AW249">
        <v>1</v>
      </c>
      <c r="AX249" t="s">
        <v>74</v>
      </c>
      <c r="AY249" t="s">
        <v>74</v>
      </c>
      <c r="AZ249" t="s">
        <v>74</v>
      </c>
      <c r="BA249" t="s">
        <v>74</v>
      </c>
      <c r="BB249">
        <v>47</v>
      </c>
      <c r="BC249">
        <v>61</v>
      </c>
      <c r="BD249" t="s">
        <v>74</v>
      </c>
      <c r="BE249" t="s">
        <v>4718</v>
      </c>
      <c r="BF249" t="str">
        <f>HYPERLINK("http://dx.doi.org/10.22449/1573-160X-2023-1-47-61","http://dx.doi.org/10.22449/1573-160X-2023-1-47-61")</f>
        <v>http://dx.doi.org/10.22449/1573-160X-2023-1-47-61</v>
      </c>
      <c r="BG249" t="s">
        <v>74</v>
      </c>
      <c r="BH249" t="s">
        <v>74</v>
      </c>
      <c r="BI249">
        <v>15</v>
      </c>
      <c r="BJ249" t="s">
        <v>403</v>
      </c>
      <c r="BK249" t="s">
        <v>757</v>
      </c>
      <c r="BL249" t="s">
        <v>403</v>
      </c>
      <c r="BM249" t="s">
        <v>4701</v>
      </c>
      <c r="BN249" t="s">
        <v>74</v>
      </c>
      <c r="BO249" t="s">
        <v>74</v>
      </c>
      <c r="BP249" t="s">
        <v>74</v>
      </c>
      <c r="BQ249" t="s">
        <v>74</v>
      </c>
      <c r="BR249" t="s">
        <v>108</v>
      </c>
      <c r="BS249" t="s">
        <v>4719</v>
      </c>
      <c r="BT249" t="str">
        <f>HYPERLINK("https%3A%2F%2Fwww.webofscience.com%2Fwos%2Fwoscc%2Ffull-record%2FWOS:000946353800004","View Full Record in Web of Science")</f>
        <v>View Full Record in Web of Science</v>
      </c>
    </row>
    <row r="250" spans="1:72" x14ac:dyDescent="0.15">
      <c r="A250" t="s">
        <v>72</v>
      </c>
      <c r="B250" t="s">
        <v>4720</v>
      </c>
      <c r="C250" t="s">
        <v>74</v>
      </c>
      <c r="D250" t="s">
        <v>74</v>
      </c>
      <c r="E250" t="s">
        <v>74</v>
      </c>
      <c r="F250" t="s">
        <v>4721</v>
      </c>
      <c r="G250" t="s">
        <v>74</v>
      </c>
      <c r="H250" t="s">
        <v>74</v>
      </c>
      <c r="I250" t="s">
        <v>4722</v>
      </c>
      <c r="J250" t="s">
        <v>3541</v>
      </c>
      <c r="K250" t="s">
        <v>74</v>
      </c>
      <c r="L250" t="s">
        <v>74</v>
      </c>
      <c r="M250" t="s">
        <v>78</v>
      </c>
      <c r="N250" t="s">
        <v>79</v>
      </c>
      <c r="O250" t="s">
        <v>74</v>
      </c>
      <c r="P250" t="s">
        <v>74</v>
      </c>
      <c r="Q250" t="s">
        <v>74</v>
      </c>
      <c r="R250" t="s">
        <v>74</v>
      </c>
      <c r="S250" t="s">
        <v>74</v>
      </c>
      <c r="T250" t="s">
        <v>74</v>
      </c>
      <c r="U250" t="s">
        <v>4723</v>
      </c>
      <c r="V250" t="s">
        <v>4724</v>
      </c>
      <c r="W250" t="s">
        <v>4725</v>
      </c>
      <c r="X250" t="s">
        <v>4726</v>
      </c>
      <c r="Y250" t="s">
        <v>4727</v>
      </c>
      <c r="Z250" t="s">
        <v>4728</v>
      </c>
      <c r="AA250" t="s">
        <v>74</v>
      </c>
      <c r="AB250" t="s">
        <v>4729</v>
      </c>
      <c r="AC250" t="s">
        <v>4730</v>
      </c>
      <c r="AD250" t="s">
        <v>4731</v>
      </c>
      <c r="AE250" t="s">
        <v>4732</v>
      </c>
      <c r="AF250" t="s">
        <v>74</v>
      </c>
      <c r="AG250">
        <v>39</v>
      </c>
      <c r="AH250">
        <v>2</v>
      </c>
      <c r="AI250">
        <v>2</v>
      </c>
      <c r="AJ250">
        <v>16</v>
      </c>
      <c r="AK250">
        <v>25</v>
      </c>
      <c r="AL250" t="s">
        <v>1791</v>
      </c>
      <c r="AM250" t="s">
        <v>576</v>
      </c>
      <c r="AN250" t="s">
        <v>1792</v>
      </c>
      <c r="AO250" t="s">
        <v>3554</v>
      </c>
      <c r="AP250" t="s">
        <v>3555</v>
      </c>
      <c r="AQ250" t="s">
        <v>74</v>
      </c>
      <c r="AR250" t="s">
        <v>3556</v>
      </c>
      <c r="AS250" t="s">
        <v>3557</v>
      </c>
      <c r="AT250" t="s">
        <v>276</v>
      </c>
      <c r="AU250">
        <v>2023</v>
      </c>
      <c r="AV250">
        <v>128</v>
      </c>
      <c r="AW250">
        <v>1</v>
      </c>
      <c r="AX250" t="s">
        <v>74</v>
      </c>
      <c r="AY250" t="s">
        <v>74</v>
      </c>
      <c r="AZ250" t="s">
        <v>74</v>
      </c>
      <c r="BA250" t="s">
        <v>74</v>
      </c>
      <c r="BB250" t="s">
        <v>74</v>
      </c>
      <c r="BC250" t="s">
        <v>74</v>
      </c>
      <c r="BD250" t="s">
        <v>4733</v>
      </c>
      <c r="BE250" t="s">
        <v>4734</v>
      </c>
      <c r="BF250" t="str">
        <f>HYPERLINK("http://dx.doi.org/10.1029/2022JC019096","http://dx.doi.org/10.1029/2022JC019096")</f>
        <v>http://dx.doi.org/10.1029/2022JC019096</v>
      </c>
      <c r="BG250" t="s">
        <v>74</v>
      </c>
      <c r="BH250" t="s">
        <v>74</v>
      </c>
      <c r="BI250">
        <v>18</v>
      </c>
      <c r="BJ250" t="s">
        <v>403</v>
      </c>
      <c r="BK250" t="s">
        <v>104</v>
      </c>
      <c r="BL250" t="s">
        <v>403</v>
      </c>
      <c r="BM250" t="s">
        <v>4735</v>
      </c>
      <c r="BN250" t="s">
        <v>74</v>
      </c>
      <c r="BO250" t="s">
        <v>74</v>
      </c>
      <c r="BP250" t="s">
        <v>74</v>
      </c>
      <c r="BQ250" t="s">
        <v>74</v>
      </c>
      <c r="BR250" t="s">
        <v>108</v>
      </c>
      <c r="BS250" t="s">
        <v>4736</v>
      </c>
      <c r="BT250" t="str">
        <f>HYPERLINK("https%3A%2F%2Fwww.webofscience.com%2Fwos%2Fwoscc%2Ffull-record%2FWOS:000941667400001","View Full Record in Web of Science")</f>
        <v>View Full Record in Web of Science</v>
      </c>
    </row>
    <row r="251" spans="1:72" x14ac:dyDescent="0.15">
      <c r="A251" t="s">
        <v>72</v>
      </c>
      <c r="B251" t="s">
        <v>4737</v>
      </c>
      <c r="C251" t="s">
        <v>74</v>
      </c>
      <c r="D251" t="s">
        <v>74</v>
      </c>
      <c r="E251" t="s">
        <v>74</v>
      </c>
      <c r="F251" t="s">
        <v>4738</v>
      </c>
      <c r="G251" t="s">
        <v>74</v>
      </c>
      <c r="H251" t="s">
        <v>74</v>
      </c>
      <c r="I251" t="s">
        <v>4739</v>
      </c>
      <c r="J251" t="s">
        <v>1732</v>
      </c>
      <c r="K251" t="s">
        <v>74</v>
      </c>
      <c r="L251" t="s">
        <v>74</v>
      </c>
      <c r="M251" t="s">
        <v>78</v>
      </c>
      <c r="N251" t="s">
        <v>79</v>
      </c>
      <c r="O251" t="s">
        <v>74</v>
      </c>
      <c r="P251" t="s">
        <v>74</v>
      </c>
      <c r="Q251" t="s">
        <v>74</v>
      </c>
      <c r="R251" t="s">
        <v>74</v>
      </c>
      <c r="S251" t="s">
        <v>74</v>
      </c>
      <c r="T251" t="s">
        <v>4740</v>
      </c>
      <c r="U251" t="s">
        <v>4741</v>
      </c>
      <c r="V251" t="s">
        <v>4742</v>
      </c>
      <c r="W251" t="s">
        <v>4743</v>
      </c>
      <c r="X251" t="s">
        <v>4744</v>
      </c>
      <c r="Y251" t="s">
        <v>4745</v>
      </c>
      <c r="Z251" t="s">
        <v>4746</v>
      </c>
      <c r="AA251" t="s">
        <v>4747</v>
      </c>
      <c r="AB251" t="s">
        <v>4748</v>
      </c>
      <c r="AC251" t="s">
        <v>4749</v>
      </c>
      <c r="AD251" t="s">
        <v>4750</v>
      </c>
      <c r="AE251" t="s">
        <v>4751</v>
      </c>
      <c r="AF251" t="s">
        <v>74</v>
      </c>
      <c r="AG251">
        <v>60</v>
      </c>
      <c r="AH251">
        <v>0</v>
      </c>
      <c r="AI251">
        <v>0</v>
      </c>
      <c r="AJ251">
        <v>6</v>
      </c>
      <c r="AK251">
        <v>17</v>
      </c>
      <c r="AL251" t="s">
        <v>1743</v>
      </c>
      <c r="AM251" t="s">
        <v>1744</v>
      </c>
      <c r="AN251" t="s">
        <v>1745</v>
      </c>
      <c r="AO251" t="s">
        <v>1746</v>
      </c>
      <c r="AP251" t="s">
        <v>1747</v>
      </c>
      <c r="AQ251" t="s">
        <v>74</v>
      </c>
      <c r="AR251" t="s">
        <v>1748</v>
      </c>
      <c r="AS251" t="s">
        <v>1749</v>
      </c>
      <c r="AT251" t="s">
        <v>74</v>
      </c>
      <c r="AU251">
        <v>2023</v>
      </c>
      <c r="AV251">
        <v>61</v>
      </c>
      <c r="AW251" t="s">
        <v>74</v>
      </c>
      <c r="AX251" t="s">
        <v>74</v>
      </c>
      <c r="AY251" t="s">
        <v>74</v>
      </c>
      <c r="AZ251" t="s">
        <v>74</v>
      </c>
      <c r="BA251" t="s">
        <v>74</v>
      </c>
      <c r="BB251" t="s">
        <v>74</v>
      </c>
      <c r="BC251" t="s">
        <v>74</v>
      </c>
      <c r="BD251">
        <v>5700713</v>
      </c>
      <c r="BE251" t="s">
        <v>4752</v>
      </c>
      <c r="BF251" t="str">
        <f>HYPERLINK("http://dx.doi.org/10.1109/TGRS.2023.3237273","http://dx.doi.org/10.1109/TGRS.2023.3237273")</f>
        <v>http://dx.doi.org/10.1109/TGRS.2023.3237273</v>
      </c>
      <c r="BG251" t="s">
        <v>74</v>
      </c>
      <c r="BH251" t="s">
        <v>74</v>
      </c>
      <c r="BI251">
        <v>13</v>
      </c>
      <c r="BJ251" t="s">
        <v>1751</v>
      </c>
      <c r="BK251" t="s">
        <v>104</v>
      </c>
      <c r="BL251" t="s">
        <v>1752</v>
      </c>
      <c r="BM251" t="s">
        <v>4753</v>
      </c>
      <c r="BN251" t="s">
        <v>74</v>
      </c>
      <c r="BO251" t="s">
        <v>74</v>
      </c>
      <c r="BP251" t="s">
        <v>74</v>
      </c>
      <c r="BQ251" t="s">
        <v>74</v>
      </c>
      <c r="BR251" t="s">
        <v>108</v>
      </c>
      <c r="BS251" t="s">
        <v>4754</v>
      </c>
      <c r="BT251" t="str">
        <f>HYPERLINK("https%3A%2F%2Fwww.webofscience.com%2Fwos%2Fwoscc%2Ffull-record%2FWOS:000923884400003","View Full Record in Web of Science")</f>
        <v>View Full Record in Web of Science</v>
      </c>
    </row>
    <row r="252" spans="1:72" x14ac:dyDescent="0.15">
      <c r="A252" t="s">
        <v>72</v>
      </c>
      <c r="B252" t="s">
        <v>4755</v>
      </c>
      <c r="C252" t="s">
        <v>74</v>
      </c>
      <c r="D252" t="s">
        <v>74</v>
      </c>
      <c r="E252" t="s">
        <v>74</v>
      </c>
      <c r="F252" t="s">
        <v>4756</v>
      </c>
      <c r="G252" t="s">
        <v>74</v>
      </c>
      <c r="H252" t="s">
        <v>74</v>
      </c>
      <c r="I252" t="s">
        <v>4757</v>
      </c>
      <c r="J252" t="s">
        <v>2100</v>
      </c>
      <c r="K252" t="s">
        <v>74</v>
      </c>
      <c r="L252" t="s">
        <v>74</v>
      </c>
      <c r="M252" t="s">
        <v>78</v>
      </c>
      <c r="N252" t="s">
        <v>79</v>
      </c>
      <c r="O252" t="s">
        <v>74</v>
      </c>
      <c r="P252" t="s">
        <v>74</v>
      </c>
      <c r="Q252" t="s">
        <v>74</v>
      </c>
      <c r="R252" t="s">
        <v>74</v>
      </c>
      <c r="S252" t="s">
        <v>74</v>
      </c>
      <c r="T252" t="s">
        <v>4758</v>
      </c>
      <c r="U252" t="s">
        <v>4759</v>
      </c>
      <c r="V252" t="s">
        <v>4760</v>
      </c>
      <c r="W252" t="s">
        <v>4761</v>
      </c>
      <c r="X252" t="s">
        <v>4762</v>
      </c>
      <c r="Y252" t="s">
        <v>4763</v>
      </c>
      <c r="Z252" t="s">
        <v>4764</v>
      </c>
      <c r="AA252" t="s">
        <v>4765</v>
      </c>
      <c r="AB252" t="s">
        <v>74</v>
      </c>
      <c r="AC252" t="s">
        <v>4766</v>
      </c>
      <c r="AD252" t="s">
        <v>4767</v>
      </c>
      <c r="AE252" t="s">
        <v>4768</v>
      </c>
      <c r="AF252" t="s">
        <v>74</v>
      </c>
      <c r="AG252">
        <v>51</v>
      </c>
      <c r="AH252">
        <v>2</v>
      </c>
      <c r="AI252">
        <v>2</v>
      </c>
      <c r="AJ252">
        <v>6</v>
      </c>
      <c r="AK252">
        <v>17</v>
      </c>
      <c r="AL252" t="s">
        <v>1743</v>
      </c>
      <c r="AM252" t="s">
        <v>1744</v>
      </c>
      <c r="AN252" t="s">
        <v>1745</v>
      </c>
      <c r="AO252" t="s">
        <v>2109</v>
      </c>
      <c r="AP252" t="s">
        <v>2110</v>
      </c>
      <c r="AQ252" t="s">
        <v>74</v>
      </c>
      <c r="AR252" t="s">
        <v>2111</v>
      </c>
      <c r="AS252" t="s">
        <v>2112</v>
      </c>
      <c r="AT252" t="s">
        <v>74</v>
      </c>
      <c r="AU252">
        <v>2023</v>
      </c>
      <c r="AV252">
        <v>16</v>
      </c>
      <c r="AW252" t="s">
        <v>74</v>
      </c>
      <c r="AX252" t="s">
        <v>74</v>
      </c>
      <c r="AY252" t="s">
        <v>74</v>
      </c>
      <c r="AZ252" t="s">
        <v>74</v>
      </c>
      <c r="BA252" t="s">
        <v>74</v>
      </c>
      <c r="BB252">
        <v>1601</v>
      </c>
      <c r="BC252">
        <v>1612</v>
      </c>
      <c r="BD252" t="s">
        <v>74</v>
      </c>
      <c r="BE252" t="s">
        <v>4769</v>
      </c>
      <c r="BF252" t="str">
        <f>HYPERLINK("http://dx.doi.org/10.1109/JSTARS.2023.3238467","http://dx.doi.org/10.1109/JSTARS.2023.3238467")</f>
        <v>http://dx.doi.org/10.1109/JSTARS.2023.3238467</v>
      </c>
      <c r="BG252" t="s">
        <v>74</v>
      </c>
      <c r="BH252" t="s">
        <v>74</v>
      </c>
      <c r="BI252">
        <v>12</v>
      </c>
      <c r="BJ252" t="s">
        <v>2114</v>
      </c>
      <c r="BK252" t="s">
        <v>104</v>
      </c>
      <c r="BL252" t="s">
        <v>2115</v>
      </c>
      <c r="BM252" t="s">
        <v>4770</v>
      </c>
      <c r="BN252" t="s">
        <v>74</v>
      </c>
      <c r="BO252" t="s">
        <v>165</v>
      </c>
      <c r="BP252" t="s">
        <v>74</v>
      </c>
      <c r="BQ252" t="s">
        <v>74</v>
      </c>
      <c r="BR252" t="s">
        <v>108</v>
      </c>
      <c r="BS252" t="s">
        <v>4771</v>
      </c>
      <c r="BT252" t="str">
        <f>HYPERLINK("https%3A%2F%2Fwww.webofscience.com%2Fwos%2Fwoscc%2Ffull-record%2FWOS:000935002300006","View Full Record in Web of Science")</f>
        <v>View Full Record in Web of Science</v>
      </c>
    </row>
    <row r="253" spans="1:72" x14ac:dyDescent="0.15">
      <c r="A253" t="s">
        <v>72</v>
      </c>
      <c r="B253" t="s">
        <v>4772</v>
      </c>
      <c r="C253" t="s">
        <v>74</v>
      </c>
      <c r="D253" t="s">
        <v>74</v>
      </c>
      <c r="E253" t="s">
        <v>74</v>
      </c>
      <c r="F253" t="s">
        <v>4773</v>
      </c>
      <c r="G253" t="s">
        <v>74</v>
      </c>
      <c r="H253" t="s">
        <v>74</v>
      </c>
      <c r="I253" t="s">
        <v>4774</v>
      </c>
      <c r="J253" t="s">
        <v>2100</v>
      </c>
      <c r="K253" t="s">
        <v>74</v>
      </c>
      <c r="L253" t="s">
        <v>74</v>
      </c>
      <c r="M253" t="s">
        <v>78</v>
      </c>
      <c r="N253" t="s">
        <v>79</v>
      </c>
      <c r="O253" t="s">
        <v>74</v>
      </c>
      <c r="P253" t="s">
        <v>74</v>
      </c>
      <c r="Q253" t="s">
        <v>74</v>
      </c>
      <c r="R253" t="s">
        <v>74</v>
      </c>
      <c r="S253" t="s">
        <v>74</v>
      </c>
      <c r="T253" t="s">
        <v>4775</v>
      </c>
      <c r="U253" t="s">
        <v>4776</v>
      </c>
      <c r="V253" t="s">
        <v>4777</v>
      </c>
      <c r="W253" t="s">
        <v>4778</v>
      </c>
      <c r="X253" t="s">
        <v>909</v>
      </c>
      <c r="Y253" t="s">
        <v>4779</v>
      </c>
      <c r="Z253" t="s">
        <v>4780</v>
      </c>
      <c r="AA253" t="s">
        <v>4781</v>
      </c>
      <c r="AB253" t="s">
        <v>4782</v>
      </c>
      <c r="AC253" t="s">
        <v>4783</v>
      </c>
      <c r="AD253" t="s">
        <v>4784</v>
      </c>
      <c r="AE253" t="s">
        <v>4785</v>
      </c>
      <c r="AF253" t="s">
        <v>74</v>
      </c>
      <c r="AG253">
        <v>25</v>
      </c>
      <c r="AH253">
        <v>0</v>
      </c>
      <c r="AI253">
        <v>0</v>
      </c>
      <c r="AJ253">
        <v>3</v>
      </c>
      <c r="AK253">
        <v>6</v>
      </c>
      <c r="AL253" t="s">
        <v>1743</v>
      </c>
      <c r="AM253" t="s">
        <v>1744</v>
      </c>
      <c r="AN253" t="s">
        <v>1745</v>
      </c>
      <c r="AO253" t="s">
        <v>2109</v>
      </c>
      <c r="AP253" t="s">
        <v>2110</v>
      </c>
      <c r="AQ253" t="s">
        <v>74</v>
      </c>
      <c r="AR253" t="s">
        <v>2111</v>
      </c>
      <c r="AS253" t="s">
        <v>2112</v>
      </c>
      <c r="AT253" t="s">
        <v>74</v>
      </c>
      <c r="AU253">
        <v>2023</v>
      </c>
      <c r="AV253">
        <v>16</v>
      </c>
      <c r="AW253" t="s">
        <v>74</v>
      </c>
      <c r="AX253" t="s">
        <v>74</v>
      </c>
      <c r="AY253" t="s">
        <v>74</v>
      </c>
      <c r="AZ253" t="s">
        <v>74</v>
      </c>
      <c r="BA253" t="s">
        <v>74</v>
      </c>
      <c r="BB253">
        <v>1613</v>
      </c>
      <c r="BC253">
        <v>1623</v>
      </c>
      <c r="BD253" t="s">
        <v>74</v>
      </c>
      <c r="BE253" t="s">
        <v>4786</v>
      </c>
      <c r="BF253" t="str">
        <f>HYPERLINK("http://dx.doi.org/10.1109/JSTARS.2023.3238867","http://dx.doi.org/10.1109/JSTARS.2023.3238867")</f>
        <v>http://dx.doi.org/10.1109/JSTARS.2023.3238867</v>
      </c>
      <c r="BG253" t="s">
        <v>74</v>
      </c>
      <c r="BH253" t="s">
        <v>74</v>
      </c>
      <c r="BI253">
        <v>11</v>
      </c>
      <c r="BJ253" t="s">
        <v>2114</v>
      </c>
      <c r="BK253" t="s">
        <v>104</v>
      </c>
      <c r="BL253" t="s">
        <v>2115</v>
      </c>
      <c r="BM253" t="s">
        <v>4770</v>
      </c>
      <c r="BN253" t="s">
        <v>74</v>
      </c>
      <c r="BO253" t="s">
        <v>165</v>
      </c>
      <c r="BP253" t="s">
        <v>74</v>
      </c>
      <c r="BQ253" t="s">
        <v>74</v>
      </c>
      <c r="BR253" t="s">
        <v>108</v>
      </c>
      <c r="BS253" t="s">
        <v>4787</v>
      </c>
      <c r="BT253" t="str">
        <f>HYPERLINK("https%3A%2F%2Fwww.webofscience.com%2Fwos%2Fwoscc%2Ffull-record%2FWOS:000935002300007","View Full Record in Web of Science")</f>
        <v>View Full Record in Web of Science</v>
      </c>
    </row>
    <row r="254" spans="1:72" x14ac:dyDescent="0.15">
      <c r="A254" t="s">
        <v>72</v>
      </c>
      <c r="B254" t="s">
        <v>4788</v>
      </c>
      <c r="C254" t="s">
        <v>74</v>
      </c>
      <c r="D254" t="s">
        <v>74</v>
      </c>
      <c r="E254" t="s">
        <v>74</v>
      </c>
      <c r="F254" t="s">
        <v>4789</v>
      </c>
      <c r="G254" t="s">
        <v>74</v>
      </c>
      <c r="H254" t="s">
        <v>74</v>
      </c>
      <c r="I254" t="s">
        <v>4790</v>
      </c>
      <c r="J254" t="s">
        <v>4791</v>
      </c>
      <c r="K254" t="s">
        <v>74</v>
      </c>
      <c r="L254" t="s">
        <v>74</v>
      </c>
      <c r="M254" t="s">
        <v>78</v>
      </c>
      <c r="N254" t="s">
        <v>79</v>
      </c>
      <c r="O254" t="s">
        <v>74</v>
      </c>
      <c r="P254" t="s">
        <v>74</v>
      </c>
      <c r="Q254" t="s">
        <v>74</v>
      </c>
      <c r="R254" t="s">
        <v>74</v>
      </c>
      <c r="S254" t="s">
        <v>74</v>
      </c>
      <c r="T254" t="s">
        <v>4792</v>
      </c>
      <c r="U254" t="s">
        <v>4793</v>
      </c>
      <c r="V254" t="s">
        <v>4794</v>
      </c>
      <c r="W254" t="s">
        <v>4795</v>
      </c>
      <c r="X254" t="s">
        <v>4796</v>
      </c>
      <c r="Y254" t="s">
        <v>4797</v>
      </c>
      <c r="Z254" t="s">
        <v>4798</v>
      </c>
      <c r="AA254" t="s">
        <v>4799</v>
      </c>
      <c r="AB254" t="s">
        <v>4800</v>
      </c>
      <c r="AC254" t="s">
        <v>4801</v>
      </c>
      <c r="AD254" t="s">
        <v>4802</v>
      </c>
      <c r="AE254" t="s">
        <v>4803</v>
      </c>
      <c r="AF254" t="s">
        <v>74</v>
      </c>
      <c r="AG254">
        <v>53</v>
      </c>
      <c r="AH254">
        <v>3</v>
      </c>
      <c r="AI254">
        <v>4</v>
      </c>
      <c r="AJ254">
        <v>2</v>
      </c>
      <c r="AK254">
        <v>5</v>
      </c>
      <c r="AL254" t="s">
        <v>4804</v>
      </c>
      <c r="AM254" t="s">
        <v>4805</v>
      </c>
      <c r="AN254" t="s">
        <v>4806</v>
      </c>
      <c r="AO254" t="s">
        <v>4807</v>
      </c>
      <c r="AP254" t="s">
        <v>4808</v>
      </c>
      <c r="AQ254" t="s">
        <v>74</v>
      </c>
      <c r="AR254" t="s">
        <v>4809</v>
      </c>
      <c r="AS254" t="s">
        <v>4810</v>
      </c>
      <c r="AT254" t="s">
        <v>276</v>
      </c>
      <c r="AU254">
        <v>2023</v>
      </c>
      <c r="AV254">
        <v>40</v>
      </c>
      <c r="AW254">
        <v>1</v>
      </c>
      <c r="AX254" t="s">
        <v>74</v>
      </c>
      <c r="AY254" t="s">
        <v>74</v>
      </c>
      <c r="AZ254" t="s">
        <v>74</v>
      </c>
      <c r="BA254" t="s">
        <v>74</v>
      </c>
      <c r="BB254">
        <v>53</v>
      </c>
      <c r="BC254">
        <v>64</v>
      </c>
      <c r="BD254" t="s">
        <v>74</v>
      </c>
      <c r="BE254" t="s">
        <v>4811</v>
      </c>
      <c r="BF254" t="str">
        <f>HYPERLINK("http://dx.doi.org/10.1175/JTECH-D-22-0055.1","http://dx.doi.org/10.1175/JTECH-D-22-0055.1")</f>
        <v>http://dx.doi.org/10.1175/JTECH-D-22-0055.1</v>
      </c>
      <c r="BG254" t="s">
        <v>74</v>
      </c>
      <c r="BH254" t="s">
        <v>74</v>
      </c>
      <c r="BI254">
        <v>12</v>
      </c>
      <c r="BJ254" t="s">
        <v>4812</v>
      </c>
      <c r="BK254" t="s">
        <v>104</v>
      </c>
      <c r="BL254" t="s">
        <v>4813</v>
      </c>
      <c r="BM254" t="s">
        <v>4814</v>
      </c>
      <c r="BN254" t="s">
        <v>74</v>
      </c>
      <c r="BO254" t="s">
        <v>660</v>
      </c>
      <c r="BP254" t="s">
        <v>74</v>
      </c>
      <c r="BQ254" t="s">
        <v>74</v>
      </c>
      <c r="BR254" t="s">
        <v>108</v>
      </c>
      <c r="BS254" t="s">
        <v>4815</v>
      </c>
      <c r="BT254" t="str">
        <f>HYPERLINK("https%3A%2F%2Fwww.webofscience.com%2Fwos%2Fwoscc%2Ffull-record%2FWOS:000932767800002","View Full Record in Web of Science")</f>
        <v>View Full Record in Web of Science</v>
      </c>
    </row>
    <row r="255" spans="1:72" x14ac:dyDescent="0.15">
      <c r="A255" t="s">
        <v>72</v>
      </c>
      <c r="B255" t="s">
        <v>4816</v>
      </c>
      <c r="C255" t="s">
        <v>74</v>
      </c>
      <c r="D255" t="s">
        <v>74</v>
      </c>
      <c r="E255" t="s">
        <v>74</v>
      </c>
      <c r="F255" t="s">
        <v>4817</v>
      </c>
      <c r="G255" t="s">
        <v>74</v>
      </c>
      <c r="H255" t="s">
        <v>74</v>
      </c>
      <c r="I255" t="s">
        <v>4818</v>
      </c>
      <c r="J255" t="s">
        <v>4819</v>
      </c>
      <c r="K255" t="s">
        <v>74</v>
      </c>
      <c r="L255" t="s">
        <v>74</v>
      </c>
      <c r="M255" t="s">
        <v>78</v>
      </c>
      <c r="N255" t="s">
        <v>79</v>
      </c>
      <c r="O255" t="s">
        <v>74</v>
      </c>
      <c r="P255" t="s">
        <v>74</v>
      </c>
      <c r="Q255" t="s">
        <v>74</v>
      </c>
      <c r="R255" t="s">
        <v>74</v>
      </c>
      <c r="S255" t="s">
        <v>74</v>
      </c>
      <c r="T255" t="s">
        <v>4820</v>
      </c>
      <c r="U255" t="s">
        <v>4821</v>
      </c>
      <c r="V255" t="s">
        <v>4822</v>
      </c>
      <c r="W255" t="s">
        <v>4823</v>
      </c>
      <c r="X255" t="s">
        <v>3627</v>
      </c>
      <c r="Y255" t="s">
        <v>4824</v>
      </c>
      <c r="Z255" t="s">
        <v>4825</v>
      </c>
      <c r="AA255" t="s">
        <v>74</v>
      </c>
      <c r="AB255" t="s">
        <v>74</v>
      </c>
      <c r="AC255" t="s">
        <v>4826</v>
      </c>
      <c r="AD255" t="s">
        <v>4827</v>
      </c>
      <c r="AE255" t="s">
        <v>4828</v>
      </c>
      <c r="AF255" t="s">
        <v>74</v>
      </c>
      <c r="AG255">
        <v>79</v>
      </c>
      <c r="AH255">
        <v>3</v>
      </c>
      <c r="AI255">
        <v>3</v>
      </c>
      <c r="AJ255">
        <v>7</v>
      </c>
      <c r="AK255">
        <v>24</v>
      </c>
      <c r="AL255" t="s">
        <v>4804</v>
      </c>
      <c r="AM255" t="s">
        <v>4805</v>
      </c>
      <c r="AN255" t="s">
        <v>4806</v>
      </c>
      <c r="AO255" t="s">
        <v>4829</v>
      </c>
      <c r="AP255" t="s">
        <v>4830</v>
      </c>
      <c r="AQ255" t="s">
        <v>74</v>
      </c>
      <c r="AR255" t="s">
        <v>4831</v>
      </c>
      <c r="AS255" t="s">
        <v>4832</v>
      </c>
      <c r="AT255" t="s">
        <v>276</v>
      </c>
      <c r="AU255">
        <v>2023</v>
      </c>
      <c r="AV255">
        <v>53</v>
      </c>
      <c r="AW255">
        <v>1</v>
      </c>
      <c r="AX255" t="s">
        <v>74</v>
      </c>
      <c r="AY255" t="s">
        <v>74</v>
      </c>
      <c r="AZ255" t="s">
        <v>74</v>
      </c>
      <c r="BA255" t="s">
        <v>74</v>
      </c>
      <c r="BB255">
        <v>215</v>
      </c>
      <c r="BC255">
        <v>233</v>
      </c>
      <c r="BD255" t="s">
        <v>74</v>
      </c>
      <c r="BE255" t="s">
        <v>4833</v>
      </c>
      <c r="BF255" t="str">
        <f>HYPERLINK("http://dx.doi.org/10.1175/JPO-D-21-0308.1","http://dx.doi.org/10.1175/JPO-D-21-0308.1")</f>
        <v>http://dx.doi.org/10.1175/JPO-D-21-0308.1</v>
      </c>
      <c r="BG255" t="s">
        <v>74</v>
      </c>
      <c r="BH255" t="s">
        <v>74</v>
      </c>
      <c r="BI255">
        <v>19</v>
      </c>
      <c r="BJ255" t="s">
        <v>403</v>
      </c>
      <c r="BK255" t="s">
        <v>104</v>
      </c>
      <c r="BL255" t="s">
        <v>403</v>
      </c>
      <c r="BM255" t="s">
        <v>4834</v>
      </c>
      <c r="BN255" t="s">
        <v>74</v>
      </c>
      <c r="BO255" t="s">
        <v>660</v>
      </c>
      <c r="BP255" t="s">
        <v>74</v>
      </c>
      <c r="BQ255" t="s">
        <v>74</v>
      </c>
      <c r="BR255" t="s">
        <v>108</v>
      </c>
      <c r="BS255" t="s">
        <v>4835</v>
      </c>
      <c r="BT255" t="str">
        <f>HYPERLINK("https%3A%2F%2Fwww.webofscience.com%2Fwos%2Fwoscc%2Ffull-record%2FWOS:000928915500002","View Full Record in Web of Science")</f>
        <v>View Full Record in Web of Science</v>
      </c>
    </row>
    <row r="256" spans="1:72" x14ac:dyDescent="0.15">
      <c r="A256" t="s">
        <v>72</v>
      </c>
      <c r="B256" t="s">
        <v>4836</v>
      </c>
      <c r="C256" t="s">
        <v>74</v>
      </c>
      <c r="D256" t="s">
        <v>74</v>
      </c>
      <c r="E256" t="s">
        <v>74</v>
      </c>
      <c r="F256" t="s">
        <v>4837</v>
      </c>
      <c r="G256" t="s">
        <v>74</v>
      </c>
      <c r="H256" t="s">
        <v>74</v>
      </c>
      <c r="I256" t="s">
        <v>4838</v>
      </c>
      <c r="J256" t="s">
        <v>4819</v>
      </c>
      <c r="K256" t="s">
        <v>74</v>
      </c>
      <c r="L256" t="s">
        <v>74</v>
      </c>
      <c r="M256" t="s">
        <v>78</v>
      </c>
      <c r="N256" t="s">
        <v>79</v>
      </c>
      <c r="O256" t="s">
        <v>74</v>
      </c>
      <c r="P256" t="s">
        <v>74</v>
      </c>
      <c r="Q256" t="s">
        <v>74</v>
      </c>
      <c r="R256" t="s">
        <v>74</v>
      </c>
      <c r="S256" t="s">
        <v>74</v>
      </c>
      <c r="T256" t="s">
        <v>4839</v>
      </c>
      <c r="U256" t="s">
        <v>4840</v>
      </c>
      <c r="V256" t="s">
        <v>4841</v>
      </c>
      <c r="W256" t="s">
        <v>4842</v>
      </c>
      <c r="X256" t="s">
        <v>4843</v>
      </c>
      <c r="Y256" t="s">
        <v>4844</v>
      </c>
      <c r="Z256" t="s">
        <v>4845</v>
      </c>
      <c r="AA256" t="s">
        <v>4846</v>
      </c>
      <c r="AB256" t="s">
        <v>4847</v>
      </c>
      <c r="AC256" t="s">
        <v>4848</v>
      </c>
      <c r="AD256" t="s">
        <v>4849</v>
      </c>
      <c r="AE256" t="s">
        <v>4850</v>
      </c>
      <c r="AF256" t="s">
        <v>74</v>
      </c>
      <c r="AG256">
        <v>29</v>
      </c>
      <c r="AH256">
        <v>5</v>
      </c>
      <c r="AI256">
        <v>5</v>
      </c>
      <c r="AJ256">
        <v>0</v>
      </c>
      <c r="AK256">
        <v>2</v>
      </c>
      <c r="AL256" t="s">
        <v>4804</v>
      </c>
      <c r="AM256" t="s">
        <v>4805</v>
      </c>
      <c r="AN256" t="s">
        <v>4806</v>
      </c>
      <c r="AO256" t="s">
        <v>4829</v>
      </c>
      <c r="AP256" t="s">
        <v>4830</v>
      </c>
      <c r="AQ256" t="s">
        <v>74</v>
      </c>
      <c r="AR256" t="s">
        <v>4831</v>
      </c>
      <c r="AS256" t="s">
        <v>4832</v>
      </c>
      <c r="AT256" t="s">
        <v>276</v>
      </c>
      <c r="AU256">
        <v>2023</v>
      </c>
      <c r="AV256">
        <v>53</v>
      </c>
      <c r="AW256">
        <v>1</v>
      </c>
      <c r="AX256" t="s">
        <v>74</v>
      </c>
      <c r="AY256" t="s">
        <v>74</v>
      </c>
      <c r="AZ256" t="s">
        <v>74</v>
      </c>
      <c r="BA256" t="s">
        <v>74</v>
      </c>
      <c r="BB256">
        <v>235</v>
      </c>
      <c r="BC256">
        <v>251</v>
      </c>
      <c r="BD256" t="s">
        <v>74</v>
      </c>
      <c r="BE256" t="s">
        <v>4851</v>
      </c>
      <c r="BF256" t="str">
        <f>HYPERLINK("http://dx.doi.org/10.1175/JPO-D-22-0086.1","http://dx.doi.org/10.1175/JPO-D-22-0086.1")</f>
        <v>http://dx.doi.org/10.1175/JPO-D-22-0086.1</v>
      </c>
      <c r="BG256" t="s">
        <v>74</v>
      </c>
      <c r="BH256" t="s">
        <v>74</v>
      </c>
      <c r="BI256">
        <v>17</v>
      </c>
      <c r="BJ256" t="s">
        <v>403</v>
      </c>
      <c r="BK256" t="s">
        <v>104</v>
      </c>
      <c r="BL256" t="s">
        <v>403</v>
      </c>
      <c r="BM256" t="s">
        <v>4834</v>
      </c>
      <c r="BN256" t="s">
        <v>74</v>
      </c>
      <c r="BO256" t="s">
        <v>74</v>
      </c>
      <c r="BP256" t="s">
        <v>74</v>
      </c>
      <c r="BQ256" t="s">
        <v>74</v>
      </c>
      <c r="BR256" t="s">
        <v>108</v>
      </c>
      <c r="BS256" t="s">
        <v>4852</v>
      </c>
      <c r="BT256" t="str">
        <f>HYPERLINK("https%3A%2F%2Fwww.webofscience.com%2Fwos%2Fwoscc%2Ffull-record%2FWOS:000928915500003","View Full Record in Web of Science")</f>
        <v>View Full Record in Web of Science</v>
      </c>
    </row>
    <row r="257" spans="1:72" x14ac:dyDescent="0.15">
      <c r="A257" t="s">
        <v>72</v>
      </c>
      <c r="B257" t="s">
        <v>4853</v>
      </c>
      <c r="C257" t="s">
        <v>74</v>
      </c>
      <c r="D257" t="s">
        <v>74</v>
      </c>
      <c r="E257" t="s">
        <v>74</v>
      </c>
      <c r="F257" t="s">
        <v>4854</v>
      </c>
      <c r="G257" t="s">
        <v>74</v>
      </c>
      <c r="H257" t="s">
        <v>74</v>
      </c>
      <c r="I257" t="s">
        <v>4855</v>
      </c>
      <c r="J257" t="s">
        <v>4819</v>
      </c>
      <c r="K257" t="s">
        <v>74</v>
      </c>
      <c r="L257" t="s">
        <v>74</v>
      </c>
      <c r="M257" t="s">
        <v>78</v>
      </c>
      <c r="N257" t="s">
        <v>79</v>
      </c>
      <c r="O257" t="s">
        <v>74</v>
      </c>
      <c r="P257" t="s">
        <v>74</v>
      </c>
      <c r="Q257" t="s">
        <v>74</v>
      </c>
      <c r="R257" t="s">
        <v>74</v>
      </c>
      <c r="S257" t="s">
        <v>74</v>
      </c>
      <c r="T257" t="s">
        <v>4856</v>
      </c>
      <c r="U257" t="s">
        <v>4857</v>
      </c>
      <c r="V257" t="s">
        <v>4858</v>
      </c>
      <c r="W257" t="s">
        <v>4859</v>
      </c>
      <c r="X257" t="s">
        <v>4860</v>
      </c>
      <c r="Y257" t="s">
        <v>4861</v>
      </c>
      <c r="Z257" t="s">
        <v>4862</v>
      </c>
      <c r="AA257" t="s">
        <v>4863</v>
      </c>
      <c r="AB257" t="s">
        <v>4864</v>
      </c>
      <c r="AC257" t="s">
        <v>4865</v>
      </c>
      <c r="AD257" t="s">
        <v>4866</v>
      </c>
      <c r="AE257" t="s">
        <v>4867</v>
      </c>
      <c r="AF257" t="s">
        <v>74</v>
      </c>
      <c r="AG257">
        <v>89</v>
      </c>
      <c r="AH257">
        <v>0</v>
      </c>
      <c r="AI257">
        <v>0</v>
      </c>
      <c r="AJ257">
        <v>8</v>
      </c>
      <c r="AK257">
        <v>17</v>
      </c>
      <c r="AL257" t="s">
        <v>4804</v>
      </c>
      <c r="AM257" t="s">
        <v>4805</v>
      </c>
      <c r="AN257" t="s">
        <v>4806</v>
      </c>
      <c r="AO257" t="s">
        <v>4829</v>
      </c>
      <c r="AP257" t="s">
        <v>4830</v>
      </c>
      <c r="AQ257" t="s">
        <v>74</v>
      </c>
      <c r="AR257" t="s">
        <v>4831</v>
      </c>
      <c r="AS257" t="s">
        <v>4832</v>
      </c>
      <c r="AT257" t="s">
        <v>276</v>
      </c>
      <c r="AU257">
        <v>2023</v>
      </c>
      <c r="AV257">
        <v>53</v>
      </c>
      <c r="AW257">
        <v>1</v>
      </c>
      <c r="AX257" t="s">
        <v>74</v>
      </c>
      <c r="AY257" t="s">
        <v>74</v>
      </c>
      <c r="AZ257" t="s">
        <v>74</v>
      </c>
      <c r="BA257" t="s">
        <v>74</v>
      </c>
      <c r="BB257">
        <v>19</v>
      </c>
      <c r="BC257">
        <v>36</v>
      </c>
      <c r="BD257" t="s">
        <v>74</v>
      </c>
      <c r="BE257" t="s">
        <v>4868</v>
      </c>
      <c r="BF257" t="str">
        <f>HYPERLINK("http://dx.doi.org/10.1175/JPO-D-22-0095.1","http://dx.doi.org/10.1175/JPO-D-22-0095.1")</f>
        <v>http://dx.doi.org/10.1175/JPO-D-22-0095.1</v>
      </c>
      <c r="BG257" t="s">
        <v>74</v>
      </c>
      <c r="BH257" t="s">
        <v>74</v>
      </c>
      <c r="BI257">
        <v>18</v>
      </c>
      <c r="BJ257" t="s">
        <v>403</v>
      </c>
      <c r="BK257" t="s">
        <v>104</v>
      </c>
      <c r="BL257" t="s">
        <v>403</v>
      </c>
      <c r="BM257" t="s">
        <v>4869</v>
      </c>
      <c r="BN257" t="s">
        <v>74</v>
      </c>
      <c r="BO257" t="s">
        <v>74</v>
      </c>
      <c r="BP257" t="s">
        <v>74</v>
      </c>
      <c r="BQ257" t="s">
        <v>74</v>
      </c>
      <c r="BR257" t="s">
        <v>108</v>
      </c>
      <c r="BS257" t="s">
        <v>4870</v>
      </c>
      <c r="BT257" t="str">
        <f>HYPERLINK("https%3A%2F%2Fwww.webofscience.com%2Fwos%2Fwoscc%2Ffull-record%2FWOS:000930720100002","View Full Record in Web of Science")</f>
        <v>View Full Record in Web of Science</v>
      </c>
    </row>
    <row r="258" spans="1:72" x14ac:dyDescent="0.15">
      <c r="A258" t="s">
        <v>72</v>
      </c>
      <c r="B258" t="s">
        <v>4871</v>
      </c>
      <c r="C258" t="s">
        <v>74</v>
      </c>
      <c r="D258" t="s">
        <v>74</v>
      </c>
      <c r="E258" t="s">
        <v>74</v>
      </c>
      <c r="F258" t="s">
        <v>4872</v>
      </c>
      <c r="G258" t="s">
        <v>74</v>
      </c>
      <c r="H258" t="s">
        <v>74</v>
      </c>
      <c r="I258" t="s">
        <v>4873</v>
      </c>
      <c r="J258" t="s">
        <v>4874</v>
      </c>
      <c r="K258" t="s">
        <v>74</v>
      </c>
      <c r="L258" t="s">
        <v>74</v>
      </c>
      <c r="M258" t="s">
        <v>78</v>
      </c>
      <c r="N258" t="s">
        <v>79</v>
      </c>
      <c r="O258" t="s">
        <v>74</v>
      </c>
      <c r="P258" t="s">
        <v>74</v>
      </c>
      <c r="Q258" t="s">
        <v>74</v>
      </c>
      <c r="R258" t="s">
        <v>74</v>
      </c>
      <c r="S258" t="s">
        <v>74</v>
      </c>
      <c r="T258" t="s">
        <v>4875</v>
      </c>
      <c r="U258" t="s">
        <v>4876</v>
      </c>
      <c r="V258" t="s">
        <v>4877</v>
      </c>
      <c r="W258" t="s">
        <v>4878</v>
      </c>
      <c r="X258" t="s">
        <v>4879</v>
      </c>
      <c r="Y258" t="s">
        <v>4880</v>
      </c>
      <c r="Z258" t="s">
        <v>4881</v>
      </c>
      <c r="AA258" t="s">
        <v>74</v>
      </c>
      <c r="AB258" t="s">
        <v>4882</v>
      </c>
      <c r="AC258" t="s">
        <v>4883</v>
      </c>
      <c r="AD258" t="s">
        <v>4884</v>
      </c>
      <c r="AE258" t="s">
        <v>4885</v>
      </c>
      <c r="AF258" t="s">
        <v>74</v>
      </c>
      <c r="AG258">
        <v>30</v>
      </c>
      <c r="AH258">
        <v>1</v>
      </c>
      <c r="AI258">
        <v>1</v>
      </c>
      <c r="AJ258">
        <v>18</v>
      </c>
      <c r="AK258">
        <v>38</v>
      </c>
      <c r="AL258" t="s">
        <v>4886</v>
      </c>
      <c r="AM258" t="s">
        <v>4887</v>
      </c>
      <c r="AN258" t="s">
        <v>4888</v>
      </c>
      <c r="AO258" t="s">
        <v>74</v>
      </c>
      <c r="AP258" t="s">
        <v>4889</v>
      </c>
      <c r="AQ258" t="s">
        <v>74</v>
      </c>
      <c r="AR258" t="s">
        <v>4890</v>
      </c>
      <c r="AS258" t="s">
        <v>4891</v>
      </c>
      <c r="AT258" t="s">
        <v>276</v>
      </c>
      <c r="AU258">
        <v>2023</v>
      </c>
      <c r="AV258">
        <v>23</v>
      </c>
      <c r="AW258">
        <v>2</v>
      </c>
      <c r="AX258" t="s">
        <v>74</v>
      </c>
      <c r="AY258" t="s">
        <v>74</v>
      </c>
      <c r="AZ258" t="s">
        <v>74</v>
      </c>
      <c r="BA258" t="s">
        <v>74</v>
      </c>
      <c r="BB258" t="s">
        <v>74</v>
      </c>
      <c r="BC258" t="s">
        <v>74</v>
      </c>
      <c r="BD258">
        <v>751</v>
      </c>
      <c r="BE258" t="s">
        <v>4892</v>
      </c>
      <c r="BF258" t="str">
        <f>HYPERLINK("http://dx.doi.org/10.3390/s23020751","http://dx.doi.org/10.3390/s23020751")</f>
        <v>http://dx.doi.org/10.3390/s23020751</v>
      </c>
      <c r="BG258" t="s">
        <v>74</v>
      </c>
      <c r="BH258" t="s">
        <v>74</v>
      </c>
      <c r="BI258">
        <v>14</v>
      </c>
      <c r="BJ258" t="s">
        <v>4893</v>
      </c>
      <c r="BK258" t="s">
        <v>104</v>
      </c>
      <c r="BL258" t="s">
        <v>4894</v>
      </c>
      <c r="BM258" t="s">
        <v>4895</v>
      </c>
      <c r="BN258">
        <v>36679544</v>
      </c>
      <c r="BO258" t="s">
        <v>192</v>
      </c>
      <c r="BP258" t="s">
        <v>74</v>
      </c>
      <c r="BQ258" t="s">
        <v>74</v>
      </c>
      <c r="BR258" t="s">
        <v>108</v>
      </c>
      <c r="BS258" t="s">
        <v>4896</v>
      </c>
      <c r="BT258" t="str">
        <f>HYPERLINK("https%3A%2F%2Fwww.webofscience.com%2Fwos%2Fwoscc%2Ffull-record%2FWOS:000927626700001","View Full Record in Web of Science")</f>
        <v>View Full Record in Web of Science</v>
      </c>
    </row>
    <row r="259" spans="1:72" x14ac:dyDescent="0.15">
      <c r="A259" t="s">
        <v>72</v>
      </c>
      <c r="B259" t="s">
        <v>4897</v>
      </c>
      <c r="C259" t="s">
        <v>74</v>
      </c>
      <c r="D259" t="s">
        <v>74</v>
      </c>
      <c r="E259" t="s">
        <v>74</v>
      </c>
      <c r="F259" t="s">
        <v>4898</v>
      </c>
      <c r="G259" t="s">
        <v>74</v>
      </c>
      <c r="H259" t="s">
        <v>74</v>
      </c>
      <c r="I259" t="s">
        <v>4899</v>
      </c>
      <c r="J259" t="s">
        <v>3541</v>
      </c>
      <c r="K259" t="s">
        <v>74</v>
      </c>
      <c r="L259" t="s">
        <v>74</v>
      </c>
      <c r="M259" t="s">
        <v>78</v>
      </c>
      <c r="N259" t="s">
        <v>79</v>
      </c>
      <c r="O259" t="s">
        <v>74</v>
      </c>
      <c r="P259" t="s">
        <v>74</v>
      </c>
      <c r="Q259" t="s">
        <v>74</v>
      </c>
      <c r="R259" t="s">
        <v>74</v>
      </c>
      <c r="S259" t="s">
        <v>74</v>
      </c>
      <c r="T259" t="s">
        <v>4900</v>
      </c>
      <c r="U259" t="s">
        <v>4901</v>
      </c>
      <c r="V259" t="s">
        <v>4902</v>
      </c>
      <c r="W259" t="s">
        <v>4903</v>
      </c>
      <c r="X259" t="s">
        <v>4904</v>
      </c>
      <c r="Y259" t="s">
        <v>4905</v>
      </c>
      <c r="Z259" t="s">
        <v>4906</v>
      </c>
      <c r="AA259" t="s">
        <v>4907</v>
      </c>
      <c r="AB259" t="s">
        <v>4908</v>
      </c>
      <c r="AC259" t="s">
        <v>4909</v>
      </c>
      <c r="AD259" t="s">
        <v>4910</v>
      </c>
      <c r="AE259" t="s">
        <v>4911</v>
      </c>
      <c r="AF259" t="s">
        <v>74</v>
      </c>
      <c r="AG259">
        <v>87</v>
      </c>
      <c r="AH259">
        <v>6</v>
      </c>
      <c r="AI259">
        <v>6</v>
      </c>
      <c r="AJ259">
        <v>1</v>
      </c>
      <c r="AK259">
        <v>7</v>
      </c>
      <c r="AL259" t="s">
        <v>1791</v>
      </c>
      <c r="AM259" t="s">
        <v>576</v>
      </c>
      <c r="AN259" t="s">
        <v>1792</v>
      </c>
      <c r="AO259" t="s">
        <v>3554</v>
      </c>
      <c r="AP259" t="s">
        <v>3555</v>
      </c>
      <c r="AQ259" t="s">
        <v>74</v>
      </c>
      <c r="AR259" t="s">
        <v>3556</v>
      </c>
      <c r="AS259" t="s">
        <v>3557</v>
      </c>
      <c r="AT259" t="s">
        <v>276</v>
      </c>
      <c r="AU259">
        <v>2023</v>
      </c>
      <c r="AV259">
        <v>128</v>
      </c>
      <c r="AW259">
        <v>1</v>
      </c>
      <c r="AX259" t="s">
        <v>74</v>
      </c>
      <c r="AY259" t="s">
        <v>74</v>
      </c>
      <c r="AZ259" t="s">
        <v>74</v>
      </c>
      <c r="BA259" t="s">
        <v>74</v>
      </c>
      <c r="BB259" t="s">
        <v>74</v>
      </c>
      <c r="BC259" t="s">
        <v>74</v>
      </c>
      <c r="BD259" t="s">
        <v>4912</v>
      </c>
      <c r="BE259" t="s">
        <v>4913</v>
      </c>
      <c r="BF259" t="str">
        <f>HYPERLINK("http://dx.doi.org/10.1029/2022JC018929","http://dx.doi.org/10.1029/2022JC018929")</f>
        <v>http://dx.doi.org/10.1029/2022JC018929</v>
      </c>
      <c r="BG259" t="s">
        <v>74</v>
      </c>
      <c r="BH259" t="s">
        <v>74</v>
      </c>
      <c r="BI259">
        <v>19</v>
      </c>
      <c r="BJ259" t="s">
        <v>403</v>
      </c>
      <c r="BK259" t="s">
        <v>104</v>
      </c>
      <c r="BL259" t="s">
        <v>403</v>
      </c>
      <c r="BM259" t="s">
        <v>4914</v>
      </c>
      <c r="BN259" t="s">
        <v>74</v>
      </c>
      <c r="BO259" t="s">
        <v>248</v>
      </c>
      <c r="BP259" t="s">
        <v>74</v>
      </c>
      <c r="BQ259" t="s">
        <v>74</v>
      </c>
      <c r="BR259" t="s">
        <v>108</v>
      </c>
      <c r="BS259" t="s">
        <v>4915</v>
      </c>
      <c r="BT259" t="str">
        <f>HYPERLINK("https%3A%2F%2Fwww.webofscience.com%2Fwos%2Fwoscc%2Ffull-record%2FWOS:000934029600001","View Full Record in Web of Science")</f>
        <v>View Full Record in Web of Science</v>
      </c>
    </row>
    <row r="260" spans="1:72" x14ac:dyDescent="0.15">
      <c r="A260" t="s">
        <v>72</v>
      </c>
      <c r="B260" t="s">
        <v>4916</v>
      </c>
      <c r="C260" t="s">
        <v>74</v>
      </c>
      <c r="D260" t="s">
        <v>74</v>
      </c>
      <c r="E260" t="s">
        <v>74</v>
      </c>
      <c r="F260" t="s">
        <v>4917</v>
      </c>
      <c r="G260" t="s">
        <v>74</v>
      </c>
      <c r="H260" t="s">
        <v>74</v>
      </c>
      <c r="I260" t="s">
        <v>4918</v>
      </c>
      <c r="J260" t="s">
        <v>4919</v>
      </c>
      <c r="K260" t="s">
        <v>74</v>
      </c>
      <c r="L260" t="s">
        <v>74</v>
      </c>
      <c r="M260" t="s">
        <v>78</v>
      </c>
      <c r="N260" t="s">
        <v>79</v>
      </c>
      <c r="O260" t="s">
        <v>74</v>
      </c>
      <c r="P260" t="s">
        <v>74</v>
      </c>
      <c r="Q260" t="s">
        <v>74</v>
      </c>
      <c r="R260" t="s">
        <v>74</v>
      </c>
      <c r="S260" t="s">
        <v>74</v>
      </c>
      <c r="T260" t="s">
        <v>4920</v>
      </c>
      <c r="U260" t="s">
        <v>4921</v>
      </c>
      <c r="V260" t="s">
        <v>4922</v>
      </c>
      <c r="W260" t="s">
        <v>4923</v>
      </c>
      <c r="X260" t="s">
        <v>4924</v>
      </c>
      <c r="Y260" t="s">
        <v>4925</v>
      </c>
      <c r="Z260" t="s">
        <v>4926</v>
      </c>
      <c r="AA260" t="s">
        <v>74</v>
      </c>
      <c r="AB260" t="s">
        <v>4927</v>
      </c>
      <c r="AC260" t="s">
        <v>4928</v>
      </c>
      <c r="AD260" t="s">
        <v>4929</v>
      </c>
      <c r="AE260" t="s">
        <v>4930</v>
      </c>
      <c r="AF260" t="s">
        <v>74</v>
      </c>
      <c r="AG260">
        <v>61</v>
      </c>
      <c r="AH260">
        <v>2</v>
      </c>
      <c r="AI260">
        <v>2</v>
      </c>
      <c r="AJ260">
        <v>3</v>
      </c>
      <c r="AK260">
        <v>6</v>
      </c>
      <c r="AL260" t="s">
        <v>4804</v>
      </c>
      <c r="AM260" t="s">
        <v>4805</v>
      </c>
      <c r="AN260" t="s">
        <v>4806</v>
      </c>
      <c r="AO260" t="s">
        <v>4931</v>
      </c>
      <c r="AP260" t="s">
        <v>4932</v>
      </c>
      <c r="AQ260" t="s">
        <v>74</v>
      </c>
      <c r="AR260" t="s">
        <v>4933</v>
      </c>
      <c r="AS260" t="s">
        <v>4934</v>
      </c>
      <c r="AT260" t="s">
        <v>276</v>
      </c>
      <c r="AU260">
        <v>2023</v>
      </c>
      <c r="AV260">
        <v>80</v>
      </c>
      <c r="AW260">
        <v>1</v>
      </c>
      <c r="AX260" t="s">
        <v>74</v>
      </c>
      <c r="AY260" t="s">
        <v>74</v>
      </c>
      <c r="AZ260" t="s">
        <v>74</v>
      </c>
      <c r="BA260" t="s">
        <v>74</v>
      </c>
      <c r="BB260">
        <v>337</v>
      </c>
      <c r="BC260">
        <v>352</v>
      </c>
      <c r="BD260" t="s">
        <v>74</v>
      </c>
      <c r="BE260" t="s">
        <v>4935</v>
      </c>
      <c r="BF260" t="str">
        <f>HYPERLINK("http://dx.doi.org/10.1175/JAS-D-22-0091.1","http://dx.doi.org/10.1175/JAS-D-22-0091.1")</f>
        <v>http://dx.doi.org/10.1175/JAS-D-22-0091.1</v>
      </c>
      <c r="BG260" t="s">
        <v>74</v>
      </c>
      <c r="BH260" t="s">
        <v>74</v>
      </c>
      <c r="BI260">
        <v>16</v>
      </c>
      <c r="BJ260" t="s">
        <v>532</v>
      </c>
      <c r="BK260" t="s">
        <v>104</v>
      </c>
      <c r="BL260" t="s">
        <v>532</v>
      </c>
      <c r="BM260" t="s">
        <v>4936</v>
      </c>
      <c r="BN260" t="s">
        <v>74</v>
      </c>
      <c r="BO260" t="s">
        <v>74</v>
      </c>
      <c r="BP260" t="s">
        <v>74</v>
      </c>
      <c r="BQ260" t="s">
        <v>74</v>
      </c>
      <c r="BR260" t="s">
        <v>108</v>
      </c>
      <c r="BS260" t="s">
        <v>4937</v>
      </c>
      <c r="BT260" t="str">
        <f>HYPERLINK("https%3A%2F%2Fwww.webofscience.com%2Fwos%2Fwoscc%2Ffull-record%2FWOS:000921832500015","View Full Record in Web of Science")</f>
        <v>View Full Record in Web of Science</v>
      </c>
    </row>
    <row r="261" spans="1:72" x14ac:dyDescent="0.15">
      <c r="A261" t="s">
        <v>72</v>
      </c>
      <c r="B261" t="s">
        <v>4938</v>
      </c>
      <c r="C261" t="s">
        <v>74</v>
      </c>
      <c r="D261" t="s">
        <v>74</v>
      </c>
      <c r="E261" t="s">
        <v>74</v>
      </c>
      <c r="F261" t="s">
        <v>4939</v>
      </c>
      <c r="G261" t="s">
        <v>74</v>
      </c>
      <c r="H261" t="s">
        <v>74</v>
      </c>
      <c r="I261" t="s">
        <v>4940</v>
      </c>
      <c r="J261" t="s">
        <v>4941</v>
      </c>
      <c r="K261" t="s">
        <v>74</v>
      </c>
      <c r="L261" t="s">
        <v>74</v>
      </c>
      <c r="M261" t="s">
        <v>78</v>
      </c>
      <c r="N261" t="s">
        <v>79</v>
      </c>
      <c r="O261" t="s">
        <v>74</v>
      </c>
      <c r="P261" t="s">
        <v>74</v>
      </c>
      <c r="Q261" t="s">
        <v>74</v>
      </c>
      <c r="R261" t="s">
        <v>74</v>
      </c>
      <c r="S261" t="s">
        <v>74</v>
      </c>
      <c r="T261" t="s">
        <v>4942</v>
      </c>
      <c r="U261" t="s">
        <v>4943</v>
      </c>
      <c r="V261" t="s">
        <v>4944</v>
      </c>
      <c r="W261" t="s">
        <v>4945</v>
      </c>
      <c r="X261" t="s">
        <v>4946</v>
      </c>
      <c r="Y261" t="s">
        <v>4947</v>
      </c>
      <c r="Z261" t="s">
        <v>4948</v>
      </c>
      <c r="AA261" t="s">
        <v>4949</v>
      </c>
      <c r="AB261" t="s">
        <v>4950</v>
      </c>
      <c r="AC261" t="s">
        <v>4951</v>
      </c>
      <c r="AD261" t="s">
        <v>4952</v>
      </c>
      <c r="AE261" t="s">
        <v>4953</v>
      </c>
      <c r="AF261" t="s">
        <v>74</v>
      </c>
      <c r="AG261">
        <v>34</v>
      </c>
      <c r="AH261">
        <v>0</v>
      </c>
      <c r="AI261">
        <v>0</v>
      </c>
      <c r="AJ261">
        <v>2</v>
      </c>
      <c r="AK261">
        <v>3</v>
      </c>
      <c r="AL261" t="s">
        <v>4886</v>
      </c>
      <c r="AM261" t="s">
        <v>4887</v>
      </c>
      <c r="AN261" t="s">
        <v>4888</v>
      </c>
      <c r="AO261" t="s">
        <v>74</v>
      </c>
      <c r="AP261" t="s">
        <v>4954</v>
      </c>
      <c r="AQ261" t="s">
        <v>74</v>
      </c>
      <c r="AR261" t="s">
        <v>4955</v>
      </c>
      <c r="AS261" t="s">
        <v>4956</v>
      </c>
      <c r="AT261" t="s">
        <v>276</v>
      </c>
      <c r="AU261">
        <v>2023</v>
      </c>
      <c r="AV261">
        <v>15</v>
      </c>
      <c r="AW261">
        <v>2</v>
      </c>
      <c r="AX261" t="s">
        <v>74</v>
      </c>
      <c r="AY261" t="s">
        <v>74</v>
      </c>
      <c r="AZ261" t="s">
        <v>74</v>
      </c>
      <c r="BA261" t="s">
        <v>74</v>
      </c>
      <c r="BB261" t="s">
        <v>74</v>
      </c>
      <c r="BC261" t="s">
        <v>74</v>
      </c>
      <c r="BD261">
        <v>339</v>
      </c>
      <c r="BE261" t="s">
        <v>4957</v>
      </c>
      <c r="BF261" t="str">
        <f>HYPERLINK("http://dx.doi.org/10.3390/rs15020339","http://dx.doi.org/10.3390/rs15020339")</f>
        <v>http://dx.doi.org/10.3390/rs15020339</v>
      </c>
      <c r="BG261" t="s">
        <v>74</v>
      </c>
      <c r="BH261" t="s">
        <v>74</v>
      </c>
      <c r="BI261">
        <v>15</v>
      </c>
      <c r="BJ261" t="s">
        <v>4958</v>
      </c>
      <c r="BK261" t="s">
        <v>104</v>
      </c>
      <c r="BL261" t="s">
        <v>4959</v>
      </c>
      <c r="BM261" t="s">
        <v>4960</v>
      </c>
      <c r="BN261" t="s">
        <v>74</v>
      </c>
      <c r="BO261" t="s">
        <v>165</v>
      </c>
      <c r="BP261" t="s">
        <v>74</v>
      </c>
      <c r="BQ261" t="s">
        <v>74</v>
      </c>
      <c r="BR261" t="s">
        <v>108</v>
      </c>
      <c r="BS261" t="s">
        <v>4961</v>
      </c>
      <c r="BT261" t="str">
        <f>HYPERLINK("https%3A%2F%2Fwww.webofscience.com%2Fwos%2Fwoscc%2Ffull-record%2FWOS:000931495600001","View Full Record in Web of Science")</f>
        <v>View Full Record in Web of Science</v>
      </c>
    </row>
    <row r="262" spans="1:72" x14ac:dyDescent="0.15">
      <c r="A262" t="s">
        <v>72</v>
      </c>
      <c r="B262" t="s">
        <v>4962</v>
      </c>
      <c r="C262" t="s">
        <v>74</v>
      </c>
      <c r="D262" t="s">
        <v>74</v>
      </c>
      <c r="E262" t="s">
        <v>74</v>
      </c>
      <c r="F262" t="s">
        <v>4963</v>
      </c>
      <c r="G262" t="s">
        <v>74</v>
      </c>
      <c r="H262" t="s">
        <v>74</v>
      </c>
      <c r="I262" t="s">
        <v>4964</v>
      </c>
      <c r="J262" t="s">
        <v>4965</v>
      </c>
      <c r="K262" t="s">
        <v>74</v>
      </c>
      <c r="L262" t="s">
        <v>74</v>
      </c>
      <c r="M262" t="s">
        <v>78</v>
      </c>
      <c r="N262" t="s">
        <v>79</v>
      </c>
      <c r="O262" t="s">
        <v>74</v>
      </c>
      <c r="P262" t="s">
        <v>74</v>
      </c>
      <c r="Q262" t="s">
        <v>74</v>
      </c>
      <c r="R262" t="s">
        <v>74</v>
      </c>
      <c r="S262" t="s">
        <v>74</v>
      </c>
      <c r="T262" t="s">
        <v>4966</v>
      </c>
      <c r="U262" t="s">
        <v>4967</v>
      </c>
      <c r="V262" t="s">
        <v>4968</v>
      </c>
      <c r="W262" t="s">
        <v>4969</v>
      </c>
      <c r="X262" t="s">
        <v>4970</v>
      </c>
      <c r="Y262" t="s">
        <v>4971</v>
      </c>
      <c r="Z262" t="s">
        <v>4972</v>
      </c>
      <c r="AA262" t="s">
        <v>4973</v>
      </c>
      <c r="AB262" t="s">
        <v>4974</v>
      </c>
      <c r="AC262" t="s">
        <v>4975</v>
      </c>
      <c r="AD262" t="s">
        <v>4975</v>
      </c>
      <c r="AE262" t="s">
        <v>4976</v>
      </c>
      <c r="AF262" t="s">
        <v>74</v>
      </c>
      <c r="AG262">
        <v>71</v>
      </c>
      <c r="AH262">
        <v>0</v>
      </c>
      <c r="AI262">
        <v>0</v>
      </c>
      <c r="AJ262">
        <v>0</v>
      </c>
      <c r="AK262">
        <v>3</v>
      </c>
      <c r="AL262" t="s">
        <v>4886</v>
      </c>
      <c r="AM262" t="s">
        <v>4887</v>
      </c>
      <c r="AN262" t="s">
        <v>4888</v>
      </c>
      <c r="AO262" t="s">
        <v>74</v>
      </c>
      <c r="AP262" t="s">
        <v>4977</v>
      </c>
      <c r="AQ262" t="s">
        <v>74</v>
      </c>
      <c r="AR262" t="s">
        <v>4965</v>
      </c>
      <c r="AS262" t="s">
        <v>4978</v>
      </c>
      <c r="AT262" t="s">
        <v>276</v>
      </c>
      <c r="AU262">
        <v>2023</v>
      </c>
      <c r="AV262">
        <v>13</v>
      </c>
      <c r="AW262">
        <v>1</v>
      </c>
      <c r="AX262" t="s">
        <v>74</v>
      </c>
      <c r="AY262" t="s">
        <v>74</v>
      </c>
      <c r="AZ262" t="s">
        <v>74</v>
      </c>
      <c r="BA262" t="s">
        <v>74</v>
      </c>
      <c r="BB262" t="s">
        <v>74</v>
      </c>
      <c r="BC262" t="s">
        <v>74</v>
      </c>
      <c r="BD262">
        <v>21</v>
      </c>
      <c r="BE262" t="s">
        <v>4979</v>
      </c>
      <c r="BF262" t="str">
        <f>HYPERLINK("http://dx.doi.org/10.3390/geosciences13010021","http://dx.doi.org/10.3390/geosciences13010021")</f>
        <v>http://dx.doi.org/10.3390/geosciences13010021</v>
      </c>
      <c r="BG262" t="s">
        <v>74</v>
      </c>
      <c r="BH262" t="s">
        <v>74</v>
      </c>
      <c r="BI262">
        <v>25</v>
      </c>
      <c r="BJ262" t="s">
        <v>455</v>
      </c>
      <c r="BK262" t="s">
        <v>757</v>
      </c>
      <c r="BL262" t="s">
        <v>456</v>
      </c>
      <c r="BM262" t="s">
        <v>4980</v>
      </c>
      <c r="BN262" t="s">
        <v>74</v>
      </c>
      <c r="BO262" t="s">
        <v>737</v>
      </c>
      <c r="BP262" t="s">
        <v>74</v>
      </c>
      <c r="BQ262" t="s">
        <v>74</v>
      </c>
      <c r="BR262" t="s">
        <v>108</v>
      </c>
      <c r="BS262" t="s">
        <v>4981</v>
      </c>
      <c r="BT262" t="str">
        <f>HYPERLINK("https%3A%2F%2Fwww.webofscience.com%2Fwos%2Fwoscc%2Ffull-record%2FWOS:000919554900001","View Full Record in Web of Science")</f>
        <v>View Full Record in Web of Science</v>
      </c>
    </row>
    <row r="263" spans="1:72" x14ac:dyDescent="0.15">
      <c r="A263" t="s">
        <v>72</v>
      </c>
      <c r="B263" t="s">
        <v>4982</v>
      </c>
      <c r="C263" t="s">
        <v>74</v>
      </c>
      <c r="D263" t="s">
        <v>74</v>
      </c>
      <c r="E263" t="s">
        <v>74</v>
      </c>
      <c r="F263" t="s">
        <v>4983</v>
      </c>
      <c r="G263" t="s">
        <v>74</v>
      </c>
      <c r="H263" t="s">
        <v>74</v>
      </c>
      <c r="I263" t="s">
        <v>4984</v>
      </c>
      <c r="J263" t="s">
        <v>4985</v>
      </c>
      <c r="K263" t="s">
        <v>74</v>
      </c>
      <c r="L263" t="s">
        <v>74</v>
      </c>
      <c r="M263" t="s">
        <v>78</v>
      </c>
      <c r="N263" t="s">
        <v>79</v>
      </c>
      <c r="O263" t="s">
        <v>74</v>
      </c>
      <c r="P263" t="s">
        <v>74</v>
      </c>
      <c r="Q263" t="s">
        <v>74</v>
      </c>
      <c r="R263" t="s">
        <v>74</v>
      </c>
      <c r="S263" t="s">
        <v>74</v>
      </c>
      <c r="T263" t="s">
        <v>4986</v>
      </c>
      <c r="U263" t="s">
        <v>4987</v>
      </c>
      <c r="V263" t="s">
        <v>4988</v>
      </c>
      <c r="W263" t="s">
        <v>4989</v>
      </c>
      <c r="X263" t="s">
        <v>4990</v>
      </c>
      <c r="Y263" t="s">
        <v>4991</v>
      </c>
      <c r="Z263" t="s">
        <v>4992</v>
      </c>
      <c r="AA263" t="s">
        <v>4993</v>
      </c>
      <c r="AB263" t="s">
        <v>4994</v>
      </c>
      <c r="AC263" t="s">
        <v>4995</v>
      </c>
      <c r="AD263" t="s">
        <v>74</v>
      </c>
      <c r="AE263" t="s">
        <v>4996</v>
      </c>
      <c r="AF263" t="s">
        <v>74</v>
      </c>
      <c r="AG263">
        <v>54</v>
      </c>
      <c r="AH263">
        <v>4</v>
      </c>
      <c r="AI263">
        <v>4</v>
      </c>
      <c r="AJ263">
        <v>6</v>
      </c>
      <c r="AK263">
        <v>16</v>
      </c>
      <c r="AL263" t="s">
        <v>4886</v>
      </c>
      <c r="AM263" t="s">
        <v>4887</v>
      </c>
      <c r="AN263" t="s">
        <v>4888</v>
      </c>
      <c r="AO263" t="s">
        <v>74</v>
      </c>
      <c r="AP263" t="s">
        <v>4997</v>
      </c>
      <c r="AQ263" t="s">
        <v>74</v>
      </c>
      <c r="AR263" t="s">
        <v>4998</v>
      </c>
      <c r="AS263" t="s">
        <v>4999</v>
      </c>
      <c r="AT263" t="s">
        <v>276</v>
      </c>
      <c r="AU263">
        <v>2023</v>
      </c>
      <c r="AV263">
        <v>12</v>
      </c>
      <c r="AW263">
        <v>1</v>
      </c>
      <c r="AX263" t="s">
        <v>74</v>
      </c>
      <c r="AY263" t="s">
        <v>74</v>
      </c>
      <c r="AZ263" t="s">
        <v>74</v>
      </c>
      <c r="BA263" t="s">
        <v>74</v>
      </c>
      <c r="BB263" t="s">
        <v>74</v>
      </c>
      <c r="BC263" t="s">
        <v>74</v>
      </c>
      <c r="BD263">
        <v>10</v>
      </c>
      <c r="BE263" t="s">
        <v>5000</v>
      </c>
      <c r="BF263" t="str">
        <f>HYPERLINK("http://dx.doi.org/10.3390/antiox12010010","http://dx.doi.org/10.3390/antiox12010010")</f>
        <v>http://dx.doi.org/10.3390/antiox12010010</v>
      </c>
      <c r="BG263" t="s">
        <v>74</v>
      </c>
      <c r="BH263" t="s">
        <v>74</v>
      </c>
      <c r="BI263">
        <v>22</v>
      </c>
      <c r="BJ263" t="s">
        <v>5001</v>
      </c>
      <c r="BK263" t="s">
        <v>104</v>
      </c>
      <c r="BL263" t="s">
        <v>5002</v>
      </c>
      <c r="BM263" t="s">
        <v>5003</v>
      </c>
      <c r="BN263">
        <v>36670872</v>
      </c>
      <c r="BO263" t="s">
        <v>3181</v>
      </c>
      <c r="BP263" t="s">
        <v>74</v>
      </c>
      <c r="BQ263" t="s">
        <v>74</v>
      </c>
      <c r="BR263" t="s">
        <v>108</v>
      </c>
      <c r="BS263" t="s">
        <v>5004</v>
      </c>
      <c r="BT263" t="str">
        <f>HYPERLINK("https%3A%2F%2Fwww.webofscience.com%2Fwos%2Fwoscc%2Ffull-record%2FWOS:000914297100001","View Full Record in Web of Science")</f>
        <v>View Full Record in Web of Science</v>
      </c>
    </row>
    <row r="264" spans="1:72" x14ac:dyDescent="0.15">
      <c r="A264" t="s">
        <v>72</v>
      </c>
      <c r="B264" t="s">
        <v>5005</v>
      </c>
      <c r="C264" t="s">
        <v>74</v>
      </c>
      <c r="D264" t="s">
        <v>74</v>
      </c>
      <c r="E264" t="s">
        <v>74</v>
      </c>
      <c r="F264" t="s">
        <v>5006</v>
      </c>
      <c r="G264" t="s">
        <v>74</v>
      </c>
      <c r="H264" t="s">
        <v>74</v>
      </c>
      <c r="I264" t="s">
        <v>5007</v>
      </c>
      <c r="J264" t="s">
        <v>5008</v>
      </c>
      <c r="K264" t="s">
        <v>74</v>
      </c>
      <c r="L264" t="s">
        <v>74</v>
      </c>
      <c r="M264" t="s">
        <v>78</v>
      </c>
      <c r="N264" t="s">
        <v>79</v>
      </c>
      <c r="O264" t="s">
        <v>74</v>
      </c>
      <c r="P264" t="s">
        <v>74</v>
      </c>
      <c r="Q264" t="s">
        <v>74</v>
      </c>
      <c r="R264" t="s">
        <v>74</v>
      </c>
      <c r="S264" t="s">
        <v>74</v>
      </c>
      <c r="T264" t="s">
        <v>5009</v>
      </c>
      <c r="U264" t="s">
        <v>5010</v>
      </c>
      <c r="V264" t="s">
        <v>5011</v>
      </c>
      <c r="W264" t="s">
        <v>5012</v>
      </c>
      <c r="X264" t="s">
        <v>5013</v>
      </c>
      <c r="Y264" t="s">
        <v>5014</v>
      </c>
      <c r="Z264" t="s">
        <v>5015</v>
      </c>
      <c r="AA264" t="s">
        <v>74</v>
      </c>
      <c r="AB264" t="s">
        <v>5016</v>
      </c>
      <c r="AC264" t="s">
        <v>74</v>
      </c>
      <c r="AD264" t="s">
        <v>74</v>
      </c>
      <c r="AE264" t="s">
        <v>74</v>
      </c>
      <c r="AF264" t="s">
        <v>74</v>
      </c>
      <c r="AG264">
        <v>27</v>
      </c>
      <c r="AH264">
        <v>2</v>
      </c>
      <c r="AI264">
        <v>2</v>
      </c>
      <c r="AJ264">
        <v>1</v>
      </c>
      <c r="AK264">
        <v>6</v>
      </c>
      <c r="AL264" t="s">
        <v>4886</v>
      </c>
      <c r="AM264" t="s">
        <v>4887</v>
      </c>
      <c r="AN264" t="s">
        <v>4888</v>
      </c>
      <c r="AO264" t="s">
        <v>74</v>
      </c>
      <c r="AP264" t="s">
        <v>5017</v>
      </c>
      <c r="AQ264" t="s">
        <v>74</v>
      </c>
      <c r="AR264" t="s">
        <v>5018</v>
      </c>
      <c r="AS264" t="s">
        <v>5019</v>
      </c>
      <c r="AT264" t="s">
        <v>276</v>
      </c>
      <c r="AU264">
        <v>2023</v>
      </c>
      <c r="AV264">
        <v>10</v>
      </c>
      <c r="AW264">
        <v>1</v>
      </c>
      <c r="AX264" t="s">
        <v>74</v>
      </c>
      <c r="AY264" t="s">
        <v>74</v>
      </c>
      <c r="AZ264" t="s">
        <v>74</v>
      </c>
      <c r="BA264" t="s">
        <v>74</v>
      </c>
      <c r="BB264" t="s">
        <v>74</v>
      </c>
      <c r="BC264" t="s">
        <v>74</v>
      </c>
      <c r="BD264">
        <v>13</v>
      </c>
      <c r="BE264" t="s">
        <v>5020</v>
      </c>
      <c r="BF264" t="str">
        <f>HYPERLINK("http://dx.doi.org/10.3390/vetsci10010013","http://dx.doi.org/10.3390/vetsci10010013")</f>
        <v>http://dx.doi.org/10.3390/vetsci10010013</v>
      </c>
      <c r="BG264" t="s">
        <v>74</v>
      </c>
      <c r="BH264" t="s">
        <v>74</v>
      </c>
      <c r="BI264">
        <v>9</v>
      </c>
      <c r="BJ264" t="s">
        <v>2924</v>
      </c>
      <c r="BK264" t="s">
        <v>104</v>
      </c>
      <c r="BL264" t="s">
        <v>2924</v>
      </c>
      <c r="BM264" t="s">
        <v>5021</v>
      </c>
      <c r="BN264">
        <v>36669014</v>
      </c>
      <c r="BO264" t="s">
        <v>3181</v>
      </c>
      <c r="BP264" t="s">
        <v>74</v>
      </c>
      <c r="BQ264" t="s">
        <v>74</v>
      </c>
      <c r="BR264" t="s">
        <v>108</v>
      </c>
      <c r="BS264" t="s">
        <v>5022</v>
      </c>
      <c r="BT264" t="str">
        <f>HYPERLINK("https%3A%2F%2Fwww.webofscience.com%2Fwos%2Fwoscc%2Ffull-record%2FWOS:000927182200001","View Full Record in Web of Science")</f>
        <v>View Full Record in Web of Science</v>
      </c>
    </row>
    <row r="265" spans="1:72" x14ac:dyDescent="0.15">
      <c r="A265" t="s">
        <v>72</v>
      </c>
      <c r="B265" t="s">
        <v>5023</v>
      </c>
      <c r="C265" t="s">
        <v>74</v>
      </c>
      <c r="D265" t="s">
        <v>74</v>
      </c>
      <c r="E265" t="s">
        <v>74</v>
      </c>
      <c r="F265" t="s">
        <v>5024</v>
      </c>
      <c r="G265" t="s">
        <v>74</v>
      </c>
      <c r="H265" t="s">
        <v>74</v>
      </c>
      <c r="I265" t="s">
        <v>5025</v>
      </c>
      <c r="J265" t="s">
        <v>5026</v>
      </c>
      <c r="K265" t="s">
        <v>74</v>
      </c>
      <c r="L265" t="s">
        <v>74</v>
      </c>
      <c r="M265" t="s">
        <v>78</v>
      </c>
      <c r="N265" t="s">
        <v>79</v>
      </c>
      <c r="O265" t="s">
        <v>74</v>
      </c>
      <c r="P265" t="s">
        <v>74</v>
      </c>
      <c r="Q265" t="s">
        <v>74</v>
      </c>
      <c r="R265" t="s">
        <v>74</v>
      </c>
      <c r="S265" t="s">
        <v>74</v>
      </c>
      <c r="T265" t="s">
        <v>5027</v>
      </c>
      <c r="U265" t="s">
        <v>5028</v>
      </c>
      <c r="V265" t="s">
        <v>5029</v>
      </c>
      <c r="W265" t="s">
        <v>5030</v>
      </c>
      <c r="X265" t="s">
        <v>5031</v>
      </c>
      <c r="Y265" t="s">
        <v>5032</v>
      </c>
      <c r="Z265" t="s">
        <v>5033</v>
      </c>
      <c r="AA265" t="s">
        <v>5034</v>
      </c>
      <c r="AB265" t="s">
        <v>5035</v>
      </c>
      <c r="AC265" t="s">
        <v>5036</v>
      </c>
      <c r="AD265" t="s">
        <v>5037</v>
      </c>
      <c r="AE265" t="s">
        <v>5038</v>
      </c>
      <c r="AF265" t="s">
        <v>74</v>
      </c>
      <c r="AG265">
        <v>47</v>
      </c>
      <c r="AH265">
        <v>0</v>
      </c>
      <c r="AI265">
        <v>0</v>
      </c>
      <c r="AJ265">
        <v>5</v>
      </c>
      <c r="AK265">
        <v>6</v>
      </c>
      <c r="AL265" t="s">
        <v>5039</v>
      </c>
      <c r="AM265" t="s">
        <v>5040</v>
      </c>
      <c r="AN265" t="s">
        <v>5041</v>
      </c>
      <c r="AO265" t="s">
        <v>5042</v>
      </c>
      <c r="AP265" t="s">
        <v>5043</v>
      </c>
      <c r="AQ265" t="s">
        <v>74</v>
      </c>
      <c r="AR265" t="s">
        <v>5044</v>
      </c>
      <c r="AS265" t="s">
        <v>5045</v>
      </c>
      <c r="AT265" t="s">
        <v>276</v>
      </c>
      <c r="AU265">
        <v>2023</v>
      </c>
      <c r="AV265">
        <v>24</v>
      </c>
      <c r="AW265">
        <v>1</v>
      </c>
      <c r="AX265" t="s">
        <v>74</v>
      </c>
      <c r="AY265" t="s">
        <v>74</v>
      </c>
      <c r="AZ265" t="s">
        <v>74</v>
      </c>
      <c r="BA265" t="s">
        <v>74</v>
      </c>
      <c r="BB265">
        <v>27</v>
      </c>
      <c r="BC265">
        <v>39</v>
      </c>
      <c r="BD265" t="s">
        <v>74</v>
      </c>
      <c r="BE265" t="s">
        <v>5046</v>
      </c>
      <c r="BF265" t="str">
        <f>HYPERLINK("http://dx.doi.org/10.31436/iiumej.v24i1.2447","http://dx.doi.org/10.31436/iiumej.v24i1.2447")</f>
        <v>http://dx.doi.org/10.31436/iiumej.v24i1.2447</v>
      </c>
      <c r="BG265" t="s">
        <v>74</v>
      </c>
      <c r="BH265" t="s">
        <v>74</v>
      </c>
      <c r="BI265">
        <v>13</v>
      </c>
      <c r="BJ265" t="s">
        <v>3730</v>
      </c>
      <c r="BK265" t="s">
        <v>757</v>
      </c>
      <c r="BL265" t="s">
        <v>2342</v>
      </c>
      <c r="BM265" t="s">
        <v>5047</v>
      </c>
      <c r="BN265" t="s">
        <v>74</v>
      </c>
      <c r="BO265" t="s">
        <v>165</v>
      </c>
      <c r="BP265" t="s">
        <v>74</v>
      </c>
      <c r="BQ265" t="s">
        <v>74</v>
      </c>
      <c r="BR265" t="s">
        <v>108</v>
      </c>
      <c r="BS265" t="s">
        <v>5048</v>
      </c>
      <c r="BT265" t="str">
        <f>HYPERLINK("https%3A%2F%2Fwww.webofscience.com%2Fwos%2Fwoscc%2Ffull-record%2FWOS:000910558100003","View Full Record in Web of Science")</f>
        <v>View Full Record in Web of Science</v>
      </c>
    </row>
    <row r="266" spans="1:72" x14ac:dyDescent="0.15">
      <c r="A266" t="s">
        <v>72</v>
      </c>
      <c r="B266" t="s">
        <v>5049</v>
      </c>
      <c r="C266" t="s">
        <v>74</v>
      </c>
      <c r="D266" t="s">
        <v>74</v>
      </c>
      <c r="E266" t="s">
        <v>74</v>
      </c>
      <c r="F266" t="s">
        <v>5050</v>
      </c>
      <c r="G266" t="s">
        <v>74</v>
      </c>
      <c r="H266" t="s">
        <v>74</v>
      </c>
      <c r="I266" t="s">
        <v>5051</v>
      </c>
      <c r="J266" t="s">
        <v>5052</v>
      </c>
      <c r="K266" t="s">
        <v>74</v>
      </c>
      <c r="L266" t="s">
        <v>74</v>
      </c>
      <c r="M266" t="s">
        <v>78</v>
      </c>
      <c r="N266" t="s">
        <v>79</v>
      </c>
      <c r="O266" t="s">
        <v>74</v>
      </c>
      <c r="P266" t="s">
        <v>74</v>
      </c>
      <c r="Q266" t="s">
        <v>74</v>
      </c>
      <c r="R266" t="s">
        <v>74</v>
      </c>
      <c r="S266" t="s">
        <v>74</v>
      </c>
      <c r="T266" t="s">
        <v>5053</v>
      </c>
      <c r="U266" t="s">
        <v>5054</v>
      </c>
      <c r="V266" t="s">
        <v>5055</v>
      </c>
      <c r="W266" t="s">
        <v>5056</v>
      </c>
      <c r="X266" t="s">
        <v>5057</v>
      </c>
      <c r="Y266" t="s">
        <v>5058</v>
      </c>
      <c r="Z266" t="s">
        <v>5059</v>
      </c>
      <c r="AA266" t="s">
        <v>74</v>
      </c>
      <c r="AB266" t="s">
        <v>74</v>
      </c>
      <c r="AC266" t="s">
        <v>74</v>
      </c>
      <c r="AD266" t="s">
        <v>74</v>
      </c>
      <c r="AE266" t="s">
        <v>74</v>
      </c>
      <c r="AF266" t="s">
        <v>74</v>
      </c>
      <c r="AG266">
        <v>29</v>
      </c>
      <c r="AH266">
        <v>0</v>
      </c>
      <c r="AI266">
        <v>0</v>
      </c>
      <c r="AJ266">
        <v>0</v>
      </c>
      <c r="AK266">
        <v>1</v>
      </c>
      <c r="AL266" t="s">
        <v>5060</v>
      </c>
      <c r="AM266" t="s">
        <v>5061</v>
      </c>
      <c r="AN266" t="s">
        <v>5062</v>
      </c>
      <c r="AO266" t="s">
        <v>5063</v>
      </c>
      <c r="AP266" t="s">
        <v>5064</v>
      </c>
      <c r="AQ266" t="s">
        <v>74</v>
      </c>
      <c r="AR266" t="s">
        <v>5065</v>
      </c>
      <c r="AS266" t="s">
        <v>5066</v>
      </c>
      <c r="AT266" t="s">
        <v>276</v>
      </c>
      <c r="AU266">
        <v>2023</v>
      </c>
      <c r="AV266">
        <v>21</v>
      </c>
      <c r="AW266" t="s">
        <v>74</v>
      </c>
      <c r="AX266" t="s">
        <v>74</v>
      </c>
      <c r="AY266" t="s">
        <v>74</v>
      </c>
      <c r="AZ266" t="s">
        <v>74</v>
      </c>
      <c r="BA266" t="s">
        <v>74</v>
      </c>
      <c r="BB266">
        <v>18</v>
      </c>
      <c r="BC266">
        <v>28</v>
      </c>
      <c r="BD266" t="s">
        <v>74</v>
      </c>
      <c r="BE266" t="s">
        <v>5067</v>
      </c>
      <c r="BF266" t="str">
        <f>HYPERLINK("http://dx.doi.org/10.33800/nc.vi21.324","http://dx.doi.org/10.33800/nc.vi21.324")</f>
        <v>http://dx.doi.org/10.33800/nc.vi21.324</v>
      </c>
      <c r="BG266" t="s">
        <v>74</v>
      </c>
      <c r="BH266" t="s">
        <v>74</v>
      </c>
      <c r="BI266">
        <v>11</v>
      </c>
      <c r="BJ266" t="s">
        <v>5068</v>
      </c>
      <c r="BK266" t="s">
        <v>757</v>
      </c>
      <c r="BL266" t="s">
        <v>5069</v>
      </c>
      <c r="BM266" t="s">
        <v>5070</v>
      </c>
      <c r="BN266" t="s">
        <v>74</v>
      </c>
      <c r="BO266" t="s">
        <v>165</v>
      </c>
      <c r="BP266" t="s">
        <v>74</v>
      </c>
      <c r="BQ266" t="s">
        <v>74</v>
      </c>
      <c r="BR266" t="s">
        <v>108</v>
      </c>
      <c r="BS266" t="s">
        <v>5071</v>
      </c>
      <c r="BT266" t="str">
        <f>HYPERLINK("https%3A%2F%2Fwww.webofscience.com%2Fwos%2Fwoscc%2Ffull-record%2FWOS:000910943900002","View Full Record in Web of Science")</f>
        <v>View Full Record in Web of Science</v>
      </c>
    </row>
    <row r="267" spans="1:72" x14ac:dyDescent="0.15">
      <c r="A267" t="s">
        <v>72</v>
      </c>
      <c r="B267" t="s">
        <v>5072</v>
      </c>
      <c r="C267" t="s">
        <v>74</v>
      </c>
      <c r="D267" t="s">
        <v>74</v>
      </c>
      <c r="E267" t="s">
        <v>74</v>
      </c>
      <c r="F267" t="s">
        <v>5073</v>
      </c>
      <c r="G267" t="s">
        <v>74</v>
      </c>
      <c r="H267" t="s">
        <v>74</v>
      </c>
      <c r="I267" t="s">
        <v>5074</v>
      </c>
      <c r="J267" t="s">
        <v>1732</v>
      </c>
      <c r="K267" t="s">
        <v>74</v>
      </c>
      <c r="L267" t="s">
        <v>74</v>
      </c>
      <c r="M267" t="s">
        <v>78</v>
      </c>
      <c r="N267" t="s">
        <v>79</v>
      </c>
      <c r="O267" t="s">
        <v>74</v>
      </c>
      <c r="P267" t="s">
        <v>74</v>
      </c>
      <c r="Q267" t="s">
        <v>74</v>
      </c>
      <c r="R267" t="s">
        <v>74</v>
      </c>
      <c r="S267" t="s">
        <v>74</v>
      </c>
      <c r="T267" t="s">
        <v>5075</v>
      </c>
      <c r="U267" t="s">
        <v>5076</v>
      </c>
      <c r="V267" t="s">
        <v>5077</v>
      </c>
      <c r="W267" t="s">
        <v>5078</v>
      </c>
      <c r="X267" t="s">
        <v>5079</v>
      </c>
      <c r="Y267" t="s">
        <v>5080</v>
      </c>
      <c r="Z267" t="s">
        <v>5081</v>
      </c>
      <c r="AA267" t="s">
        <v>5082</v>
      </c>
      <c r="AB267" t="s">
        <v>5083</v>
      </c>
      <c r="AC267" t="s">
        <v>5084</v>
      </c>
      <c r="AD267" t="s">
        <v>5085</v>
      </c>
      <c r="AE267" t="s">
        <v>5086</v>
      </c>
      <c r="AF267" t="s">
        <v>74</v>
      </c>
      <c r="AG267">
        <v>38</v>
      </c>
      <c r="AH267">
        <v>5</v>
      </c>
      <c r="AI267">
        <v>5</v>
      </c>
      <c r="AJ267">
        <v>22</v>
      </c>
      <c r="AK267">
        <v>52</v>
      </c>
      <c r="AL267" t="s">
        <v>1743</v>
      </c>
      <c r="AM267" t="s">
        <v>1744</v>
      </c>
      <c r="AN267" t="s">
        <v>1745</v>
      </c>
      <c r="AO267" t="s">
        <v>1746</v>
      </c>
      <c r="AP267" t="s">
        <v>1747</v>
      </c>
      <c r="AQ267" t="s">
        <v>74</v>
      </c>
      <c r="AR267" t="s">
        <v>1748</v>
      </c>
      <c r="AS267" t="s">
        <v>1749</v>
      </c>
      <c r="AT267" t="s">
        <v>74</v>
      </c>
      <c r="AU267">
        <v>2023</v>
      </c>
      <c r="AV267">
        <v>61</v>
      </c>
      <c r="AW267" t="s">
        <v>74</v>
      </c>
      <c r="AX267" t="s">
        <v>74</v>
      </c>
      <c r="AY267" t="s">
        <v>74</v>
      </c>
      <c r="AZ267" t="s">
        <v>74</v>
      </c>
      <c r="BA267" t="s">
        <v>74</v>
      </c>
      <c r="BB267" t="s">
        <v>74</v>
      </c>
      <c r="BC267" t="s">
        <v>74</v>
      </c>
      <c r="BD267">
        <v>4200513</v>
      </c>
      <c r="BE267" t="s">
        <v>5087</v>
      </c>
      <c r="BF267" t="str">
        <f>HYPERLINK("http://dx.doi.org/10.1109/TGRS.2022.3233385","http://dx.doi.org/10.1109/TGRS.2022.3233385")</f>
        <v>http://dx.doi.org/10.1109/TGRS.2022.3233385</v>
      </c>
      <c r="BG267" t="s">
        <v>74</v>
      </c>
      <c r="BH267" t="s">
        <v>74</v>
      </c>
      <c r="BI267">
        <v>13</v>
      </c>
      <c r="BJ267" t="s">
        <v>1751</v>
      </c>
      <c r="BK267" t="s">
        <v>104</v>
      </c>
      <c r="BL267" t="s">
        <v>1752</v>
      </c>
      <c r="BM267" t="s">
        <v>5088</v>
      </c>
      <c r="BN267" t="s">
        <v>74</v>
      </c>
      <c r="BO267" t="s">
        <v>74</v>
      </c>
      <c r="BP267" t="s">
        <v>74</v>
      </c>
      <c r="BQ267" t="s">
        <v>74</v>
      </c>
      <c r="BR267" t="s">
        <v>108</v>
      </c>
      <c r="BS267" t="s">
        <v>5089</v>
      </c>
      <c r="BT267" t="str">
        <f>HYPERLINK("https%3A%2F%2Fwww.webofscience.com%2Fwos%2Fwoscc%2Ffull-record%2FWOS:000918315200009","View Full Record in Web of Science")</f>
        <v>View Full Record in Web of Science</v>
      </c>
    </row>
    <row r="268" spans="1:72" x14ac:dyDescent="0.15">
      <c r="A268" t="s">
        <v>72</v>
      </c>
      <c r="B268" t="s">
        <v>5090</v>
      </c>
      <c r="C268" t="s">
        <v>74</v>
      </c>
      <c r="D268" t="s">
        <v>74</v>
      </c>
      <c r="E268" t="s">
        <v>74</v>
      </c>
      <c r="F268" t="s">
        <v>5091</v>
      </c>
      <c r="G268" t="s">
        <v>74</v>
      </c>
      <c r="H268" t="s">
        <v>74</v>
      </c>
      <c r="I268" t="s">
        <v>5092</v>
      </c>
      <c r="J268" t="s">
        <v>5093</v>
      </c>
      <c r="K268" t="s">
        <v>74</v>
      </c>
      <c r="L268" t="s">
        <v>74</v>
      </c>
      <c r="M268" t="s">
        <v>78</v>
      </c>
      <c r="N268" t="s">
        <v>5094</v>
      </c>
      <c r="O268" t="s">
        <v>74</v>
      </c>
      <c r="P268" t="s">
        <v>74</v>
      </c>
      <c r="Q268" t="s">
        <v>74</v>
      </c>
      <c r="R268" t="s">
        <v>74</v>
      </c>
      <c r="S268" t="s">
        <v>74</v>
      </c>
      <c r="T268" t="s">
        <v>5095</v>
      </c>
      <c r="U268" t="s">
        <v>5096</v>
      </c>
      <c r="V268" t="s">
        <v>5097</v>
      </c>
      <c r="W268" t="s">
        <v>5098</v>
      </c>
      <c r="X268" t="s">
        <v>5099</v>
      </c>
      <c r="Y268" t="s">
        <v>5100</v>
      </c>
      <c r="Z268" t="s">
        <v>5101</v>
      </c>
      <c r="AA268" t="s">
        <v>74</v>
      </c>
      <c r="AB268" t="s">
        <v>5102</v>
      </c>
      <c r="AC268" t="s">
        <v>74</v>
      </c>
      <c r="AD268" t="s">
        <v>74</v>
      </c>
      <c r="AE268" t="s">
        <v>74</v>
      </c>
      <c r="AF268" t="s">
        <v>74</v>
      </c>
      <c r="AG268">
        <v>36</v>
      </c>
      <c r="AH268">
        <v>0</v>
      </c>
      <c r="AI268">
        <v>0</v>
      </c>
      <c r="AJ268">
        <v>2</v>
      </c>
      <c r="AK268">
        <v>3</v>
      </c>
      <c r="AL268" t="s">
        <v>5103</v>
      </c>
      <c r="AM268" t="s">
        <v>5104</v>
      </c>
      <c r="AN268" t="s">
        <v>5105</v>
      </c>
      <c r="AO268" t="s">
        <v>5106</v>
      </c>
      <c r="AP268" t="s">
        <v>5107</v>
      </c>
      <c r="AQ268" t="s">
        <v>74</v>
      </c>
      <c r="AR268" t="s">
        <v>5108</v>
      </c>
      <c r="AS268" t="s">
        <v>5109</v>
      </c>
      <c r="AT268" t="s">
        <v>5110</v>
      </c>
      <c r="AU268">
        <v>2023</v>
      </c>
      <c r="AV268" t="s">
        <v>74</v>
      </c>
      <c r="AW268" t="s">
        <v>74</v>
      </c>
      <c r="AX268" t="s">
        <v>74</v>
      </c>
      <c r="AY268" t="s">
        <v>74</v>
      </c>
      <c r="AZ268" t="s">
        <v>74</v>
      </c>
      <c r="BA268" t="s">
        <v>74</v>
      </c>
      <c r="BB268" t="s">
        <v>74</v>
      </c>
      <c r="BC268" t="s">
        <v>74</v>
      </c>
      <c r="BD268" t="s">
        <v>74</v>
      </c>
      <c r="BE268" t="s">
        <v>5111</v>
      </c>
      <c r="BF268" t="str">
        <f>HYPERLINK("http://dx.doi.org/10.1086/722725","http://dx.doi.org/10.1086/722725")</f>
        <v>http://dx.doi.org/10.1086/722725</v>
      </c>
      <c r="BG268" t="s">
        <v>74</v>
      </c>
      <c r="BH268" t="s">
        <v>102</v>
      </c>
      <c r="BI268">
        <v>16</v>
      </c>
      <c r="BJ268" t="s">
        <v>5112</v>
      </c>
      <c r="BK268" t="s">
        <v>354</v>
      </c>
      <c r="BL268" t="s">
        <v>5113</v>
      </c>
      <c r="BM268" t="s">
        <v>5114</v>
      </c>
      <c r="BN268" t="s">
        <v>74</v>
      </c>
      <c r="BO268" t="s">
        <v>74</v>
      </c>
      <c r="BP268" t="s">
        <v>74</v>
      </c>
      <c r="BQ268" t="s">
        <v>74</v>
      </c>
      <c r="BR268" t="s">
        <v>108</v>
      </c>
      <c r="BS268" t="s">
        <v>5115</v>
      </c>
      <c r="BT268" t="str">
        <f>HYPERLINK("https%3A%2F%2Fwww.webofscience.com%2Fwos%2Fwoscc%2Ffull-record%2FWOS:000920187300001","View Full Record in Web of Science")</f>
        <v>View Full Record in Web of Science</v>
      </c>
    </row>
    <row r="269" spans="1:72" x14ac:dyDescent="0.15">
      <c r="A269" t="s">
        <v>72</v>
      </c>
      <c r="B269" t="s">
        <v>5116</v>
      </c>
      <c r="C269" t="s">
        <v>74</v>
      </c>
      <c r="D269" t="s">
        <v>74</v>
      </c>
      <c r="E269" t="s">
        <v>74</v>
      </c>
      <c r="F269" t="s">
        <v>5117</v>
      </c>
      <c r="G269" t="s">
        <v>74</v>
      </c>
      <c r="H269" t="s">
        <v>74</v>
      </c>
      <c r="I269" t="s">
        <v>5118</v>
      </c>
      <c r="J269" t="s">
        <v>5119</v>
      </c>
      <c r="K269" t="s">
        <v>74</v>
      </c>
      <c r="L269" t="s">
        <v>74</v>
      </c>
      <c r="M269" t="s">
        <v>78</v>
      </c>
      <c r="N269" t="s">
        <v>79</v>
      </c>
      <c r="O269" t="s">
        <v>74</v>
      </c>
      <c r="P269" t="s">
        <v>74</v>
      </c>
      <c r="Q269" t="s">
        <v>74</v>
      </c>
      <c r="R269" t="s">
        <v>74</v>
      </c>
      <c r="S269" t="s">
        <v>74</v>
      </c>
      <c r="T269" t="s">
        <v>5120</v>
      </c>
      <c r="U269" t="s">
        <v>5121</v>
      </c>
      <c r="V269" t="s">
        <v>5122</v>
      </c>
      <c r="W269" t="s">
        <v>5123</v>
      </c>
      <c r="X269" t="s">
        <v>5124</v>
      </c>
      <c r="Y269" t="s">
        <v>5125</v>
      </c>
      <c r="Z269" t="s">
        <v>5126</v>
      </c>
      <c r="AA269" t="s">
        <v>5127</v>
      </c>
      <c r="AB269" t="s">
        <v>5128</v>
      </c>
      <c r="AC269" t="s">
        <v>5129</v>
      </c>
      <c r="AD269" t="s">
        <v>5130</v>
      </c>
      <c r="AE269" t="s">
        <v>5131</v>
      </c>
      <c r="AF269" t="s">
        <v>74</v>
      </c>
      <c r="AG269">
        <v>46</v>
      </c>
      <c r="AH269">
        <v>2</v>
      </c>
      <c r="AI269">
        <v>2</v>
      </c>
      <c r="AJ269">
        <v>3</v>
      </c>
      <c r="AK269">
        <v>6</v>
      </c>
      <c r="AL269" t="s">
        <v>4886</v>
      </c>
      <c r="AM269" t="s">
        <v>4887</v>
      </c>
      <c r="AN269" t="s">
        <v>4888</v>
      </c>
      <c r="AO269" t="s">
        <v>74</v>
      </c>
      <c r="AP269" t="s">
        <v>5132</v>
      </c>
      <c r="AQ269" t="s">
        <v>74</v>
      </c>
      <c r="AR269" t="s">
        <v>5119</v>
      </c>
      <c r="AS269" t="s">
        <v>5133</v>
      </c>
      <c r="AT269" t="s">
        <v>276</v>
      </c>
      <c r="AU269">
        <v>2023</v>
      </c>
      <c r="AV269">
        <v>11</v>
      </c>
      <c r="AW269">
        <v>1</v>
      </c>
      <c r="AX269" t="s">
        <v>74</v>
      </c>
      <c r="AY269" t="s">
        <v>74</v>
      </c>
      <c r="AZ269" t="s">
        <v>74</v>
      </c>
      <c r="BA269" t="s">
        <v>74</v>
      </c>
      <c r="BB269" t="s">
        <v>74</v>
      </c>
      <c r="BC269" t="s">
        <v>74</v>
      </c>
      <c r="BD269">
        <v>58</v>
      </c>
      <c r="BE269" t="s">
        <v>5134</v>
      </c>
      <c r="BF269" t="str">
        <f>HYPERLINK("http://dx.doi.org/10.3390/microorganisms11010058","http://dx.doi.org/10.3390/microorganisms11010058")</f>
        <v>http://dx.doi.org/10.3390/microorganisms11010058</v>
      </c>
      <c r="BG269" t="s">
        <v>74</v>
      </c>
      <c r="BH269" t="s">
        <v>74</v>
      </c>
      <c r="BI269">
        <v>14</v>
      </c>
      <c r="BJ269" t="s">
        <v>1699</v>
      </c>
      <c r="BK269" t="s">
        <v>104</v>
      </c>
      <c r="BL269" t="s">
        <v>1699</v>
      </c>
      <c r="BM269" t="s">
        <v>5135</v>
      </c>
      <c r="BN269">
        <v>36677350</v>
      </c>
      <c r="BO269" t="s">
        <v>192</v>
      </c>
      <c r="BP269" t="s">
        <v>74</v>
      </c>
      <c r="BQ269" t="s">
        <v>74</v>
      </c>
      <c r="BR269" t="s">
        <v>108</v>
      </c>
      <c r="BS269" t="s">
        <v>5136</v>
      </c>
      <c r="BT269" t="str">
        <f>HYPERLINK("https%3A%2F%2Fwww.webofscience.com%2Fwos%2Fwoscc%2Ffull-record%2FWOS:000918901500001","View Full Record in Web of Science")</f>
        <v>View Full Record in Web of Science</v>
      </c>
    </row>
    <row r="270" spans="1:72" x14ac:dyDescent="0.15">
      <c r="A270" t="s">
        <v>72</v>
      </c>
      <c r="B270" t="s">
        <v>5137</v>
      </c>
      <c r="C270" t="s">
        <v>74</v>
      </c>
      <c r="D270" t="s">
        <v>74</v>
      </c>
      <c r="E270" t="s">
        <v>74</v>
      </c>
      <c r="F270" t="s">
        <v>5138</v>
      </c>
      <c r="G270" t="s">
        <v>74</v>
      </c>
      <c r="H270" t="s">
        <v>74</v>
      </c>
      <c r="I270" t="s">
        <v>5139</v>
      </c>
      <c r="J270" t="s">
        <v>4941</v>
      </c>
      <c r="K270" t="s">
        <v>74</v>
      </c>
      <c r="L270" t="s">
        <v>74</v>
      </c>
      <c r="M270" t="s">
        <v>78</v>
      </c>
      <c r="N270" t="s">
        <v>79</v>
      </c>
      <c r="O270" t="s">
        <v>74</v>
      </c>
      <c r="P270" t="s">
        <v>74</v>
      </c>
      <c r="Q270" t="s">
        <v>74</v>
      </c>
      <c r="R270" t="s">
        <v>74</v>
      </c>
      <c r="S270" t="s">
        <v>74</v>
      </c>
      <c r="T270" t="s">
        <v>5140</v>
      </c>
      <c r="U270" t="s">
        <v>5141</v>
      </c>
      <c r="V270" t="s">
        <v>5142</v>
      </c>
      <c r="W270" t="s">
        <v>5143</v>
      </c>
      <c r="X270" t="s">
        <v>5144</v>
      </c>
      <c r="Y270" t="s">
        <v>5145</v>
      </c>
      <c r="Z270" t="s">
        <v>5146</v>
      </c>
      <c r="AA270" t="s">
        <v>74</v>
      </c>
      <c r="AB270" t="s">
        <v>5147</v>
      </c>
      <c r="AC270" t="s">
        <v>5148</v>
      </c>
      <c r="AD270" t="s">
        <v>5149</v>
      </c>
      <c r="AE270" t="s">
        <v>5150</v>
      </c>
      <c r="AF270" t="s">
        <v>74</v>
      </c>
      <c r="AG270">
        <v>59</v>
      </c>
      <c r="AH270">
        <v>5</v>
      </c>
      <c r="AI270">
        <v>5</v>
      </c>
      <c r="AJ270">
        <v>6</v>
      </c>
      <c r="AK270">
        <v>20</v>
      </c>
      <c r="AL270" t="s">
        <v>4886</v>
      </c>
      <c r="AM270" t="s">
        <v>4887</v>
      </c>
      <c r="AN270" t="s">
        <v>4888</v>
      </c>
      <c r="AO270" t="s">
        <v>74</v>
      </c>
      <c r="AP270" t="s">
        <v>4954</v>
      </c>
      <c r="AQ270" t="s">
        <v>74</v>
      </c>
      <c r="AR270" t="s">
        <v>4955</v>
      </c>
      <c r="AS270" t="s">
        <v>4956</v>
      </c>
      <c r="AT270" t="s">
        <v>276</v>
      </c>
      <c r="AU270">
        <v>2023</v>
      </c>
      <c r="AV270">
        <v>15</v>
      </c>
      <c r="AW270">
        <v>2</v>
      </c>
      <c r="AX270" t="s">
        <v>74</v>
      </c>
      <c r="AY270" t="s">
        <v>74</v>
      </c>
      <c r="AZ270" t="s">
        <v>74</v>
      </c>
      <c r="BA270" t="s">
        <v>74</v>
      </c>
      <c r="BB270" t="s">
        <v>74</v>
      </c>
      <c r="BC270" t="s">
        <v>74</v>
      </c>
      <c r="BD270">
        <v>363</v>
      </c>
      <c r="BE270" t="s">
        <v>5151</v>
      </c>
      <c r="BF270" t="str">
        <f>HYPERLINK("http://dx.doi.org/10.3390/rs15020363","http://dx.doi.org/10.3390/rs15020363")</f>
        <v>http://dx.doi.org/10.3390/rs15020363</v>
      </c>
      <c r="BG270" t="s">
        <v>74</v>
      </c>
      <c r="BH270" t="s">
        <v>74</v>
      </c>
      <c r="BI270">
        <v>21</v>
      </c>
      <c r="BJ270" t="s">
        <v>4958</v>
      </c>
      <c r="BK270" t="s">
        <v>104</v>
      </c>
      <c r="BL270" t="s">
        <v>4959</v>
      </c>
      <c r="BM270" t="s">
        <v>5152</v>
      </c>
      <c r="BN270" t="s">
        <v>74</v>
      </c>
      <c r="BO270" t="s">
        <v>165</v>
      </c>
      <c r="BP270" t="s">
        <v>74</v>
      </c>
      <c r="BQ270" t="s">
        <v>74</v>
      </c>
      <c r="BR270" t="s">
        <v>108</v>
      </c>
      <c r="BS270" t="s">
        <v>5153</v>
      </c>
      <c r="BT270" t="str">
        <f>HYPERLINK("https%3A%2F%2Fwww.webofscience.com%2Fwos%2Fwoscc%2Ffull-record%2FWOS:000918295600001","View Full Record in Web of Science")</f>
        <v>View Full Record in Web of Science</v>
      </c>
    </row>
    <row r="271" spans="1:72" x14ac:dyDescent="0.15">
      <c r="A271" t="s">
        <v>72</v>
      </c>
      <c r="B271" t="s">
        <v>5154</v>
      </c>
      <c r="C271" t="s">
        <v>74</v>
      </c>
      <c r="D271" t="s">
        <v>74</v>
      </c>
      <c r="E271" t="s">
        <v>74</v>
      </c>
      <c r="F271" t="s">
        <v>5155</v>
      </c>
      <c r="G271" t="s">
        <v>74</v>
      </c>
      <c r="H271" t="s">
        <v>74</v>
      </c>
      <c r="I271" t="s">
        <v>5156</v>
      </c>
      <c r="J271" t="s">
        <v>4941</v>
      </c>
      <c r="K271" t="s">
        <v>74</v>
      </c>
      <c r="L271" t="s">
        <v>74</v>
      </c>
      <c r="M271" t="s">
        <v>78</v>
      </c>
      <c r="N271" t="s">
        <v>79</v>
      </c>
      <c r="O271" t="s">
        <v>74</v>
      </c>
      <c r="P271" t="s">
        <v>74</v>
      </c>
      <c r="Q271" t="s">
        <v>74</v>
      </c>
      <c r="R271" t="s">
        <v>74</v>
      </c>
      <c r="S271" t="s">
        <v>74</v>
      </c>
      <c r="T271" t="s">
        <v>5157</v>
      </c>
      <c r="U271" t="s">
        <v>5158</v>
      </c>
      <c r="V271" t="s">
        <v>5159</v>
      </c>
      <c r="W271" t="s">
        <v>5160</v>
      </c>
      <c r="X271" t="s">
        <v>5161</v>
      </c>
      <c r="Y271" t="s">
        <v>5162</v>
      </c>
      <c r="Z271" t="s">
        <v>5163</v>
      </c>
      <c r="AA271" t="s">
        <v>5164</v>
      </c>
      <c r="AB271" t="s">
        <v>5165</v>
      </c>
      <c r="AC271" t="s">
        <v>74</v>
      </c>
      <c r="AD271" t="s">
        <v>74</v>
      </c>
      <c r="AE271" t="s">
        <v>74</v>
      </c>
      <c r="AF271" t="s">
        <v>74</v>
      </c>
      <c r="AG271">
        <v>63</v>
      </c>
      <c r="AH271">
        <v>1</v>
      </c>
      <c r="AI271">
        <v>1</v>
      </c>
      <c r="AJ271">
        <v>0</v>
      </c>
      <c r="AK271">
        <v>2</v>
      </c>
      <c r="AL271" t="s">
        <v>4886</v>
      </c>
      <c r="AM271" t="s">
        <v>4887</v>
      </c>
      <c r="AN271" t="s">
        <v>4888</v>
      </c>
      <c r="AO271" t="s">
        <v>74</v>
      </c>
      <c r="AP271" t="s">
        <v>4954</v>
      </c>
      <c r="AQ271" t="s">
        <v>74</v>
      </c>
      <c r="AR271" t="s">
        <v>4955</v>
      </c>
      <c r="AS271" t="s">
        <v>4956</v>
      </c>
      <c r="AT271" t="s">
        <v>276</v>
      </c>
      <c r="AU271">
        <v>2023</v>
      </c>
      <c r="AV271">
        <v>15</v>
      </c>
      <c r="AW271">
        <v>2</v>
      </c>
      <c r="AX271" t="s">
        <v>74</v>
      </c>
      <c r="AY271" t="s">
        <v>74</v>
      </c>
      <c r="AZ271" t="s">
        <v>74</v>
      </c>
      <c r="BA271" t="s">
        <v>74</v>
      </c>
      <c r="BB271" t="s">
        <v>74</v>
      </c>
      <c r="BC271" t="s">
        <v>74</v>
      </c>
      <c r="BD271">
        <v>306</v>
      </c>
      <c r="BE271" t="s">
        <v>5166</v>
      </c>
      <c r="BF271" t="str">
        <f>HYPERLINK("http://dx.doi.org/10.3390/rs15020306","http://dx.doi.org/10.3390/rs15020306")</f>
        <v>http://dx.doi.org/10.3390/rs15020306</v>
      </c>
      <c r="BG271" t="s">
        <v>74</v>
      </c>
      <c r="BH271" t="s">
        <v>74</v>
      </c>
      <c r="BI271">
        <v>20</v>
      </c>
      <c r="BJ271" t="s">
        <v>4958</v>
      </c>
      <c r="BK271" t="s">
        <v>104</v>
      </c>
      <c r="BL271" t="s">
        <v>4959</v>
      </c>
      <c r="BM271" t="s">
        <v>5167</v>
      </c>
      <c r="BN271" t="s">
        <v>74</v>
      </c>
      <c r="BO271" t="s">
        <v>2832</v>
      </c>
      <c r="BP271" t="s">
        <v>74</v>
      </c>
      <c r="BQ271" t="s">
        <v>74</v>
      </c>
      <c r="BR271" t="s">
        <v>108</v>
      </c>
      <c r="BS271" t="s">
        <v>5168</v>
      </c>
      <c r="BT271" t="str">
        <f>HYPERLINK("https%3A%2F%2Fwww.webofscience.com%2Fwos%2Fwoscc%2Ffull-record%2FWOS:000916344900001","View Full Record in Web of Science")</f>
        <v>View Full Record in Web of Science</v>
      </c>
    </row>
    <row r="272" spans="1:72" x14ac:dyDescent="0.15">
      <c r="A272" t="s">
        <v>72</v>
      </c>
      <c r="B272" t="s">
        <v>5169</v>
      </c>
      <c r="C272" t="s">
        <v>74</v>
      </c>
      <c r="D272" t="s">
        <v>74</v>
      </c>
      <c r="E272" t="s">
        <v>74</v>
      </c>
      <c r="F272" t="s">
        <v>5170</v>
      </c>
      <c r="G272" t="s">
        <v>74</v>
      </c>
      <c r="H272" t="s">
        <v>74</v>
      </c>
      <c r="I272" t="s">
        <v>5171</v>
      </c>
      <c r="J272" t="s">
        <v>5172</v>
      </c>
      <c r="K272" t="s">
        <v>74</v>
      </c>
      <c r="L272" t="s">
        <v>74</v>
      </c>
      <c r="M272" t="s">
        <v>78</v>
      </c>
      <c r="N272" t="s">
        <v>256</v>
      </c>
      <c r="O272" t="s">
        <v>74</v>
      </c>
      <c r="P272" t="s">
        <v>74</v>
      </c>
      <c r="Q272" t="s">
        <v>74</v>
      </c>
      <c r="R272" t="s">
        <v>74</v>
      </c>
      <c r="S272" t="s">
        <v>74</v>
      </c>
      <c r="T272" t="s">
        <v>74</v>
      </c>
      <c r="U272" t="s">
        <v>5173</v>
      </c>
      <c r="V272" t="s">
        <v>5174</v>
      </c>
      <c r="W272" t="s">
        <v>5175</v>
      </c>
      <c r="X272" t="s">
        <v>5176</v>
      </c>
      <c r="Y272" t="s">
        <v>5177</v>
      </c>
      <c r="Z272" t="s">
        <v>5178</v>
      </c>
      <c r="AA272" t="s">
        <v>5179</v>
      </c>
      <c r="AB272" t="s">
        <v>5180</v>
      </c>
      <c r="AC272" t="s">
        <v>5181</v>
      </c>
      <c r="AD272" t="s">
        <v>5182</v>
      </c>
      <c r="AE272" t="s">
        <v>5183</v>
      </c>
      <c r="AF272" t="s">
        <v>74</v>
      </c>
      <c r="AG272">
        <v>150</v>
      </c>
      <c r="AH272">
        <v>5</v>
      </c>
      <c r="AI272">
        <v>7</v>
      </c>
      <c r="AJ272">
        <v>3</v>
      </c>
      <c r="AK272">
        <v>13</v>
      </c>
      <c r="AL272" t="s">
        <v>3428</v>
      </c>
      <c r="AM272" t="s">
        <v>3429</v>
      </c>
      <c r="AN272" t="s">
        <v>3430</v>
      </c>
      <c r="AO272" t="s">
        <v>5184</v>
      </c>
      <c r="AP272" t="s">
        <v>5185</v>
      </c>
      <c r="AQ272" t="s">
        <v>74</v>
      </c>
      <c r="AR272" t="s">
        <v>5186</v>
      </c>
      <c r="AS272" t="s">
        <v>5187</v>
      </c>
      <c r="AT272" t="s">
        <v>74</v>
      </c>
      <c r="AU272">
        <v>2023</v>
      </c>
      <c r="AV272">
        <v>68</v>
      </c>
      <c r="AW272" t="s">
        <v>74</v>
      </c>
      <c r="AX272" t="s">
        <v>74</v>
      </c>
      <c r="AY272" t="s">
        <v>74</v>
      </c>
      <c r="AZ272" t="s">
        <v>74</v>
      </c>
      <c r="BA272" t="s">
        <v>74</v>
      </c>
      <c r="BB272">
        <v>129</v>
      </c>
      <c r="BC272">
        <v>149</v>
      </c>
      <c r="BD272" t="s">
        <v>74</v>
      </c>
      <c r="BE272" t="s">
        <v>5188</v>
      </c>
      <c r="BF272" t="str">
        <f>HYPERLINK("http://dx.doi.org/10.1146/annurev-ento-120120-091609","http://dx.doi.org/10.1146/annurev-ento-120120-091609")</f>
        <v>http://dx.doi.org/10.1146/annurev-ento-120120-091609</v>
      </c>
      <c r="BG272" t="s">
        <v>74</v>
      </c>
      <c r="BH272" t="s">
        <v>74</v>
      </c>
      <c r="BI272">
        <v>21</v>
      </c>
      <c r="BJ272" t="s">
        <v>5189</v>
      </c>
      <c r="BK272" t="s">
        <v>104</v>
      </c>
      <c r="BL272" t="s">
        <v>5189</v>
      </c>
      <c r="BM272" t="s">
        <v>5190</v>
      </c>
      <c r="BN272">
        <v>36270273</v>
      </c>
      <c r="BO272" t="s">
        <v>5191</v>
      </c>
      <c r="BP272" t="s">
        <v>74</v>
      </c>
      <c r="BQ272" t="s">
        <v>74</v>
      </c>
      <c r="BR272" t="s">
        <v>108</v>
      </c>
      <c r="BS272" t="s">
        <v>5192</v>
      </c>
      <c r="BT272" t="str">
        <f>HYPERLINK("https%3A%2F%2Fwww.webofscience.com%2Fwos%2Fwoscc%2Ffull-record%2FWOS:000915424200009","View Full Record in Web of Science")</f>
        <v>View Full Record in Web of Science</v>
      </c>
    </row>
    <row r="273" spans="1:72" x14ac:dyDescent="0.15">
      <c r="A273" t="s">
        <v>72</v>
      </c>
      <c r="B273" t="s">
        <v>5193</v>
      </c>
      <c r="C273" t="s">
        <v>74</v>
      </c>
      <c r="D273" t="s">
        <v>74</v>
      </c>
      <c r="E273" t="s">
        <v>74</v>
      </c>
      <c r="F273" t="s">
        <v>5194</v>
      </c>
      <c r="G273" t="s">
        <v>74</v>
      </c>
      <c r="H273" t="s">
        <v>74</v>
      </c>
      <c r="I273" t="s">
        <v>5195</v>
      </c>
      <c r="J273" t="s">
        <v>5196</v>
      </c>
      <c r="K273" t="s">
        <v>74</v>
      </c>
      <c r="L273" t="s">
        <v>74</v>
      </c>
      <c r="M273" t="s">
        <v>78</v>
      </c>
      <c r="N273" t="s">
        <v>79</v>
      </c>
      <c r="O273" t="s">
        <v>74</v>
      </c>
      <c r="P273" t="s">
        <v>74</v>
      </c>
      <c r="Q273" t="s">
        <v>74</v>
      </c>
      <c r="R273" t="s">
        <v>74</v>
      </c>
      <c r="S273" t="s">
        <v>74</v>
      </c>
      <c r="T273" t="s">
        <v>5197</v>
      </c>
      <c r="U273" t="s">
        <v>5198</v>
      </c>
      <c r="V273" t="s">
        <v>5199</v>
      </c>
      <c r="W273" t="s">
        <v>5200</v>
      </c>
      <c r="X273" t="s">
        <v>1737</v>
      </c>
      <c r="Y273" t="s">
        <v>5201</v>
      </c>
      <c r="Z273" t="s">
        <v>5202</v>
      </c>
      <c r="AA273" t="s">
        <v>5203</v>
      </c>
      <c r="AB273" t="s">
        <v>74</v>
      </c>
      <c r="AC273" t="s">
        <v>5204</v>
      </c>
      <c r="AD273" t="s">
        <v>5205</v>
      </c>
      <c r="AE273" t="s">
        <v>5206</v>
      </c>
      <c r="AF273" t="s">
        <v>74</v>
      </c>
      <c r="AG273">
        <v>41</v>
      </c>
      <c r="AH273">
        <v>0</v>
      </c>
      <c r="AI273">
        <v>0</v>
      </c>
      <c r="AJ273">
        <v>2</v>
      </c>
      <c r="AK273">
        <v>9</v>
      </c>
      <c r="AL273" t="s">
        <v>4886</v>
      </c>
      <c r="AM273" t="s">
        <v>4887</v>
      </c>
      <c r="AN273" t="s">
        <v>4888</v>
      </c>
      <c r="AO273" t="s">
        <v>74</v>
      </c>
      <c r="AP273" t="s">
        <v>5207</v>
      </c>
      <c r="AQ273" t="s">
        <v>74</v>
      </c>
      <c r="AR273" t="s">
        <v>5208</v>
      </c>
      <c r="AS273" t="s">
        <v>5209</v>
      </c>
      <c r="AT273" t="s">
        <v>276</v>
      </c>
      <c r="AU273">
        <v>2023</v>
      </c>
      <c r="AV273">
        <v>8</v>
      </c>
      <c r="AW273">
        <v>1</v>
      </c>
      <c r="AX273" t="s">
        <v>74</v>
      </c>
      <c r="AY273" t="s">
        <v>74</v>
      </c>
      <c r="AZ273" t="s">
        <v>74</v>
      </c>
      <c r="BA273" t="s">
        <v>74</v>
      </c>
      <c r="BB273" t="s">
        <v>74</v>
      </c>
      <c r="BC273" t="s">
        <v>74</v>
      </c>
      <c r="BD273">
        <v>56</v>
      </c>
      <c r="BE273" t="s">
        <v>5210</v>
      </c>
      <c r="BF273" t="str">
        <f>HYPERLINK("http://dx.doi.org/10.3390/fishes8010056","http://dx.doi.org/10.3390/fishes8010056")</f>
        <v>http://dx.doi.org/10.3390/fishes8010056</v>
      </c>
      <c r="BG273" t="s">
        <v>74</v>
      </c>
      <c r="BH273" t="s">
        <v>74</v>
      </c>
      <c r="BI273">
        <v>10</v>
      </c>
      <c r="BJ273" t="s">
        <v>5211</v>
      </c>
      <c r="BK273" t="s">
        <v>104</v>
      </c>
      <c r="BL273" t="s">
        <v>5211</v>
      </c>
      <c r="BM273" t="s">
        <v>5212</v>
      </c>
      <c r="BN273" t="s">
        <v>74</v>
      </c>
      <c r="BO273" t="s">
        <v>737</v>
      </c>
      <c r="BP273" t="s">
        <v>74</v>
      </c>
      <c r="BQ273" t="s">
        <v>74</v>
      </c>
      <c r="BR273" t="s">
        <v>108</v>
      </c>
      <c r="BS273" t="s">
        <v>5213</v>
      </c>
      <c r="BT273" t="str">
        <f>HYPERLINK("https%3A%2F%2Fwww.webofscience.com%2Fwos%2Fwoscc%2Ffull-record%2FWOS:000917175900001","View Full Record in Web of Science")</f>
        <v>View Full Record in Web of Science</v>
      </c>
    </row>
    <row r="274" spans="1:72" x14ac:dyDescent="0.15">
      <c r="A274" t="s">
        <v>72</v>
      </c>
      <c r="B274" t="s">
        <v>5214</v>
      </c>
      <c r="C274" t="s">
        <v>74</v>
      </c>
      <c r="D274" t="s">
        <v>74</v>
      </c>
      <c r="E274" t="s">
        <v>74</v>
      </c>
      <c r="F274" t="s">
        <v>5215</v>
      </c>
      <c r="G274" t="s">
        <v>74</v>
      </c>
      <c r="H274" t="s">
        <v>74</v>
      </c>
      <c r="I274" t="s">
        <v>5216</v>
      </c>
      <c r="J274" t="s">
        <v>5217</v>
      </c>
      <c r="K274" t="s">
        <v>74</v>
      </c>
      <c r="L274" t="s">
        <v>74</v>
      </c>
      <c r="M274" t="s">
        <v>78</v>
      </c>
      <c r="N274" t="s">
        <v>79</v>
      </c>
      <c r="O274" t="s">
        <v>74</v>
      </c>
      <c r="P274" t="s">
        <v>74</v>
      </c>
      <c r="Q274" t="s">
        <v>74</v>
      </c>
      <c r="R274" t="s">
        <v>74</v>
      </c>
      <c r="S274" t="s">
        <v>74</v>
      </c>
      <c r="T274" t="s">
        <v>5218</v>
      </c>
      <c r="U274" t="s">
        <v>5219</v>
      </c>
      <c r="V274" t="s">
        <v>5220</v>
      </c>
      <c r="W274" t="s">
        <v>5221</v>
      </c>
      <c r="X274" t="s">
        <v>5222</v>
      </c>
      <c r="Y274" t="s">
        <v>5223</v>
      </c>
      <c r="Z274" t="s">
        <v>5224</v>
      </c>
      <c r="AA274" t="s">
        <v>74</v>
      </c>
      <c r="AB274" t="s">
        <v>5225</v>
      </c>
      <c r="AC274" t="s">
        <v>5226</v>
      </c>
      <c r="AD274" t="s">
        <v>5227</v>
      </c>
      <c r="AE274" t="s">
        <v>5228</v>
      </c>
      <c r="AF274" t="s">
        <v>74</v>
      </c>
      <c r="AG274">
        <v>76</v>
      </c>
      <c r="AH274">
        <v>4</v>
      </c>
      <c r="AI274">
        <v>4</v>
      </c>
      <c r="AJ274">
        <v>11</v>
      </c>
      <c r="AK274">
        <v>25</v>
      </c>
      <c r="AL274" t="s">
        <v>4886</v>
      </c>
      <c r="AM274" t="s">
        <v>4887</v>
      </c>
      <c r="AN274" t="s">
        <v>4888</v>
      </c>
      <c r="AO274" t="s">
        <v>74</v>
      </c>
      <c r="AP274" t="s">
        <v>5229</v>
      </c>
      <c r="AQ274" t="s">
        <v>74</v>
      </c>
      <c r="AR274" t="s">
        <v>5230</v>
      </c>
      <c r="AS274" t="s">
        <v>5231</v>
      </c>
      <c r="AT274" t="s">
        <v>276</v>
      </c>
      <c r="AU274">
        <v>2023</v>
      </c>
      <c r="AV274">
        <v>15</v>
      </c>
      <c r="AW274">
        <v>2</v>
      </c>
      <c r="AX274" t="s">
        <v>74</v>
      </c>
      <c r="AY274" t="s">
        <v>74</v>
      </c>
      <c r="AZ274" t="s">
        <v>74</v>
      </c>
      <c r="BA274" t="s">
        <v>74</v>
      </c>
      <c r="BB274" t="s">
        <v>74</v>
      </c>
      <c r="BC274" t="s">
        <v>74</v>
      </c>
      <c r="BD274">
        <v>1735</v>
      </c>
      <c r="BE274" t="s">
        <v>5232</v>
      </c>
      <c r="BF274" t="str">
        <f>HYPERLINK("http://dx.doi.org/10.3390/su15021735","http://dx.doi.org/10.3390/su15021735")</f>
        <v>http://dx.doi.org/10.3390/su15021735</v>
      </c>
      <c r="BG274" t="s">
        <v>74</v>
      </c>
      <c r="BH274" t="s">
        <v>74</v>
      </c>
      <c r="BI274">
        <v>13</v>
      </c>
      <c r="BJ274" t="s">
        <v>5233</v>
      </c>
      <c r="BK274" t="s">
        <v>354</v>
      </c>
      <c r="BL274" t="s">
        <v>5234</v>
      </c>
      <c r="BM274" t="s">
        <v>5235</v>
      </c>
      <c r="BN274" t="s">
        <v>74</v>
      </c>
      <c r="BO274" t="s">
        <v>165</v>
      </c>
      <c r="BP274" t="s">
        <v>74</v>
      </c>
      <c r="BQ274" t="s">
        <v>74</v>
      </c>
      <c r="BR274" t="s">
        <v>108</v>
      </c>
      <c r="BS274" t="s">
        <v>5236</v>
      </c>
      <c r="BT274" t="str">
        <f>HYPERLINK("https%3A%2F%2Fwww.webofscience.com%2Fwos%2Fwoscc%2Ffull-record%2FWOS:000916354300001","View Full Record in Web of Science")</f>
        <v>View Full Record in Web of Science</v>
      </c>
    </row>
    <row r="275" spans="1:72" x14ac:dyDescent="0.15">
      <c r="A275" t="s">
        <v>72</v>
      </c>
      <c r="B275" t="s">
        <v>5237</v>
      </c>
      <c r="C275" t="s">
        <v>74</v>
      </c>
      <c r="D275" t="s">
        <v>74</v>
      </c>
      <c r="E275" t="s">
        <v>74</v>
      </c>
      <c r="F275" t="s">
        <v>5238</v>
      </c>
      <c r="G275" t="s">
        <v>74</v>
      </c>
      <c r="H275" t="s">
        <v>74</v>
      </c>
      <c r="I275" t="s">
        <v>5239</v>
      </c>
      <c r="J275" t="s">
        <v>5240</v>
      </c>
      <c r="K275" t="s">
        <v>74</v>
      </c>
      <c r="L275" t="s">
        <v>74</v>
      </c>
      <c r="M275" t="s">
        <v>78</v>
      </c>
      <c r="N275" t="s">
        <v>79</v>
      </c>
      <c r="O275" t="s">
        <v>74</v>
      </c>
      <c r="P275" t="s">
        <v>74</v>
      </c>
      <c r="Q275" t="s">
        <v>74</v>
      </c>
      <c r="R275" t="s">
        <v>74</v>
      </c>
      <c r="S275" t="s">
        <v>74</v>
      </c>
      <c r="T275" t="s">
        <v>5241</v>
      </c>
      <c r="U275" t="s">
        <v>5242</v>
      </c>
      <c r="V275" t="s">
        <v>5243</v>
      </c>
      <c r="W275" t="s">
        <v>5244</v>
      </c>
      <c r="X275" t="s">
        <v>5245</v>
      </c>
      <c r="Y275" t="s">
        <v>5246</v>
      </c>
      <c r="Z275" t="s">
        <v>5247</v>
      </c>
      <c r="AA275" t="s">
        <v>5248</v>
      </c>
      <c r="AB275" t="s">
        <v>5249</v>
      </c>
      <c r="AC275" t="s">
        <v>5250</v>
      </c>
      <c r="AD275" t="s">
        <v>5251</v>
      </c>
      <c r="AE275" t="s">
        <v>5252</v>
      </c>
      <c r="AF275" t="s">
        <v>74</v>
      </c>
      <c r="AG275">
        <v>72</v>
      </c>
      <c r="AH275">
        <v>4</v>
      </c>
      <c r="AI275">
        <v>4</v>
      </c>
      <c r="AJ275">
        <v>9</v>
      </c>
      <c r="AK275">
        <v>32</v>
      </c>
      <c r="AL275" t="s">
        <v>4886</v>
      </c>
      <c r="AM275" t="s">
        <v>4887</v>
      </c>
      <c r="AN275" t="s">
        <v>4888</v>
      </c>
      <c r="AO275" t="s">
        <v>74</v>
      </c>
      <c r="AP275" t="s">
        <v>5253</v>
      </c>
      <c r="AQ275" t="s">
        <v>74</v>
      </c>
      <c r="AR275" t="s">
        <v>5240</v>
      </c>
      <c r="AS275" t="s">
        <v>5254</v>
      </c>
      <c r="AT275" t="s">
        <v>276</v>
      </c>
      <c r="AU275">
        <v>2023</v>
      </c>
      <c r="AV275">
        <v>13</v>
      </c>
      <c r="AW275">
        <v>1</v>
      </c>
      <c r="AX275" t="s">
        <v>74</v>
      </c>
      <c r="AY275" t="s">
        <v>74</v>
      </c>
      <c r="AZ275" t="s">
        <v>74</v>
      </c>
      <c r="BA275" t="s">
        <v>74</v>
      </c>
      <c r="BB275" t="s">
        <v>74</v>
      </c>
      <c r="BC275" t="s">
        <v>74</v>
      </c>
      <c r="BD275">
        <v>148</v>
      </c>
      <c r="BE275" t="s">
        <v>5255</v>
      </c>
      <c r="BF275" t="str">
        <f>HYPERLINK("http://dx.doi.org/10.3390/agronomy13010148","http://dx.doi.org/10.3390/agronomy13010148")</f>
        <v>http://dx.doi.org/10.3390/agronomy13010148</v>
      </c>
      <c r="BG275" t="s">
        <v>74</v>
      </c>
      <c r="BH275" t="s">
        <v>74</v>
      </c>
      <c r="BI275">
        <v>18</v>
      </c>
      <c r="BJ275" t="s">
        <v>5256</v>
      </c>
      <c r="BK275" t="s">
        <v>104</v>
      </c>
      <c r="BL275" t="s">
        <v>5257</v>
      </c>
      <c r="BM275" t="s">
        <v>5258</v>
      </c>
      <c r="BN275" t="s">
        <v>74</v>
      </c>
      <c r="BO275" t="s">
        <v>165</v>
      </c>
      <c r="BP275" t="s">
        <v>74</v>
      </c>
      <c r="BQ275" t="s">
        <v>74</v>
      </c>
      <c r="BR275" t="s">
        <v>108</v>
      </c>
      <c r="BS275" t="s">
        <v>5259</v>
      </c>
      <c r="BT275" t="str">
        <f>HYPERLINK("https%3A%2F%2Fwww.webofscience.com%2Fwos%2Fwoscc%2Ffull-record%2FWOS:000916538400001","View Full Record in Web of Science")</f>
        <v>View Full Record in Web of Science</v>
      </c>
    </row>
    <row r="276" spans="1:72" x14ac:dyDescent="0.15">
      <c r="A276" t="s">
        <v>72</v>
      </c>
      <c r="B276" t="s">
        <v>5260</v>
      </c>
      <c r="C276" t="s">
        <v>74</v>
      </c>
      <c r="D276" t="s">
        <v>74</v>
      </c>
      <c r="E276" t="s">
        <v>74</v>
      </c>
      <c r="F276" t="s">
        <v>5261</v>
      </c>
      <c r="G276" t="s">
        <v>74</v>
      </c>
      <c r="H276" t="s">
        <v>74</v>
      </c>
      <c r="I276" t="s">
        <v>5262</v>
      </c>
      <c r="J276" t="s">
        <v>5263</v>
      </c>
      <c r="K276" t="s">
        <v>74</v>
      </c>
      <c r="L276" t="s">
        <v>74</v>
      </c>
      <c r="M276" t="s">
        <v>78</v>
      </c>
      <c r="N276" t="s">
        <v>79</v>
      </c>
      <c r="O276" t="s">
        <v>74</v>
      </c>
      <c r="P276" t="s">
        <v>74</v>
      </c>
      <c r="Q276" t="s">
        <v>74</v>
      </c>
      <c r="R276" t="s">
        <v>74</v>
      </c>
      <c r="S276" t="s">
        <v>74</v>
      </c>
      <c r="T276" t="s">
        <v>5264</v>
      </c>
      <c r="U276" t="s">
        <v>5265</v>
      </c>
      <c r="V276" t="s">
        <v>5266</v>
      </c>
      <c r="W276" t="s">
        <v>5267</v>
      </c>
      <c r="X276" t="s">
        <v>5268</v>
      </c>
      <c r="Y276" t="s">
        <v>5269</v>
      </c>
      <c r="Z276" t="s">
        <v>5270</v>
      </c>
      <c r="AA276" t="s">
        <v>5271</v>
      </c>
      <c r="AB276" t="s">
        <v>5272</v>
      </c>
      <c r="AC276" t="s">
        <v>5273</v>
      </c>
      <c r="AD276" t="s">
        <v>5274</v>
      </c>
      <c r="AE276" t="s">
        <v>5275</v>
      </c>
      <c r="AF276" t="s">
        <v>74</v>
      </c>
      <c r="AG276">
        <v>66</v>
      </c>
      <c r="AH276">
        <v>5</v>
      </c>
      <c r="AI276">
        <v>5</v>
      </c>
      <c r="AJ276">
        <v>0</v>
      </c>
      <c r="AK276">
        <v>7</v>
      </c>
      <c r="AL276" t="s">
        <v>4886</v>
      </c>
      <c r="AM276" t="s">
        <v>4887</v>
      </c>
      <c r="AN276" t="s">
        <v>4888</v>
      </c>
      <c r="AO276" t="s">
        <v>74</v>
      </c>
      <c r="AP276" t="s">
        <v>5276</v>
      </c>
      <c r="AQ276" t="s">
        <v>74</v>
      </c>
      <c r="AR276" t="s">
        <v>5263</v>
      </c>
      <c r="AS276" t="s">
        <v>5277</v>
      </c>
      <c r="AT276" t="s">
        <v>276</v>
      </c>
      <c r="AU276">
        <v>2023</v>
      </c>
      <c r="AV276">
        <v>12</v>
      </c>
      <c r="AW276">
        <v>1</v>
      </c>
      <c r="AX276" t="s">
        <v>74</v>
      </c>
      <c r="AY276" t="s">
        <v>74</v>
      </c>
      <c r="AZ276" t="s">
        <v>74</v>
      </c>
      <c r="BA276" t="s">
        <v>74</v>
      </c>
      <c r="BB276" t="s">
        <v>74</v>
      </c>
      <c r="BC276" t="s">
        <v>74</v>
      </c>
      <c r="BD276">
        <v>111</v>
      </c>
      <c r="BE276" t="s">
        <v>5278</v>
      </c>
      <c r="BF276" t="str">
        <f>HYPERLINK("http://dx.doi.org/10.3390/biology12010111","http://dx.doi.org/10.3390/biology12010111")</f>
        <v>http://dx.doi.org/10.3390/biology12010111</v>
      </c>
      <c r="BG276" t="s">
        <v>74</v>
      </c>
      <c r="BH276" t="s">
        <v>74</v>
      </c>
      <c r="BI276">
        <v>16</v>
      </c>
      <c r="BJ276" t="s">
        <v>3178</v>
      </c>
      <c r="BK276" t="s">
        <v>104</v>
      </c>
      <c r="BL276" t="s">
        <v>3179</v>
      </c>
      <c r="BM276" t="s">
        <v>5279</v>
      </c>
      <c r="BN276">
        <v>36671803</v>
      </c>
      <c r="BO276" t="s">
        <v>3181</v>
      </c>
      <c r="BP276" t="s">
        <v>74</v>
      </c>
      <c r="BQ276" t="s">
        <v>74</v>
      </c>
      <c r="BR276" t="s">
        <v>108</v>
      </c>
      <c r="BS276" t="s">
        <v>5280</v>
      </c>
      <c r="BT276" t="str">
        <f>HYPERLINK("https%3A%2F%2Fwww.webofscience.com%2Fwos%2Fwoscc%2Ffull-record%2FWOS:000914430600001","View Full Record in Web of Science")</f>
        <v>View Full Record in Web of Science</v>
      </c>
    </row>
    <row r="277" spans="1:72" x14ac:dyDescent="0.15">
      <c r="A277" t="s">
        <v>72</v>
      </c>
      <c r="B277" t="s">
        <v>5281</v>
      </c>
      <c r="C277" t="s">
        <v>74</v>
      </c>
      <c r="D277" t="s">
        <v>74</v>
      </c>
      <c r="E277" t="s">
        <v>74</v>
      </c>
      <c r="F277" t="s">
        <v>5282</v>
      </c>
      <c r="G277" t="s">
        <v>74</v>
      </c>
      <c r="H277" t="s">
        <v>74</v>
      </c>
      <c r="I277" t="s">
        <v>5283</v>
      </c>
      <c r="J277" t="s">
        <v>5284</v>
      </c>
      <c r="K277" t="s">
        <v>74</v>
      </c>
      <c r="L277" t="s">
        <v>74</v>
      </c>
      <c r="M277" t="s">
        <v>78</v>
      </c>
      <c r="N277" t="s">
        <v>79</v>
      </c>
      <c r="O277" t="s">
        <v>74</v>
      </c>
      <c r="P277" t="s">
        <v>74</v>
      </c>
      <c r="Q277" t="s">
        <v>74</v>
      </c>
      <c r="R277" t="s">
        <v>74</v>
      </c>
      <c r="S277" t="s">
        <v>74</v>
      </c>
      <c r="T277" t="s">
        <v>5285</v>
      </c>
      <c r="U277" t="s">
        <v>5286</v>
      </c>
      <c r="V277" t="s">
        <v>5287</v>
      </c>
      <c r="W277" t="s">
        <v>5288</v>
      </c>
      <c r="X277" t="s">
        <v>5289</v>
      </c>
      <c r="Y277" t="s">
        <v>5290</v>
      </c>
      <c r="Z277" t="s">
        <v>5291</v>
      </c>
      <c r="AA277" t="s">
        <v>74</v>
      </c>
      <c r="AB277" t="s">
        <v>5292</v>
      </c>
      <c r="AC277" t="s">
        <v>74</v>
      </c>
      <c r="AD277" t="s">
        <v>74</v>
      </c>
      <c r="AE277" t="s">
        <v>74</v>
      </c>
      <c r="AF277" t="s">
        <v>74</v>
      </c>
      <c r="AG277">
        <v>41</v>
      </c>
      <c r="AH277">
        <v>1</v>
      </c>
      <c r="AI277">
        <v>1</v>
      </c>
      <c r="AJ277">
        <v>2</v>
      </c>
      <c r="AK277">
        <v>7</v>
      </c>
      <c r="AL277" t="s">
        <v>4886</v>
      </c>
      <c r="AM277" t="s">
        <v>4887</v>
      </c>
      <c r="AN277" t="s">
        <v>4888</v>
      </c>
      <c r="AO277" t="s">
        <v>74</v>
      </c>
      <c r="AP277" t="s">
        <v>5293</v>
      </c>
      <c r="AQ277" t="s">
        <v>74</v>
      </c>
      <c r="AR277" t="s">
        <v>5284</v>
      </c>
      <c r="AS277" t="s">
        <v>5294</v>
      </c>
      <c r="AT277" t="s">
        <v>276</v>
      </c>
      <c r="AU277">
        <v>2023</v>
      </c>
      <c r="AV277">
        <v>15</v>
      </c>
      <c r="AW277">
        <v>1</v>
      </c>
      <c r="AX277" t="s">
        <v>74</v>
      </c>
      <c r="AY277" t="s">
        <v>74</v>
      </c>
      <c r="AZ277" t="s">
        <v>74</v>
      </c>
      <c r="BA277" t="s">
        <v>74</v>
      </c>
      <c r="BB277" t="s">
        <v>74</v>
      </c>
      <c r="BC277" t="s">
        <v>74</v>
      </c>
      <c r="BD277">
        <v>51</v>
      </c>
      <c r="BE277" t="s">
        <v>5295</v>
      </c>
      <c r="BF277" t="str">
        <f>HYPERLINK("http://dx.doi.org/10.3390/d15010051","http://dx.doi.org/10.3390/d15010051")</f>
        <v>http://dx.doi.org/10.3390/d15010051</v>
      </c>
      <c r="BG277" t="s">
        <v>74</v>
      </c>
      <c r="BH277" t="s">
        <v>74</v>
      </c>
      <c r="BI277">
        <v>9</v>
      </c>
      <c r="BJ277" t="s">
        <v>305</v>
      </c>
      <c r="BK277" t="s">
        <v>104</v>
      </c>
      <c r="BL277" t="s">
        <v>306</v>
      </c>
      <c r="BM277" t="s">
        <v>5296</v>
      </c>
      <c r="BN277" t="s">
        <v>74</v>
      </c>
      <c r="BO277" t="s">
        <v>165</v>
      </c>
      <c r="BP277" t="s">
        <v>74</v>
      </c>
      <c r="BQ277" t="s">
        <v>74</v>
      </c>
      <c r="BR277" t="s">
        <v>108</v>
      </c>
      <c r="BS277" t="s">
        <v>5297</v>
      </c>
      <c r="BT277" t="str">
        <f>HYPERLINK("https%3A%2F%2Fwww.webofscience.com%2Fwos%2Fwoscc%2Ffull-record%2FWOS:000915028600001","View Full Record in Web of Science")</f>
        <v>View Full Record in Web of Science</v>
      </c>
    </row>
    <row r="278" spans="1:72" x14ac:dyDescent="0.15">
      <c r="A278" t="s">
        <v>72</v>
      </c>
      <c r="B278" t="s">
        <v>5298</v>
      </c>
      <c r="C278" t="s">
        <v>74</v>
      </c>
      <c r="D278" t="s">
        <v>74</v>
      </c>
      <c r="E278" t="s">
        <v>74</v>
      </c>
      <c r="F278" t="s">
        <v>5299</v>
      </c>
      <c r="G278" t="s">
        <v>74</v>
      </c>
      <c r="H278" t="s">
        <v>74</v>
      </c>
      <c r="I278" t="s">
        <v>5300</v>
      </c>
      <c r="J278" t="s">
        <v>5284</v>
      </c>
      <c r="K278" t="s">
        <v>74</v>
      </c>
      <c r="L278" t="s">
        <v>74</v>
      </c>
      <c r="M278" t="s">
        <v>78</v>
      </c>
      <c r="N278" t="s">
        <v>256</v>
      </c>
      <c r="O278" t="s">
        <v>74</v>
      </c>
      <c r="P278" t="s">
        <v>74</v>
      </c>
      <c r="Q278" t="s">
        <v>74</v>
      </c>
      <c r="R278" t="s">
        <v>74</v>
      </c>
      <c r="S278" t="s">
        <v>74</v>
      </c>
      <c r="T278" t="s">
        <v>5301</v>
      </c>
      <c r="U278" t="s">
        <v>5302</v>
      </c>
      <c r="V278" t="s">
        <v>5303</v>
      </c>
      <c r="W278" t="s">
        <v>5304</v>
      </c>
      <c r="X278" t="s">
        <v>5305</v>
      </c>
      <c r="Y278" t="s">
        <v>5306</v>
      </c>
      <c r="Z278" t="s">
        <v>5307</v>
      </c>
      <c r="AA278" t="s">
        <v>5308</v>
      </c>
      <c r="AB278" t="s">
        <v>5309</v>
      </c>
      <c r="AC278" t="s">
        <v>5305</v>
      </c>
      <c r="AD278" t="s">
        <v>5305</v>
      </c>
      <c r="AE278" t="s">
        <v>5310</v>
      </c>
      <c r="AF278" t="s">
        <v>74</v>
      </c>
      <c r="AG278">
        <v>129</v>
      </c>
      <c r="AH278">
        <v>2</v>
      </c>
      <c r="AI278">
        <v>2</v>
      </c>
      <c r="AJ278">
        <v>2</v>
      </c>
      <c r="AK278">
        <v>17</v>
      </c>
      <c r="AL278" t="s">
        <v>4886</v>
      </c>
      <c r="AM278" t="s">
        <v>4887</v>
      </c>
      <c r="AN278" t="s">
        <v>4888</v>
      </c>
      <c r="AO278" t="s">
        <v>74</v>
      </c>
      <c r="AP278" t="s">
        <v>5293</v>
      </c>
      <c r="AQ278" t="s">
        <v>74</v>
      </c>
      <c r="AR278" t="s">
        <v>5284</v>
      </c>
      <c r="AS278" t="s">
        <v>5294</v>
      </c>
      <c r="AT278" t="s">
        <v>276</v>
      </c>
      <c r="AU278">
        <v>2023</v>
      </c>
      <c r="AV278">
        <v>15</v>
      </c>
      <c r="AW278">
        <v>1</v>
      </c>
      <c r="AX278" t="s">
        <v>74</v>
      </c>
      <c r="AY278" t="s">
        <v>74</v>
      </c>
      <c r="AZ278" t="s">
        <v>74</v>
      </c>
      <c r="BA278" t="s">
        <v>74</v>
      </c>
      <c r="BB278" t="s">
        <v>74</v>
      </c>
      <c r="BC278" t="s">
        <v>74</v>
      </c>
      <c r="BD278">
        <v>47</v>
      </c>
      <c r="BE278" t="s">
        <v>5311</v>
      </c>
      <c r="BF278" t="str">
        <f>HYPERLINK("http://dx.doi.org/10.3390/d15010047","http://dx.doi.org/10.3390/d15010047")</f>
        <v>http://dx.doi.org/10.3390/d15010047</v>
      </c>
      <c r="BG278" t="s">
        <v>74</v>
      </c>
      <c r="BH278" t="s">
        <v>74</v>
      </c>
      <c r="BI278">
        <v>14</v>
      </c>
      <c r="BJ278" t="s">
        <v>305</v>
      </c>
      <c r="BK278" t="s">
        <v>104</v>
      </c>
      <c r="BL278" t="s">
        <v>306</v>
      </c>
      <c r="BM278" t="s">
        <v>5312</v>
      </c>
      <c r="BN278" t="s">
        <v>74</v>
      </c>
      <c r="BO278" t="s">
        <v>3181</v>
      </c>
      <c r="BP278" t="s">
        <v>74</v>
      </c>
      <c r="BQ278" t="s">
        <v>74</v>
      </c>
      <c r="BR278" t="s">
        <v>108</v>
      </c>
      <c r="BS278" t="s">
        <v>5313</v>
      </c>
      <c r="BT278" t="str">
        <f>HYPERLINK("https%3A%2F%2Fwww.webofscience.com%2Fwos%2Fwoscc%2Ffull-record%2FWOS:000916996100001","View Full Record in Web of Science")</f>
        <v>View Full Record in Web of Science</v>
      </c>
    </row>
    <row r="279" spans="1:72" x14ac:dyDescent="0.15">
      <c r="A279" t="s">
        <v>72</v>
      </c>
      <c r="B279" t="s">
        <v>5314</v>
      </c>
      <c r="C279" t="s">
        <v>74</v>
      </c>
      <c r="D279" t="s">
        <v>74</v>
      </c>
      <c r="E279" t="s">
        <v>74</v>
      </c>
      <c r="F279" t="s">
        <v>5315</v>
      </c>
      <c r="G279" t="s">
        <v>74</v>
      </c>
      <c r="H279" t="s">
        <v>74</v>
      </c>
      <c r="I279" t="s">
        <v>5316</v>
      </c>
      <c r="J279" t="s">
        <v>5284</v>
      </c>
      <c r="K279" t="s">
        <v>74</v>
      </c>
      <c r="L279" t="s">
        <v>74</v>
      </c>
      <c r="M279" t="s">
        <v>78</v>
      </c>
      <c r="N279" t="s">
        <v>79</v>
      </c>
      <c r="O279" t="s">
        <v>74</v>
      </c>
      <c r="P279" t="s">
        <v>74</v>
      </c>
      <c r="Q279" t="s">
        <v>74</v>
      </c>
      <c r="R279" t="s">
        <v>74</v>
      </c>
      <c r="S279" t="s">
        <v>74</v>
      </c>
      <c r="T279" t="s">
        <v>5317</v>
      </c>
      <c r="U279" t="s">
        <v>5318</v>
      </c>
      <c r="V279" t="s">
        <v>5319</v>
      </c>
      <c r="W279" t="s">
        <v>5320</v>
      </c>
      <c r="X279" t="s">
        <v>5321</v>
      </c>
      <c r="Y279" t="s">
        <v>5322</v>
      </c>
      <c r="Z279" t="s">
        <v>5323</v>
      </c>
      <c r="AA279" t="s">
        <v>5324</v>
      </c>
      <c r="AB279" t="s">
        <v>5325</v>
      </c>
      <c r="AC279" t="s">
        <v>74</v>
      </c>
      <c r="AD279" t="s">
        <v>74</v>
      </c>
      <c r="AE279" t="s">
        <v>74</v>
      </c>
      <c r="AF279" t="s">
        <v>74</v>
      </c>
      <c r="AG279">
        <v>113</v>
      </c>
      <c r="AH279">
        <v>1</v>
      </c>
      <c r="AI279">
        <v>1</v>
      </c>
      <c r="AJ279">
        <v>3</v>
      </c>
      <c r="AK279">
        <v>9</v>
      </c>
      <c r="AL279" t="s">
        <v>4886</v>
      </c>
      <c r="AM279" t="s">
        <v>4887</v>
      </c>
      <c r="AN279" t="s">
        <v>4888</v>
      </c>
      <c r="AO279" t="s">
        <v>74</v>
      </c>
      <c r="AP279" t="s">
        <v>5293</v>
      </c>
      <c r="AQ279" t="s">
        <v>74</v>
      </c>
      <c r="AR279" t="s">
        <v>5284</v>
      </c>
      <c r="AS279" t="s">
        <v>5294</v>
      </c>
      <c r="AT279" t="s">
        <v>276</v>
      </c>
      <c r="AU279">
        <v>2023</v>
      </c>
      <c r="AV279">
        <v>15</v>
      </c>
      <c r="AW279">
        <v>1</v>
      </c>
      <c r="AX279" t="s">
        <v>74</v>
      </c>
      <c r="AY279" t="s">
        <v>74</v>
      </c>
      <c r="AZ279" t="s">
        <v>74</v>
      </c>
      <c r="BA279" t="s">
        <v>74</v>
      </c>
      <c r="BB279" t="s">
        <v>74</v>
      </c>
      <c r="BC279" t="s">
        <v>74</v>
      </c>
      <c r="BD279">
        <v>44</v>
      </c>
      <c r="BE279" t="s">
        <v>5326</v>
      </c>
      <c r="BF279" t="str">
        <f>HYPERLINK("http://dx.doi.org/10.3390/d15010044","http://dx.doi.org/10.3390/d15010044")</f>
        <v>http://dx.doi.org/10.3390/d15010044</v>
      </c>
      <c r="BG279" t="s">
        <v>74</v>
      </c>
      <c r="BH279" t="s">
        <v>74</v>
      </c>
      <c r="BI279">
        <v>24</v>
      </c>
      <c r="BJ279" t="s">
        <v>305</v>
      </c>
      <c r="BK279" t="s">
        <v>104</v>
      </c>
      <c r="BL279" t="s">
        <v>306</v>
      </c>
      <c r="BM279" t="s">
        <v>5327</v>
      </c>
      <c r="BN279" t="s">
        <v>74</v>
      </c>
      <c r="BO279" t="s">
        <v>165</v>
      </c>
      <c r="BP279" t="s">
        <v>74</v>
      </c>
      <c r="BQ279" t="s">
        <v>74</v>
      </c>
      <c r="BR279" t="s">
        <v>108</v>
      </c>
      <c r="BS279" t="s">
        <v>5328</v>
      </c>
      <c r="BT279" t="str">
        <f>HYPERLINK("https%3A%2F%2Fwww.webofscience.com%2Fwos%2Fwoscc%2Ffull-record%2FWOS:000915030700001","View Full Record in Web of Science")</f>
        <v>View Full Record in Web of Science</v>
      </c>
    </row>
    <row r="280" spans="1:72" x14ac:dyDescent="0.15">
      <c r="A280" t="s">
        <v>72</v>
      </c>
      <c r="B280" t="s">
        <v>5329</v>
      </c>
      <c r="C280" t="s">
        <v>74</v>
      </c>
      <c r="D280" t="s">
        <v>74</v>
      </c>
      <c r="E280" t="s">
        <v>74</v>
      </c>
      <c r="F280" t="s">
        <v>5330</v>
      </c>
      <c r="G280" t="s">
        <v>74</v>
      </c>
      <c r="H280" t="s">
        <v>74</v>
      </c>
      <c r="I280" t="s">
        <v>5331</v>
      </c>
      <c r="J280" t="s">
        <v>5196</v>
      </c>
      <c r="K280" t="s">
        <v>74</v>
      </c>
      <c r="L280" t="s">
        <v>74</v>
      </c>
      <c r="M280" t="s">
        <v>78</v>
      </c>
      <c r="N280" t="s">
        <v>79</v>
      </c>
      <c r="O280" t="s">
        <v>74</v>
      </c>
      <c r="P280" t="s">
        <v>74</v>
      </c>
      <c r="Q280" t="s">
        <v>74</v>
      </c>
      <c r="R280" t="s">
        <v>74</v>
      </c>
      <c r="S280" t="s">
        <v>74</v>
      </c>
      <c r="T280" t="s">
        <v>5332</v>
      </c>
      <c r="U280" t="s">
        <v>5333</v>
      </c>
      <c r="V280" t="s">
        <v>5334</v>
      </c>
      <c r="W280" t="s">
        <v>5335</v>
      </c>
      <c r="X280" t="s">
        <v>5336</v>
      </c>
      <c r="Y280" t="s">
        <v>5337</v>
      </c>
      <c r="Z280" t="s">
        <v>5338</v>
      </c>
      <c r="AA280" t="s">
        <v>5339</v>
      </c>
      <c r="AB280" t="s">
        <v>5340</v>
      </c>
      <c r="AC280" t="s">
        <v>74</v>
      </c>
      <c r="AD280" t="s">
        <v>74</v>
      </c>
      <c r="AE280" t="s">
        <v>74</v>
      </c>
      <c r="AF280" t="s">
        <v>74</v>
      </c>
      <c r="AG280">
        <v>49</v>
      </c>
      <c r="AH280">
        <v>2</v>
      </c>
      <c r="AI280">
        <v>2</v>
      </c>
      <c r="AJ280">
        <v>7</v>
      </c>
      <c r="AK280">
        <v>17</v>
      </c>
      <c r="AL280" t="s">
        <v>4886</v>
      </c>
      <c r="AM280" t="s">
        <v>4887</v>
      </c>
      <c r="AN280" t="s">
        <v>4888</v>
      </c>
      <c r="AO280" t="s">
        <v>74</v>
      </c>
      <c r="AP280" t="s">
        <v>5207</v>
      </c>
      <c r="AQ280" t="s">
        <v>74</v>
      </c>
      <c r="AR280" t="s">
        <v>5208</v>
      </c>
      <c r="AS280" t="s">
        <v>5209</v>
      </c>
      <c r="AT280" t="s">
        <v>276</v>
      </c>
      <c r="AU280">
        <v>2023</v>
      </c>
      <c r="AV280">
        <v>8</v>
      </c>
      <c r="AW280">
        <v>1</v>
      </c>
      <c r="AX280" t="s">
        <v>74</v>
      </c>
      <c r="AY280" t="s">
        <v>74</v>
      </c>
      <c r="AZ280" t="s">
        <v>74</v>
      </c>
      <c r="BA280" t="s">
        <v>74</v>
      </c>
      <c r="BB280" t="s">
        <v>74</v>
      </c>
      <c r="BC280" t="s">
        <v>74</v>
      </c>
      <c r="BD280">
        <v>13</v>
      </c>
      <c r="BE280" t="s">
        <v>5341</v>
      </c>
      <c r="BF280" t="str">
        <f>HYPERLINK("http://dx.doi.org/10.3390/fishes8010013","http://dx.doi.org/10.3390/fishes8010013")</f>
        <v>http://dx.doi.org/10.3390/fishes8010013</v>
      </c>
      <c r="BG280" t="s">
        <v>74</v>
      </c>
      <c r="BH280" t="s">
        <v>74</v>
      </c>
      <c r="BI280">
        <v>10</v>
      </c>
      <c r="BJ280" t="s">
        <v>5211</v>
      </c>
      <c r="BK280" t="s">
        <v>104</v>
      </c>
      <c r="BL280" t="s">
        <v>5211</v>
      </c>
      <c r="BM280" t="s">
        <v>5342</v>
      </c>
      <c r="BN280" t="s">
        <v>74</v>
      </c>
      <c r="BO280" t="s">
        <v>165</v>
      </c>
      <c r="BP280" t="s">
        <v>74</v>
      </c>
      <c r="BQ280" t="s">
        <v>74</v>
      </c>
      <c r="BR280" t="s">
        <v>108</v>
      </c>
      <c r="BS280" t="s">
        <v>5343</v>
      </c>
      <c r="BT280" t="str">
        <f>HYPERLINK("https%3A%2F%2Fwww.webofscience.com%2Fwos%2Fwoscc%2Ffull-record%2FWOS:000915384400001","View Full Record in Web of Science")</f>
        <v>View Full Record in Web of Science</v>
      </c>
    </row>
    <row r="281" spans="1:72" x14ac:dyDescent="0.15">
      <c r="A281" t="s">
        <v>72</v>
      </c>
      <c r="B281" t="s">
        <v>5344</v>
      </c>
      <c r="C281" t="s">
        <v>74</v>
      </c>
      <c r="D281" t="s">
        <v>74</v>
      </c>
      <c r="E281" t="s">
        <v>74</v>
      </c>
      <c r="F281" t="s">
        <v>5345</v>
      </c>
      <c r="G281" t="s">
        <v>74</v>
      </c>
      <c r="H281" t="s">
        <v>74</v>
      </c>
      <c r="I281" t="s">
        <v>5346</v>
      </c>
      <c r="J281" t="s">
        <v>5347</v>
      </c>
      <c r="K281" t="s">
        <v>74</v>
      </c>
      <c r="L281" t="s">
        <v>74</v>
      </c>
      <c r="M281" t="s">
        <v>78</v>
      </c>
      <c r="N281" t="s">
        <v>79</v>
      </c>
      <c r="O281" t="s">
        <v>74</v>
      </c>
      <c r="P281" t="s">
        <v>74</v>
      </c>
      <c r="Q281" t="s">
        <v>74</v>
      </c>
      <c r="R281" t="s">
        <v>74</v>
      </c>
      <c r="S281" t="s">
        <v>74</v>
      </c>
      <c r="T281" t="s">
        <v>5348</v>
      </c>
      <c r="U281" t="s">
        <v>5349</v>
      </c>
      <c r="V281" t="s">
        <v>5350</v>
      </c>
      <c r="W281" t="s">
        <v>5351</v>
      </c>
      <c r="X281" t="s">
        <v>5352</v>
      </c>
      <c r="Y281" t="s">
        <v>5353</v>
      </c>
      <c r="Z281" t="s">
        <v>5354</v>
      </c>
      <c r="AA281" t="s">
        <v>74</v>
      </c>
      <c r="AB281" t="s">
        <v>5355</v>
      </c>
      <c r="AC281" t="s">
        <v>74</v>
      </c>
      <c r="AD281" t="s">
        <v>74</v>
      </c>
      <c r="AE281" t="s">
        <v>74</v>
      </c>
      <c r="AF281" t="s">
        <v>74</v>
      </c>
      <c r="AG281">
        <v>46</v>
      </c>
      <c r="AH281">
        <v>0</v>
      </c>
      <c r="AI281">
        <v>0</v>
      </c>
      <c r="AJ281">
        <v>1</v>
      </c>
      <c r="AK281">
        <v>13</v>
      </c>
      <c r="AL281" t="s">
        <v>4886</v>
      </c>
      <c r="AM281" t="s">
        <v>4887</v>
      </c>
      <c r="AN281" t="s">
        <v>4888</v>
      </c>
      <c r="AO281" t="s">
        <v>74</v>
      </c>
      <c r="AP281" t="s">
        <v>5356</v>
      </c>
      <c r="AQ281" t="s">
        <v>74</v>
      </c>
      <c r="AR281" t="s">
        <v>5357</v>
      </c>
      <c r="AS281" t="s">
        <v>5358</v>
      </c>
      <c r="AT281" t="s">
        <v>276</v>
      </c>
      <c r="AU281">
        <v>2023</v>
      </c>
      <c r="AV281">
        <v>24</v>
      </c>
      <c r="AW281">
        <v>2</v>
      </c>
      <c r="AX281" t="s">
        <v>74</v>
      </c>
      <c r="AY281" t="s">
        <v>74</v>
      </c>
      <c r="AZ281" t="s">
        <v>74</v>
      </c>
      <c r="BA281" t="s">
        <v>74</v>
      </c>
      <c r="BB281" t="s">
        <v>74</v>
      </c>
      <c r="BC281" t="s">
        <v>74</v>
      </c>
      <c r="BD281">
        <v>943</v>
      </c>
      <c r="BE281" t="s">
        <v>5359</v>
      </c>
      <c r="BF281" t="str">
        <f>HYPERLINK("http://dx.doi.org/10.3390/ijms24020943","http://dx.doi.org/10.3390/ijms24020943")</f>
        <v>http://dx.doi.org/10.3390/ijms24020943</v>
      </c>
      <c r="BG281" t="s">
        <v>74</v>
      </c>
      <c r="BH281" t="s">
        <v>74</v>
      </c>
      <c r="BI281">
        <v>16</v>
      </c>
      <c r="BJ281" t="s">
        <v>5360</v>
      </c>
      <c r="BK281" t="s">
        <v>104</v>
      </c>
      <c r="BL281" t="s">
        <v>5361</v>
      </c>
      <c r="BM281" t="s">
        <v>5362</v>
      </c>
      <c r="BN281">
        <v>36674456</v>
      </c>
      <c r="BO281" t="s">
        <v>192</v>
      </c>
      <c r="BP281" t="s">
        <v>74</v>
      </c>
      <c r="BQ281" t="s">
        <v>74</v>
      </c>
      <c r="BR281" t="s">
        <v>108</v>
      </c>
      <c r="BS281" t="s">
        <v>5363</v>
      </c>
      <c r="BT281" t="str">
        <f>HYPERLINK("https%3A%2F%2Fwww.webofscience.com%2Fwos%2Fwoscc%2Ffull-record%2FWOS:000914671900001","View Full Record in Web of Science")</f>
        <v>View Full Record in Web of Science</v>
      </c>
    </row>
    <row r="282" spans="1:72" x14ac:dyDescent="0.15">
      <c r="A282" t="s">
        <v>72</v>
      </c>
      <c r="B282" t="s">
        <v>5364</v>
      </c>
      <c r="C282" t="s">
        <v>74</v>
      </c>
      <c r="D282" t="s">
        <v>74</v>
      </c>
      <c r="E282" t="s">
        <v>74</v>
      </c>
      <c r="F282" t="s">
        <v>5365</v>
      </c>
      <c r="G282" t="s">
        <v>74</v>
      </c>
      <c r="H282" t="s">
        <v>74</v>
      </c>
      <c r="I282" t="s">
        <v>5366</v>
      </c>
      <c r="J282" t="s">
        <v>5367</v>
      </c>
      <c r="K282" t="s">
        <v>74</v>
      </c>
      <c r="L282" t="s">
        <v>74</v>
      </c>
      <c r="M282" t="s">
        <v>78</v>
      </c>
      <c r="N282" t="s">
        <v>256</v>
      </c>
      <c r="O282" t="s">
        <v>74</v>
      </c>
      <c r="P282" t="s">
        <v>74</v>
      </c>
      <c r="Q282" t="s">
        <v>74</v>
      </c>
      <c r="R282" t="s">
        <v>74</v>
      </c>
      <c r="S282" t="s">
        <v>74</v>
      </c>
      <c r="T282" t="s">
        <v>5368</v>
      </c>
      <c r="U282" t="s">
        <v>5369</v>
      </c>
      <c r="V282" t="s">
        <v>5370</v>
      </c>
      <c r="W282" t="s">
        <v>5371</v>
      </c>
      <c r="X282" t="s">
        <v>5372</v>
      </c>
      <c r="Y282" t="s">
        <v>5373</v>
      </c>
      <c r="Z282" t="s">
        <v>5374</v>
      </c>
      <c r="AA282" t="s">
        <v>74</v>
      </c>
      <c r="AB282" t="s">
        <v>5375</v>
      </c>
      <c r="AC282" t="s">
        <v>5376</v>
      </c>
      <c r="AD282" t="s">
        <v>5377</v>
      </c>
      <c r="AE282" t="s">
        <v>5378</v>
      </c>
      <c r="AF282" t="s">
        <v>74</v>
      </c>
      <c r="AG282">
        <v>144</v>
      </c>
      <c r="AH282">
        <v>8</v>
      </c>
      <c r="AI282">
        <v>8</v>
      </c>
      <c r="AJ282">
        <v>13</v>
      </c>
      <c r="AK282">
        <v>37</v>
      </c>
      <c r="AL282" t="s">
        <v>3428</v>
      </c>
      <c r="AM282" t="s">
        <v>3429</v>
      </c>
      <c r="AN282" t="s">
        <v>3430</v>
      </c>
      <c r="AO282" t="s">
        <v>5379</v>
      </c>
      <c r="AP282" t="s">
        <v>5380</v>
      </c>
      <c r="AQ282" t="s">
        <v>74</v>
      </c>
      <c r="AR282" t="s">
        <v>5381</v>
      </c>
      <c r="AS282" t="s">
        <v>5382</v>
      </c>
      <c r="AT282" t="s">
        <v>74</v>
      </c>
      <c r="AU282">
        <v>2023</v>
      </c>
      <c r="AV282">
        <v>55</v>
      </c>
      <c r="AW282" t="s">
        <v>74</v>
      </c>
      <c r="AX282" t="s">
        <v>74</v>
      </c>
      <c r="AY282" t="s">
        <v>74</v>
      </c>
      <c r="AZ282" t="s">
        <v>74</v>
      </c>
      <c r="BA282" t="s">
        <v>74</v>
      </c>
      <c r="BB282">
        <v>377</v>
      </c>
      <c r="BC282">
        <v>402</v>
      </c>
      <c r="BD282" t="s">
        <v>74</v>
      </c>
      <c r="BE282" t="s">
        <v>5383</v>
      </c>
      <c r="BF282" t="str">
        <f>HYPERLINK("http://dx.doi.org/10.1146/annurev-fluid-032522-100734","http://dx.doi.org/10.1146/annurev-fluid-032522-100734")</f>
        <v>http://dx.doi.org/10.1146/annurev-fluid-032522-100734</v>
      </c>
      <c r="BG282" t="s">
        <v>74</v>
      </c>
      <c r="BH282" t="s">
        <v>74</v>
      </c>
      <c r="BI282">
        <v>26</v>
      </c>
      <c r="BJ282" t="s">
        <v>5384</v>
      </c>
      <c r="BK282" t="s">
        <v>104</v>
      </c>
      <c r="BL282" t="s">
        <v>5385</v>
      </c>
      <c r="BM282" t="s">
        <v>5386</v>
      </c>
      <c r="BN282" t="s">
        <v>74</v>
      </c>
      <c r="BO282" t="s">
        <v>219</v>
      </c>
      <c r="BP282" t="s">
        <v>74</v>
      </c>
      <c r="BQ282" t="s">
        <v>74</v>
      </c>
      <c r="BR282" t="s">
        <v>108</v>
      </c>
      <c r="BS282" t="s">
        <v>5387</v>
      </c>
      <c r="BT282" t="str">
        <f>HYPERLINK("https%3A%2F%2Fwww.webofscience.com%2Fwos%2Fwoscc%2Ffull-record%2FWOS:000915418100016","View Full Record in Web of Science")</f>
        <v>View Full Record in Web of Science</v>
      </c>
    </row>
    <row r="283" spans="1:72" x14ac:dyDescent="0.15">
      <c r="A283" t="s">
        <v>72</v>
      </c>
      <c r="B283" t="s">
        <v>5388</v>
      </c>
      <c r="C283" t="s">
        <v>74</v>
      </c>
      <c r="D283" t="s">
        <v>74</v>
      </c>
      <c r="E283" t="s">
        <v>74</v>
      </c>
      <c r="F283" t="s">
        <v>5389</v>
      </c>
      <c r="G283" t="s">
        <v>74</v>
      </c>
      <c r="H283" t="s">
        <v>74</v>
      </c>
      <c r="I283" t="s">
        <v>5390</v>
      </c>
      <c r="J283" t="s">
        <v>5391</v>
      </c>
      <c r="K283" t="s">
        <v>74</v>
      </c>
      <c r="L283" t="s">
        <v>74</v>
      </c>
      <c r="M283" t="s">
        <v>78</v>
      </c>
      <c r="N283" t="s">
        <v>79</v>
      </c>
      <c r="O283" t="s">
        <v>74</v>
      </c>
      <c r="P283" t="s">
        <v>74</v>
      </c>
      <c r="Q283" t="s">
        <v>74</v>
      </c>
      <c r="R283" t="s">
        <v>74</v>
      </c>
      <c r="S283" t="s">
        <v>74</v>
      </c>
      <c r="T283" t="s">
        <v>5392</v>
      </c>
      <c r="U283" t="s">
        <v>5393</v>
      </c>
      <c r="V283" t="s">
        <v>5394</v>
      </c>
      <c r="W283" t="s">
        <v>5395</v>
      </c>
      <c r="X283" t="s">
        <v>5396</v>
      </c>
      <c r="Y283" t="s">
        <v>5397</v>
      </c>
      <c r="Z283" t="s">
        <v>5398</v>
      </c>
      <c r="AA283" t="s">
        <v>5399</v>
      </c>
      <c r="AB283" t="s">
        <v>5400</v>
      </c>
      <c r="AC283" t="s">
        <v>74</v>
      </c>
      <c r="AD283" t="s">
        <v>74</v>
      </c>
      <c r="AE283" t="s">
        <v>74</v>
      </c>
      <c r="AF283" t="s">
        <v>74</v>
      </c>
      <c r="AG283">
        <v>43</v>
      </c>
      <c r="AH283">
        <v>2</v>
      </c>
      <c r="AI283">
        <v>2</v>
      </c>
      <c r="AJ283">
        <v>1</v>
      </c>
      <c r="AK283">
        <v>4</v>
      </c>
      <c r="AL283" t="s">
        <v>4886</v>
      </c>
      <c r="AM283" t="s">
        <v>4887</v>
      </c>
      <c r="AN283" t="s">
        <v>4888</v>
      </c>
      <c r="AO283" t="s">
        <v>74</v>
      </c>
      <c r="AP283" t="s">
        <v>5401</v>
      </c>
      <c r="AQ283" t="s">
        <v>74</v>
      </c>
      <c r="AR283" t="s">
        <v>5391</v>
      </c>
      <c r="AS283" t="s">
        <v>5402</v>
      </c>
      <c r="AT283" t="s">
        <v>276</v>
      </c>
      <c r="AU283">
        <v>2023</v>
      </c>
      <c r="AV283">
        <v>13</v>
      </c>
      <c r="AW283">
        <v>1</v>
      </c>
      <c r="AX283" t="s">
        <v>74</v>
      </c>
      <c r="AY283" t="s">
        <v>74</v>
      </c>
      <c r="AZ283" t="s">
        <v>74</v>
      </c>
      <c r="BA283" t="s">
        <v>74</v>
      </c>
      <c r="BB283" t="s">
        <v>74</v>
      </c>
      <c r="BC283" t="s">
        <v>74</v>
      </c>
      <c r="BD283">
        <v>113</v>
      </c>
      <c r="BE283" t="s">
        <v>5403</v>
      </c>
      <c r="BF283" t="str">
        <f>HYPERLINK("http://dx.doi.org/10.3390/life13010113","http://dx.doi.org/10.3390/life13010113")</f>
        <v>http://dx.doi.org/10.3390/life13010113</v>
      </c>
      <c r="BG283" t="s">
        <v>74</v>
      </c>
      <c r="BH283" t="s">
        <v>74</v>
      </c>
      <c r="BI283">
        <v>14</v>
      </c>
      <c r="BJ283" t="s">
        <v>5404</v>
      </c>
      <c r="BK283" t="s">
        <v>104</v>
      </c>
      <c r="BL283" t="s">
        <v>5405</v>
      </c>
      <c r="BM283" t="s">
        <v>5406</v>
      </c>
      <c r="BN283">
        <v>36676062</v>
      </c>
      <c r="BO283" t="s">
        <v>5407</v>
      </c>
      <c r="BP283" t="s">
        <v>74</v>
      </c>
      <c r="BQ283" t="s">
        <v>74</v>
      </c>
      <c r="BR283" t="s">
        <v>108</v>
      </c>
      <c r="BS283" t="s">
        <v>5408</v>
      </c>
      <c r="BT283" t="str">
        <f>HYPERLINK("https%3A%2F%2Fwww.webofscience.com%2Fwos%2Fwoscc%2Ffull-record%2FWOS:000915087400001","View Full Record in Web of Science")</f>
        <v>View Full Record in Web of Science</v>
      </c>
    </row>
    <row r="284" spans="1:72" x14ac:dyDescent="0.15">
      <c r="A284" t="s">
        <v>72</v>
      </c>
      <c r="B284" t="s">
        <v>5409</v>
      </c>
      <c r="C284" t="s">
        <v>74</v>
      </c>
      <c r="D284" t="s">
        <v>74</v>
      </c>
      <c r="E284" t="s">
        <v>74</v>
      </c>
      <c r="F284" t="s">
        <v>5410</v>
      </c>
      <c r="G284" t="s">
        <v>74</v>
      </c>
      <c r="H284" t="s">
        <v>74</v>
      </c>
      <c r="I284" t="s">
        <v>5411</v>
      </c>
      <c r="J284" t="s">
        <v>5412</v>
      </c>
      <c r="K284" t="s">
        <v>74</v>
      </c>
      <c r="L284" t="s">
        <v>74</v>
      </c>
      <c r="M284" t="s">
        <v>78</v>
      </c>
      <c r="N284" t="s">
        <v>79</v>
      </c>
      <c r="O284" t="s">
        <v>74</v>
      </c>
      <c r="P284" t="s">
        <v>74</v>
      </c>
      <c r="Q284" t="s">
        <v>74</v>
      </c>
      <c r="R284" t="s">
        <v>74</v>
      </c>
      <c r="S284" t="s">
        <v>74</v>
      </c>
      <c r="T284" t="s">
        <v>5413</v>
      </c>
      <c r="U284" t="s">
        <v>5414</v>
      </c>
      <c r="V284" t="s">
        <v>5415</v>
      </c>
      <c r="W284" t="s">
        <v>5416</v>
      </c>
      <c r="X284" t="s">
        <v>5417</v>
      </c>
      <c r="Y284" t="s">
        <v>5418</v>
      </c>
      <c r="Z284" t="s">
        <v>5419</v>
      </c>
      <c r="AA284" t="s">
        <v>5420</v>
      </c>
      <c r="AB284" t="s">
        <v>5421</v>
      </c>
      <c r="AC284" t="s">
        <v>5422</v>
      </c>
      <c r="AD284" t="s">
        <v>5423</v>
      </c>
      <c r="AE284" t="s">
        <v>5424</v>
      </c>
      <c r="AF284" t="s">
        <v>74</v>
      </c>
      <c r="AG284">
        <v>64</v>
      </c>
      <c r="AH284">
        <v>1</v>
      </c>
      <c r="AI284">
        <v>1</v>
      </c>
      <c r="AJ284">
        <v>0</v>
      </c>
      <c r="AK284">
        <v>2</v>
      </c>
      <c r="AL284" t="s">
        <v>4886</v>
      </c>
      <c r="AM284" t="s">
        <v>4887</v>
      </c>
      <c r="AN284" t="s">
        <v>4888</v>
      </c>
      <c r="AO284" t="s">
        <v>74</v>
      </c>
      <c r="AP284" t="s">
        <v>5425</v>
      </c>
      <c r="AQ284" t="s">
        <v>74</v>
      </c>
      <c r="AR284" t="s">
        <v>5426</v>
      </c>
      <c r="AS284" t="s">
        <v>5427</v>
      </c>
      <c r="AT284" t="s">
        <v>276</v>
      </c>
      <c r="AU284">
        <v>2023</v>
      </c>
      <c r="AV284">
        <v>14</v>
      </c>
      <c r="AW284">
        <v>1</v>
      </c>
      <c r="AX284" t="s">
        <v>74</v>
      </c>
      <c r="AY284" t="s">
        <v>74</v>
      </c>
      <c r="AZ284" t="s">
        <v>74</v>
      </c>
      <c r="BA284" t="s">
        <v>74</v>
      </c>
      <c r="BB284" t="s">
        <v>74</v>
      </c>
      <c r="BC284" t="s">
        <v>74</v>
      </c>
      <c r="BD284">
        <v>159</v>
      </c>
      <c r="BE284" t="s">
        <v>5428</v>
      </c>
      <c r="BF284" t="str">
        <f>HYPERLINK("http://dx.doi.org/10.3390/atmos14010159","http://dx.doi.org/10.3390/atmos14010159")</f>
        <v>http://dx.doi.org/10.3390/atmos14010159</v>
      </c>
      <c r="BG284" t="s">
        <v>74</v>
      </c>
      <c r="BH284" t="s">
        <v>74</v>
      </c>
      <c r="BI284">
        <v>21</v>
      </c>
      <c r="BJ284" t="s">
        <v>5429</v>
      </c>
      <c r="BK284" t="s">
        <v>104</v>
      </c>
      <c r="BL284" t="s">
        <v>355</v>
      </c>
      <c r="BM284" t="s">
        <v>5430</v>
      </c>
      <c r="BN284" t="s">
        <v>74</v>
      </c>
      <c r="BO284" t="s">
        <v>165</v>
      </c>
      <c r="BP284" t="s">
        <v>74</v>
      </c>
      <c r="BQ284" t="s">
        <v>74</v>
      </c>
      <c r="BR284" t="s">
        <v>108</v>
      </c>
      <c r="BS284" t="s">
        <v>5431</v>
      </c>
      <c r="BT284" t="str">
        <f>HYPERLINK("https%3A%2F%2Fwww.webofscience.com%2Fwos%2Fwoscc%2Ffull-record%2FWOS:000916713500001","View Full Record in Web of Science")</f>
        <v>View Full Record in Web of Science</v>
      </c>
    </row>
    <row r="285" spans="1:72" x14ac:dyDescent="0.15">
      <c r="A285" t="s">
        <v>72</v>
      </c>
      <c r="B285" t="s">
        <v>5432</v>
      </c>
      <c r="C285" t="s">
        <v>74</v>
      </c>
      <c r="D285" t="s">
        <v>74</v>
      </c>
      <c r="E285" t="s">
        <v>74</v>
      </c>
      <c r="F285" t="s">
        <v>5433</v>
      </c>
      <c r="G285" t="s">
        <v>74</v>
      </c>
      <c r="H285" t="s">
        <v>74</v>
      </c>
      <c r="I285" t="s">
        <v>5434</v>
      </c>
      <c r="J285" t="s">
        <v>5412</v>
      </c>
      <c r="K285" t="s">
        <v>74</v>
      </c>
      <c r="L285" t="s">
        <v>74</v>
      </c>
      <c r="M285" t="s">
        <v>78</v>
      </c>
      <c r="N285" t="s">
        <v>79</v>
      </c>
      <c r="O285" t="s">
        <v>74</v>
      </c>
      <c r="P285" t="s">
        <v>74</v>
      </c>
      <c r="Q285" t="s">
        <v>74</v>
      </c>
      <c r="R285" t="s">
        <v>74</v>
      </c>
      <c r="S285" t="s">
        <v>74</v>
      </c>
      <c r="T285" t="s">
        <v>5435</v>
      </c>
      <c r="U285" t="s">
        <v>5436</v>
      </c>
      <c r="V285" t="s">
        <v>5437</v>
      </c>
      <c r="W285" t="s">
        <v>5438</v>
      </c>
      <c r="X285" t="s">
        <v>5439</v>
      </c>
      <c r="Y285" t="s">
        <v>5440</v>
      </c>
      <c r="Z285" t="s">
        <v>5441</v>
      </c>
      <c r="AA285" t="s">
        <v>5442</v>
      </c>
      <c r="AB285" t="s">
        <v>5443</v>
      </c>
      <c r="AC285" t="s">
        <v>74</v>
      </c>
      <c r="AD285" t="s">
        <v>74</v>
      </c>
      <c r="AE285" t="s">
        <v>74</v>
      </c>
      <c r="AF285" t="s">
        <v>74</v>
      </c>
      <c r="AG285">
        <v>51</v>
      </c>
      <c r="AH285">
        <v>2</v>
      </c>
      <c r="AI285">
        <v>2</v>
      </c>
      <c r="AJ285">
        <v>6</v>
      </c>
      <c r="AK285">
        <v>22</v>
      </c>
      <c r="AL285" t="s">
        <v>4886</v>
      </c>
      <c r="AM285" t="s">
        <v>4887</v>
      </c>
      <c r="AN285" t="s">
        <v>4888</v>
      </c>
      <c r="AO285" t="s">
        <v>74</v>
      </c>
      <c r="AP285" t="s">
        <v>5425</v>
      </c>
      <c r="AQ285" t="s">
        <v>74</v>
      </c>
      <c r="AR285" t="s">
        <v>5426</v>
      </c>
      <c r="AS285" t="s">
        <v>5427</v>
      </c>
      <c r="AT285" t="s">
        <v>276</v>
      </c>
      <c r="AU285">
        <v>2023</v>
      </c>
      <c r="AV285">
        <v>14</v>
      </c>
      <c r="AW285">
        <v>1</v>
      </c>
      <c r="AX285" t="s">
        <v>74</v>
      </c>
      <c r="AY285" t="s">
        <v>74</v>
      </c>
      <c r="AZ285" t="s">
        <v>74</v>
      </c>
      <c r="BA285" t="s">
        <v>74</v>
      </c>
      <c r="BB285" t="s">
        <v>74</v>
      </c>
      <c r="BC285" t="s">
        <v>74</v>
      </c>
      <c r="BD285">
        <v>139</v>
      </c>
      <c r="BE285" t="s">
        <v>5444</v>
      </c>
      <c r="BF285" t="str">
        <f>HYPERLINK("http://dx.doi.org/10.3390/atmos14010139","http://dx.doi.org/10.3390/atmos14010139")</f>
        <v>http://dx.doi.org/10.3390/atmos14010139</v>
      </c>
      <c r="BG285" t="s">
        <v>74</v>
      </c>
      <c r="BH285" t="s">
        <v>74</v>
      </c>
      <c r="BI285">
        <v>11</v>
      </c>
      <c r="BJ285" t="s">
        <v>5429</v>
      </c>
      <c r="BK285" t="s">
        <v>104</v>
      </c>
      <c r="BL285" t="s">
        <v>355</v>
      </c>
      <c r="BM285" t="s">
        <v>5445</v>
      </c>
      <c r="BN285" t="s">
        <v>74</v>
      </c>
      <c r="BO285" t="s">
        <v>3181</v>
      </c>
      <c r="BP285" t="s">
        <v>74</v>
      </c>
      <c r="BQ285" t="s">
        <v>74</v>
      </c>
      <c r="BR285" t="s">
        <v>108</v>
      </c>
      <c r="BS285" t="s">
        <v>5446</v>
      </c>
      <c r="BT285" t="str">
        <f>HYPERLINK("https%3A%2F%2Fwww.webofscience.com%2Fwos%2Fwoscc%2Ffull-record%2FWOS:000914370600001","View Full Record in Web of Science")</f>
        <v>View Full Record in Web of Science</v>
      </c>
    </row>
    <row r="286" spans="1:72" x14ac:dyDescent="0.15">
      <c r="A286" t="s">
        <v>72</v>
      </c>
      <c r="B286" t="s">
        <v>5447</v>
      </c>
      <c r="C286" t="s">
        <v>74</v>
      </c>
      <c r="D286" t="s">
        <v>74</v>
      </c>
      <c r="E286" t="s">
        <v>74</v>
      </c>
      <c r="F286" t="s">
        <v>5448</v>
      </c>
      <c r="G286" t="s">
        <v>74</v>
      </c>
      <c r="H286" t="s">
        <v>74</v>
      </c>
      <c r="I286" t="s">
        <v>5449</v>
      </c>
      <c r="J286" t="s">
        <v>5263</v>
      </c>
      <c r="K286" t="s">
        <v>74</v>
      </c>
      <c r="L286" t="s">
        <v>74</v>
      </c>
      <c r="M286" t="s">
        <v>78</v>
      </c>
      <c r="N286" t="s">
        <v>79</v>
      </c>
      <c r="O286" t="s">
        <v>74</v>
      </c>
      <c r="P286" t="s">
        <v>74</v>
      </c>
      <c r="Q286" t="s">
        <v>74</v>
      </c>
      <c r="R286" t="s">
        <v>74</v>
      </c>
      <c r="S286" t="s">
        <v>74</v>
      </c>
      <c r="T286" t="s">
        <v>5450</v>
      </c>
      <c r="U286" t="s">
        <v>5451</v>
      </c>
      <c r="V286" t="s">
        <v>5452</v>
      </c>
      <c r="W286" t="s">
        <v>5453</v>
      </c>
      <c r="X286" t="s">
        <v>5454</v>
      </c>
      <c r="Y286" t="s">
        <v>5455</v>
      </c>
      <c r="Z286" t="s">
        <v>5456</v>
      </c>
      <c r="AA286" t="s">
        <v>5457</v>
      </c>
      <c r="AB286" t="s">
        <v>5458</v>
      </c>
      <c r="AC286" t="s">
        <v>5459</v>
      </c>
      <c r="AD286" t="s">
        <v>5460</v>
      </c>
      <c r="AE286" t="s">
        <v>5461</v>
      </c>
      <c r="AF286" t="s">
        <v>74</v>
      </c>
      <c r="AG286">
        <v>88</v>
      </c>
      <c r="AH286">
        <v>1</v>
      </c>
      <c r="AI286">
        <v>1</v>
      </c>
      <c r="AJ286">
        <v>0</v>
      </c>
      <c r="AK286">
        <v>6</v>
      </c>
      <c r="AL286" t="s">
        <v>4886</v>
      </c>
      <c r="AM286" t="s">
        <v>4887</v>
      </c>
      <c r="AN286" t="s">
        <v>4888</v>
      </c>
      <c r="AO286" t="s">
        <v>74</v>
      </c>
      <c r="AP286" t="s">
        <v>5276</v>
      </c>
      <c r="AQ286" t="s">
        <v>74</v>
      </c>
      <c r="AR286" t="s">
        <v>5263</v>
      </c>
      <c r="AS286" t="s">
        <v>5277</v>
      </c>
      <c r="AT286" t="s">
        <v>276</v>
      </c>
      <c r="AU286">
        <v>2023</v>
      </c>
      <c r="AV286">
        <v>12</v>
      </c>
      <c r="AW286">
        <v>1</v>
      </c>
      <c r="AX286" t="s">
        <v>74</v>
      </c>
      <c r="AY286" t="s">
        <v>74</v>
      </c>
      <c r="AZ286" t="s">
        <v>74</v>
      </c>
      <c r="BA286" t="s">
        <v>74</v>
      </c>
      <c r="BB286" t="s">
        <v>74</v>
      </c>
      <c r="BC286" t="s">
        <v>74</v>
      </c>
      <c r="BD286">
        <v>128</v>
      </c>
      <c r="BE286" t="s">
        <v>5462</v>
      </c>
      <c r="BF286" t="str">
        <f>HYPERLINK("http://dx.doi.org/10.3390/biology12010128","http://dx.doi.org/10.3390/biology12010128")</f>
        <v>http://dx.doi.org/10.3390/biology12010128</v>
      </c>
      <c r="BG286" t="s">
        <v>74</v>
      </c>
      <c r="BH286" t="s">
        <v>74</v>
      </c>
      <c r="BI286">
        <v>20</v>
      </c>
      <c r="BJ286" t="s">
        <v>3178</v>
      </c>
      <c r="BK286" t="s">
        <v>104</v>
      </c>
      <c r="BL286" t="s">
        <v>3179</v>
      </c>
      <c r="BM286" t="s">
        <v>5463</v>
      </c>
      <c r="BN286">
        <v>36671820</v>
      </c>
      <c r="BO286" t="s">
        <v>192</v>
      </c>
      <c r="BP286" t="s">
        <v>74</v>
      </c>
      <c r="BQ286" t="s">
        <v>74</v>
      </c>
      <c r="BR286" t="s">
        <v>108</v>
      </c>
      <c r="BS286" t="s">
        <v>5464</v>
      </c>
      <c r="BT286" t="str">
        <f>HYPERLINK("https%3A%2F%2Fwww.webofscience.com%2Fwos%2Fwoscc%2Ffull-record%2FWOS:000916712600001","View Full Record in Web of Science")</f>
        <v>View Full Record in Web of Science</v>
      </c>
    </row>
    <row r="287" spans="1:72" x14ac:dyDescent="0.15">
      <c r="A287" t="s">
        <v>72</v>
      </c>
      <c r="B287" t="s">
        <v>5465</v>
      </c>
      <c r="C287" t="s">
        <v>74</v>
      </c>
      <c r="D287" t="s">
        <v>74</v>
      </c>
      <c r="E287" t="s">
        <v>74</v>
      </c>
      <c r="F287" t="s">
        <v>5466</v>
      </c>
      <c r="G287" t="s">
        <v>74</v>
      </c>
      <c r="H287" t="s">
        <v>74</v>
      </c>
      <c r="I287" t="s">
        <v>5467</v>
      </c>
      <c r="J287" t="s">
        <v>5263</v>
      </c>
      <c r="K287" t="s">
        <v>74</v>
      </c>
      <c r="L287" t="s">
        <v>74</v>
      </c>
      <c r="M287" t="s">
        <v>78</v>
      </c>
      <c r="N287" t="s">
        <v>79</v>
      </c>
      <c r="O287" t="s">
        <v>74</v>
      </c>
      <c r="P287" t="s">
        <v>74</v>
      </c>
      <c r="Q287" t="s">
        <v>74</v>
      </c>
      <c r="R287" t="s">
        <v>74</v>
      </c>
      <c r="S287" t="s">
        <v>74</v>
      </c>
      <c r="T287" t="s">
        <v>5468</v>
      </c>
      <c r="U287" t="s">
        <v>5469</v>
      </c>
      <c r="V287" t="s">
        <v>5470</v>
      </c>
      <c r="W287" t="s">
        <v>5471</v>
      </c>
      <c r="X287" t="s">
        <v>5472</v>
      </c>
      <c r="Y287" t="s">
        <v>5473</v>
      </c>
      <c r="Z287" t="s">
        <v>5474</v>
      </c>
      <c r="AA287" t="s">
        <v>5475</v>
      </c>
      <c r="AB287" t="s">
        <v>5476</v>
      </c>
      <c r="AC287" t="s">
        <v>5477</v>
      </c>
      <c r="AD287" t="s">
        <v>5478</v>
      </c>
      <c r="AE287" t="s">
        <v>5479</v>
      </c>
      <c r="AF287" t="s">
        <v>74</v>
      </c>
      <c r="AG287">
        <v>38</v>
      </c>
      <c r="AH287">
        <v>3</v>
      </c>
      <c r="AI287">
        <v>3</v>
      </c>
      <c r="AJ287">
        <v>3</v>
      </c>
      <c r="AK287">
        <v>11</v>
      </c>
      <c r="AL287" t="s">
        <v>4886</v>
      </c>
      <c r="AM287" t="s">
        <v>4887</v>
      </c>
      <c r="AN287" t="s">
        <v>4888</v>
      </c>
      <c r="AO287" t="s">
        <v>74</v>
      </c>
      <c r="AP287" t="s">
        <v>5276</v>
      </c>
      <c r="AQ287" t="s">
        <v>74</v>
      </c>
      <c r="AR287" t="s">
        <v>5263</v>
      </c>
      <c r="AS287" t="s">
        <v>5277</v>
      </c>
      <c r="AT287" t="s">
        <v>276</v>
      </c>
      <c r="AU287">
        <v>2023</v>
      </c>
      <c r="AV287">
        <v>12</v>
      </c>
      <c r="AW287">
        <v>1</v>
      </c>
      <c r="AX287" t="s">
        <v>74</v>
      </c>
      <c r="AY287" t="s">
        <v>74</v>
      </c>
      <c r="AZ287" t="s">
        <v>74</v>
      </c>
      <c r="BA287" t="s">
        <v>74</v>
      </c>
      <c r="BB287" t="s">
        <v>74</v>
      </c>
      <c r="BC287" t="s">
        <v>74</v>
      </c>
      <c r="BD287">
        <v>109</v>
      </c>
      <c r="BE287" t="s">
        <v>5480</v>
      </c>
      <c r="BF287" t="str">
        <f>HYPERLINK("http://dx.doi.org/10.3390/biology12010109","http://dx.doi.org/10.3390/biology12010109")</f>
        <v>http://dx.doi.org/10.3390/biology12010109</v>
      </c>
      <c r="BG287" t="s">
        <v>74</v>
      </c>
      <c r="BH287" t="s">
        <v>74</v>
      </c>
      <c r="BI287">
        <v>11</v>
      </c>
      <c r="BJ287" t="s">
        <v>3178</v>
      </c>
      <c r="BK287" t="s">
        <v>104</v>
      </c>
      <c r="BL287" t="s">
        <v>3179</v>
      </c>
      <c r="BM287" t="s">
        <v>5481</v>
      </c>
      <c r="BN287">
        <v>36671801</v>
      </c>
      <c r="BO287" t="s">
        <v>5482</v>
      </c>
      <c r="BP287" t="s">
        <v>74</v>
      </c>
      <c r="BQ287" t="s">
        <v>74</v>
      </c>
      <c r="BR287" t="s">
        <v>108</v>
      </c>
      <c r="BS287" t="s">
        <v>5483</v>
      </c>
      <c r="BT287" t="str">
        <f>HYPERLINK("https%3A%2F%2Fwww.webofscience.com%2Fwos%2Fwoscc%2Ffull-record%2FWOS:000916952300001","View Full Record in Web of Science")</f>
        <v>View Full Record in Web of Science</v>
      </c>
    </row>
    <row r="288" spans="1:72" x14ac:dyDescent="0.15">
      <c r="A288" t="s">
        <v>72</v>
      </c>
      <c r="B288" t="s">
        <v>5484</v>
      </c>
      <c r="C288" t="s">
        <v>74</v>
      </c>
      <c r="D288" t="s">
        <v>74</v>
      </c>
      <c r="E288" t="s">
        <v>74</v>
      </c>
      <c r="F288" t="s">
        <v>5485</v>
      </c>
      <c r="G288" t="s">
        <v>74</v>
      </c>
      <c r="H288" t="s">
        <v>74</v>
      </c>
      <c r="I288" t="s">
        <v>5486</v>
      </c>
      <c r="J288" t="s">
        <v>5487</v>
      </c>
      <c r="K288" t="s">
        <v>74</v>
      </c>
      <c r="L288" t="s">
        <v>74</v>
      </c>
      <c r="M288" t="s">
        <v>78</v>
      </c>
      <c r="N288" t="s">
        <v>79</v>
      </c>
      <c r="O288" t="s">
        <v>74</v>
      </c>
      <c r="P288" t="s">
        <v>74</v>
      </c>
      <c r="Q288" t="s">
        <v>74</v>
      </c>
      <c r="R288" t="s">
        <v>74</v>
      </c>
      <c r="S288" t="s">
        <v>74</v>
      </c>
      <c r="T288" t="s">
        <v>5488</v>
      </c>
      <c r="U288" t="s">
        <v>5489</v>
      </c>
      <c r="V288" t="s">
        <v>5490</v>
      </c>
      <c r="W288" t="s">
        <v>5491</v>
      </c>
      <c r="X288" t="s">
        <v>5492</v>
      </c>
      <c r="Y288" t="s">
        <v>5493</v>
      </c>
      <c r="Z288" t="s">
        <v>5494</v>
      </c>
      <c r="AA288" t="s">
        <v>5495</v>
      </c>
      <c r="AB288" t="s">
        <v>5496</v>
      </c>
      <c r="AC288" t="s">
        <v>74</v>
      </c>
      <c r="AD288" t="s">
        <v>74</v>
      </c>
      <c r="AE288" t="s">
        <v>74</v>
      </c>
      <c r="AF288" t="s">
        <v>74</v>
      </c>
      <c r="AG288">
        <v>81</v>
      </c>
      <c r="AH288">
        <v>0</v>
      </c>
      <c r="AI288">
        <v>0</v>
      </c>
      <c r="AJ288">
        <v>1</v>
      </c>
      <c r="AK288">
        <v>12</v>
      </c>
      <c r="AL288" t="s">
        <v>4886</v>
      </c>
      <c r="AM288" t="s">
        <v>4887</v>
      </c>
      <c r="AN288" t="s">
        <v>4888</v>
      </c>
      <c r="AO288" t="s">
        <v>74</v>
      </c>
      <c r="AP288" t="s">
        <v>5497</v>
      </c>
      <c r="AQ288" t="s">
        <v>74</v>
      </c>
      <c r="AR288" t="s">
        <v>5498</v>
      </c>
      <c r="AS288" t="s">
        <v>5499</v>
      </c>
      <c r="AT288" t="s">
        <v>276</v>
      </c>
      <c r="AU288">
        <v>2023</v>
      </c>
      <c r="AV288">
        <v>14</v>
      </c>
      <c r="AW288">
        <v>1</v>
      </c>
      <c r="AX288" t="s">
        <v>74</v>
      </c>
      <c r="AY288" t="s">
        <v>74</v>
      </c>
      <c r="AZ288" t="s">
        <v>74</v>
      </c>
      <c r="BA288" t="s">
        <v>74</v>
      </c>
      <c r="BB288" t="s">
        <v>74</v>
      </c>
      <c r="BC288" t="s">
        <v>74</v>
      </c>
      <c r="BD288">
        <v>14</v>
      </c>
      <c r="BE288" t="s">
        <v>5500</v>
      </c>
      <c r="BF288" t="str">
        <f>HYPERLINK("http://dx.doi.org/10.3390/genes14010014","http://dx.doi.org/10.3390/genes14010014")</f>
        <v>http://dx.doi.org/10.3390/genes14010014</v>
      </c>
      <c r="BG288" t="s">
        <v>74</v>
      </c>
      <c r="BH288" t="s">
        <v>74</v>
      </c>
      <c r="BI288">
        <v>18</v>
      </c>
      <c r="BJ288" t="s">
        <v>5501</v>
      </c>
      <c r="BK288" t="s">
        <v>104</v>
      </c>
      <c r="BL288" t="s">
        <v>5501</v>
      </c>
      <c r="BM288" t="s">
        <v>5502</v>
      </c>
      <c r="BN288">
        <v>36672754</v>
      </c>
      <c r="BO288" t="s">
        <v>5503</v>
      </c>
      <c r="BP288" t="s">
        <v>74</v>
      </c>
      <c r="BQ288" t="s">
        <v>74</v>
      </c>
      <c r="BR288" t="s">
        <v>108</v>
      </c>
      <c r="BS288" t="s">
        <v>5504</v>
      </c>
      <c r="BT288" t="str">
        <f>HYPERLINK("https%3A%2F%2Fwww.webofscience.com%2Fwos%2Fwoscc%2Ffull-record%2FWOS:000914598800001","View Full Record in Web of Science")</f>
        <v>View Full Record in Web of Science</v>
      </c>
    </row>
    <row r="289" spans="1:72" x14ac:dyDescent="0.15">
      <c r="A289" t="s">
        <v>72</v>
      </c>
      <c r="B289" t="s">
        <v>5505</v>
      </c>
      <c r="C289" t="s">
        <v>74</v>
      </c>
      <c r="D289" t="s">
        <v>74</v>
      </c>
      <c r="E289" t="s">
        <v>74</v>
      </c>
      <c r="F289" t="s">
        <v>5506</v>
      </c>
      <c r="G289" t="s">
        <v>74</v>
      </c>
      <c r="H289" t="s">
        <v>74</v>
      </c>
      <c r="I289" t="s">
        <v>5507</v>
      </c>
      <c r="J289" t="s">
        <v>5508</v>
      </c>
      <c r="K289" t="s">
        <v>74</v>
      </c>
      <c r="L289" t="s">
        <v>74</v>
      </c>
      <c r="M289" t="s">
        <v>78</v>
      </c>
      <c r="N289" t="s">
        <v>79</v>
      </c>
      <c r="O289" t="s">
        <v>74</v>
      </c>
      <c r="P289" t="s">
        <v>74</v>
      </c>
      <c r="Q289" t="s">
        <v>74</v>
      </c>
      <c r="R289" t="s">
        <v>74</v>
      </c>
      <c r="S289" t="s">
        <v>74</v>
      </c>
      <c r="T289" t="s">
        <v>5509</v>
      </c>
      <c r="U289" t="s">
        <v>5510</v>
      </c>
      <c r="V289" t="s">
        <v>5511</v>
      </c>
      <c r="W289" t="s">
        <v>5512</v>
      </c>
      <c r="X289" t="s">
        <v>5513</v>
      </c>
      <c r="Y289" t="s">
        <v>5514</v>
      </c>
      <c r="Z289" t="s">
        <v>5515</v>
      </c>
      <c r="AA289" t="s">
        <v>74</v>
      </c>
      <c r="AB289" t="s">
        <v>74</v>
      </c>
      <c r="AC289" t="s">
        <v>5516</v>
      </c>
      <c r="AD289" t="s">
        <v>5517</v>
      </c>
      <c r="AE289" t="s">
        <v>5518</v>
      </c>
      <c r="AF289" t="s">
        <v>74</v>
      </c>
      <c r="AG289">
        <v>47</v>
      </c>
      <c r="AH289">
        <v>3</v>
      </c>
      <c r="AI289">
        <v>3</v>
      </c>
      <c r="AJ289">
        <v>6</v>
      </c>
      <c r="AK289">
        <v>15</v>
      </c>
      <c r="AL289" t="s">
        <v>4886</v>
      </c>
      <c r="AM289" t="s">
        <v>4887</v>
      </c>
      <c r="AN289" t="s">
        <v>4888</v>
      </c>
      <c r="AO289" t="s">
        <v>74</v>
      </c>
      <c r="AP289" t="s">
        <v>5519</v>
      </c>
      <c r="AQ289" t="s">
        <v>74</v>
      </c>
      <c r="AR289" t="s">
        <v>5508</v>
      </c>
      <c r="AS289" t="s">
        <v>5520</v>
      </c>
      <c r="AT289" t="s">
        <v>276</v>
      </c>
      <c r="AU289">
        <v>2023</v>
      </c>
      <c r="AV289">
        <v>14</v>
      </c>
      <c r="AW289">
        <v>1</v>
      </c>
      <c r="AX289" t="s">
        <v>74</v>
      </c>
      <c r="AY289" t="s">
        <v>74</v>
      </c>
      <c r="AZ289" t="s">
        <v>74</v>
      </c>
      <c r="BA289" t="s">
        <v>74</v>
      </c>
      <c r="BB289" t="s">
        <v>74</v>
      </c>
      <c r="BC289" t="s">
        <v>74</v>
      </c>
      <c r="BD289">
        <v>58</v>
      </c>
      <c r="BE289" t="s">
        <v>5521</v>
      </c>
      <c r="BF289" t="str">
        <f>HYPERLINK("http://dx.doi.org/10.3390/insects14010058","http://dx.doi.org/10.3390/insects14010058")</f>
        <v>http://dx.doi.org/10.3390/insects14010058</v>
      </c>
      <c r="BG289" t="s">
        <v>74</v>
      </c>
      <c r="BH289" t="s">
        <v>74</v>
      </c>
      <c r="BI289">
        <v>14</v>
      </c>
      <c r="BJ289" t="s">
        <v>5189</v>
      </c>
      <c r="BK289" t="s">
        <v>104</v>
      </c>
      <c r="BL289" t="s">
        <v>5189</v>
      </c>
      <c r="BM289" t="s">
        <v>5522</v>
      </c>
      <c r="BN289">
        <v>36661986</v>
      </c>
      <c r="BO289" t="s">
        <v>3181</v>
      </c>
      <c r="BP289" t="s">
        <v>74</v>
      </c>
      <c r="BQ289" t="s">
        <v>74</v>
      </c>
      <c r="BR289" t="s">
        <v>108</v>
      </c>
      <c r="BS289" t="s">
        <v>5523</v>
      </c>
      <c r="BT289" t="str">
        <f>HYPERLINK("https%3A%2F%2Fwww.webofscience.com%2Fwos%2Fwoscc%2Ffull-record%2FWOS:000915392700001","View Full Record in Web of Science")</f>
        <v>View Full Record in Web of Science</v>
      </c>
    </row>
    <row r="290" spans="1:72" x14ac:dyDescent="0.15">
      <c r="A290" t="s">
        <v>72</v>
      </c>
      <c r="B290" t="s">
        <v>5524</v>
      </c>
      <c r="C290" t="s">
        <v>74</v>
      </c>
      <c r="D290" t="s">
        <v>74</v>
      </c>
      <c r="E290" t="s">
        <v>74</v>
      </c>
      <c r="F290" t="s">
        <v>5525</v>
      </c>
      <c r="G290" t="s">
        <v>74</v>
      </c>
      <c r="H290" t="s">
        <v>74</v>
      </c>
      <c r="I290" t="s">
        <v>5526</v>
      </c>
      <c r="J290" t="s">
        <v>5412</v>
      </c>
      <c r="K290" t="s">
        <v>74</v>
      </c>
      <c r="L290" t="s">
        <v>74</v>
      </c>
      <c r="M290" t="s">
        <v>78</v>
      </c>
      <c r="N290" t="s">
        <v>79</v>
      </c>
      <c r="O290" t="s">
        <v>74</v>
      </c>
      <c r="P290" t="s">
        <v>74</v>
      </c>
      <c r="Q290" t="s">
        <v>74</v>
      </c>
      <c r="R290" t="s">
        <v>74</v>
      </c>
      <c r="S290" t="s">
        <v>74</v>
      </c>
      <c r="T290" t="s">
        <v>5527</v>
      </c>
      <c r="U290" t="s">
        <v>5528</v>
      </c>
      <c r="V290" t="s">
        <v>5529</v>
      </c>
      <c r="W290" t="s">
        <v>5530</v>
      </c>
      <c r="X290" t="s">
        <v>5531</v>
      </c>
      <c r="Y290" t="s">
        <v>5532</v>
      </c>
      <c r="Z290" t="s">
        <v>5533</v>
      </c>
      <c r="AA290" t="s">
        <v>74</v>
      </c>
      <c r="AB290" t="s">
        <v>74</v>
      </c>
      <c r="AC290" t="s">
        <v>74</v>
      </c>
      <c r="AD290" t="s">
        <v>74</v>
      </c>
      <c r="AE290" t="s">
        <v>74</v>
      </c>
      <c r="AF290" t="s">
        <v>74</v>
      </c>
      <c r="AG290">
        <v>32</v>
      </c>
      <c r="AH290">
        <v>3</v>
      </c>
      <c r="AI290">
        <v>3</v>
      </c>
      <c r="AJ290">
        <v>5</v>
      </c>
      <c r="AK290">
        <v>12</v>
      </c>
      <c r="AL290" t="s">
        <v>4886</v>
      </c>
      <c r="AM290" t="s">
        <v>4887</v>
      </c>
      <c r="AN290" t="s">
        <v>4888</v>
      </c>
      <c r="AO290" t="s">
        <v>74</v>
      </c>
      <c r="AP290" t="s">
        <v>5425</v>
      </c>
      <c r="AQ290" t="s">
        <v>74</v>
      </c>
      <c r="AR290" t="s">
        <v>5426</v>
      </c>
      <c r="AS290" t="s">
        <v>5427</v>
      </c>
      <c r="AT290" t="s">
        <v>276</v>
      </c>
      <c r="AU290">
        <v>2023</v>
      </c>
      <c r="AV290">
        <v>14</v>
      </c>
      <c r="AW290">
        <v>1</v>
      </c>
      <c r="AX290" t="s">
        <v>74</v>
      </c>
      <c r="AY290" t="s">
        <v>74</v>
      </c>
      <c r="AZ290" t="s">
        <v>74</v>
      </c>
      <c r="BA290" t="s">
        <v>74</v>
      </c>
      <c r="BB290" t="s">
        <v>74</v>
      </c>
      <c r="BC290" t="s">
        <v>74</v>
      </c>
      <c r="BD290">
        <v>36</v>
      </c>
      <c r="BE290" t="s">
        <v>5534</v>
      </c>
      <c r="BF290" t="str">
        <f>HYPERLINK("http://dx.doi.org/10.3390/atmos14010036","http://dx.doi.org/10.3390/atmos14010036")</f>
        <v>http://dx.doi.org/10.3390/atmos14010036</v>
      </c>
      <c r="BG290" t="s">
        <v>74</v>
      </c>
      <c r="BH290" t="s">
        <v>74</v>
      </c>
      <c r="BI290">
        <v>12</v>
      </c>
      <c r="BJ290" t="s">
        <v>5429</v>
      </c>
      <c r="BK290" t="s">
        <v>104</v>
      </c>
      <c r="BL290" t="s">
        <v>355</v>
      </c>
      <c r="BM290" t="s">
        <v>5535</v>
      </c>
      <c r="BN290" t="s">
        <v>74</v>
      </c>
      <c r="BO290" t="s">
        <v>165</v>
      </c>
      <c r="BP290" t="s">
        <v>74</v>
      </c>
      <c r="BQ290" t="s">
        <v>74</v>
      </c>
      <c r="BR290" t="s">
        <v>108</v>
      </c>
      <c r="BS290" t="s">
        <v>5536</v>
      </c>
      <c r="BT290" t="str">
        <f>HYPERLINK("https%3A%2F%2Fwww.webofscience.com%2Fwos%2Fwoscc%2Ffull-record%2FWOS:000914359200001","View Full Record in Web of Science")</f>
        <v>View Full Record in Web of Science</v>
      </c>
    </row>
    <row r="291" spans="1:72" x14ac:dyDescent="0.15">
      <c r="A291" t="s">
        <v>72</v>
      </c>
      <c r="B291" t="s">
        <v>5537</v>
      </c>
      <c r="C291" t="s">
        <v>74</v>
      </c>
      <c r="D291" t="s">
        <v>74</v>
      </c>
      <c r="E291" t="s">
        <v>74</v>
      </c>
      <c r="F291" t="s">
        <v>5538</v>
      </c>
      <c r="G291" t="s">
        <v>74</v>
      </c>
      <c r="H291" t="s">
        <v>74</v>
      </c>
      <c r="I291" t="s">
        <v>5539</v>
      </c>
      <c r="J291" t="s">
        <v>5540</v>
      </c>
      <c r="K291" t="s">
        <v>74</v>
      </c>
      <c r="L291" t="s">
        <v>74</v>
      </c>
      <c r="M291" t="s">
        <v>78</v>
      </c>
      <c r="N291" t="s">
        <v>79</v>
      </c>
      <c r="O291" t="s">
        <v>74</v>
      </c>
      <c r="P291" t="s">
        <v>74</v>
      </c>
      <c r="Q291" t="s">
        <v>74</v>
      </c>
      <c r="R291" t="s">
        <v>74</v>
      </c>
      <c r="S291" t="s">
        <v>74</v>
      </c>
      <c r="T291" t="s">
        <v>5541</v>
      </c>
      <c r="U291" t="s">
        <v>5542</v>
      </c>
      <c r="V291" t="s">
        <v>5543</v>
      </c>
      <c r="W291" t="s">
        <v>5544</v>
      </c>
      <c r="X291" t="s">
        <v>5545</v>
      </c>
      <c r="Y291" t="s">
        <v>5546</v>
      </c>
      <c r="Z291" t="s">
        <v>5547</v>
      </c>
      <c r="AA291" t="s">
        <v>5548</v>
      </c>
      <c r="AB291" t="s">
        <v>5549</v>
      </c>
      <c r="AC291" t="s">
        <v>5550</v>
      </c>
      <c r="AD291" t="s">
        <v>5551</v>
      </c>
      <c r="AE291" t="s">
        <v>5552</v>
      </c>
      <c r="AF291" t="s">
        <v>74</v>
      </c>
      <c r="AG291">
        <v>83</v>
      </c>
      <c r="AH291">
        <v>2</v>
      </c>
      <c r="AI291">
        <v>2</v>
      </c>
      <c r="AJ291">
        <v>6</v>
      </c>
      <c r="AK291">
        <v>11</v>
      </c>
      <c r="AL291" t="s">
        <v>2255</v>
      </c>
      <c r="AM291" t="s">
        <v>2256</v>
      </c>
      <c r="AN291" t="s">
        <v>2257</v>
      </c>
      <c r="AO291" t="s">
        <v>5553</v>
      </c>
      <c r="AP291" t="s">
        <v>5554</v>
      </c>
      <c r="AQ291" t="s">
        <v>74</v>
      </c>
      <c r="AR291" t="s">
        <v>5555</v>
      </c>
      <c r="AS291" t="s">
        <v>5556</v>
      </c>
      <c r="AT291" t="s">
        <v>276</v>
      </c>
      <c r="AU291">
        <v>2023</v>
      </c>
      <c r="AV291">
        <v>170</v>
      </c>
      <c r="AW291">
        <v>1</v>
      </c>
      <c r="AX291" t="s">
        <v>74</v>
      </c>
      <c r="AY291" t="s">
        <v>74</v>
      </c>
      <c r="AZ291" t="s">
        <v>74</v>
      </c>
      <c r="BA291" t="s">
        <v>74</v>
      </c>
      <c r="BB291" t="s">
        <v>74</v>
      </c>
      <c r="BC291" t="s">
        <v>74</v>
      </c>
      <c r="BD291">
        <v>9</v>
      </c>
      <c r="BE291" t="s">
        <v>5557</v>
      </c>
      <c r="BF291" t="str">
        <f>HYPERLINK("http://dx.doi.org/10.1007/s00227-022-04155-3","http://dx.doi.org/10.1007/s00227-022-04155-3")</f>
        <v>http://dx.doi.org/10.1007/s00227-022-04155-3</v>
      </c>
      <c r="BG291" t="s">
        <v>74</v>
      </c>
      <c r="BH291" t="s">
        <v>74</v>
      </c>
      <c r="BI291">
        <v>12</v>
      </c>
      <c r="BJ291" t="s">
        <v>2572</v>
      </c>
      <c r="BK291" t="s">
        <v>104</v>
      </c>
      <c r="BL291" t="s">
        <v>2572</v>
      </c>
      <c r="BM291" t="s">
        <v>5558</v>
      </c>
      <c r="BN291" t="s">
        <v>74</v>
      </c>
      <c r="BO291" t="s">
        <v>74</v>
      </c>
      <c r="BP291" t="s">
        <v>74</v>
      </c>
      <c r="BQ291" t="s">
        <v>74</v>
      </c>
      <c r="BR291" t="s">
        <v>108</v>
      </c>
      <c r="BS291" t="s">
        <v>5559</v>
      </c>
      <c r="BT291" t="str">
        <f>HYPERLINK("https%3A%2F%2Fwww.webofscience.com%2Fwos%2Fwoscc%2Ffull-record%2FWOS:000903260700001","View Full Record in Web of Science")</f>
        <v>View Full Record in Web of Science</v>
      </c>
    </row>
    <row r="292" spans="1:72" x14ac:dyDescent="0.15">
      <c r="A292" t="s">
        <v>72</v>
      </c>
      <c r="B292" t="s">
        <v>5560</v>
      </c>
      <c r="C292" t="s">
        <v>74</v>
      </c>
      <c r="D292" t="s">
        <v>74</v>
      </c>
      <c r="E292" t="s">
        <v>74</v>
      </c>
      <c r="F292" t="s">
        <v>5561</v>
      </c>
      <c r="G292" t="s">
        <v>74</v>
      </c>
      <c r="H292" t="s">
        <v>74</v>
      </c>
      <c r="I292" t="s">
        <v>5562</v>
      </c>
      <c r="J292" t="s">
        <v>5563</v>
      </c>
      <c r="K292" t="s">
        <v>74</v>
      </c>
      <c r="L292" t="s">
        <v>74</v>
      </c>
      <c r="M292" t="s">
        <v>78</v>
      </c>
      <c r="N292" t="s">
        <v>79</v>
      </c>
      <c r="O292" t="s">
        <v>74</v>
      </c>
      <c r="P292" t="s">
        <v>74</v>
      </c>
      <c r="Q292" t="s">
        <v>74</v>
      </c>
      <c r="R292" t="s">
        <v>74</v>
      </c>
      <c r="S292" t="s">
        <v>74</v>
      </c>
      <c r="T292" t="s">
        <v>5564</v>
      </c>
      <c r="U292" t="s">
        <v>5565</v>
      </c>
      <c r="V292" t="s">
        <v>5566</v>
      </c>
      <c r="W292" t="s">
        <v>5567</v>
      </c>
      <c r="X292" t="s">
        <v>5568</v>
      </c>
      <c r="Y292" t="s">
        <v>5569</v>
      </c>
      <c r="Z292" t="s">
        <v>5570</v>
      </c>
      <c r="AA292" t="s">
        <v>5571</v>
      </c>
      <c r="AB292" t="s">
        <v>5572</v>
      </c>
      <c r="AC292" t="s">
        <v>5573</v>
      </c>
      <c r="AD292" t="s">
        <v>2611</v>
      </c>
      <c r="AE292" t="s">
        <v>5574</v>
      </c>
      <c r="AF292" t="s">
        <v>74</v>
      </c>
      <c r="AG292">
        <v>42</v>
      </c>
      <c r="AH292">
        <v>2</v>
      </c>
      <c r="AI292">
        <v>2</v>
      </c>
      <c r="AJ292">
        <v>18</v>
      </c>
      <c r="AK292">
        <v>39</v>
      </c>
      <c r="AL292" t="s">
        <v>4886</v>
      </c>
      <c r="AM292" t="s">
        <v>4887</v>
      </c>
      <c r="AN292" t="s">
        <v>4888</v>
      </c>
      <c r="AO292" t="s">
        <v>74</v>
      </c>
      <c r="AP292" t="s">
        <v>5575</v>
      </c>
      <c r="AQ292" t="s">
        <v>74</v>
      </c>
      <c r="AR292" t="s">
        <v>5576</v>
      </c>
      <c r="AS292" t="s">
        <v>5577</v>
      </c>
      <c r="AT292" t="s">
        <v>276</v>
      </c>
      <c r="AU292">
        <v>2023</v>
      </c>
      <c r="AV292">
        <v>21</v>
      </c>
      <c r="AW292">
        <v>1</v>
      </c>
      <c r="AX292" t="s">
        <v>74</v>
      </c>
      <c r="AY292" t="s">
        <v>74</v>
      </c>
      <c r="AZ292" t="s">
        <v>74</v>
      </c>
      <c r="BA292" t="s">
        <v>74</v>
      </c>
      <c r="BB292" t="s">
        <v>74</v>
      </c>
      <c r="BC292" t="s">
        <v>74</v>
      </c>
      <c r="BD292">
        <v>47</v>
      </c>
      <c r="BE292" t="s">
        <v>5578</v>
      </c>
      <c r="BF292" t="str">
        <f>HYPERLINK("http://dx.doi.org/10.3390/md21010047","http://dx.doi.org/10.3390/md21010047")</f>
        <v>http://dx.doi.org/10.3390/md21010047</v>
      </c>
      <c r="BG292" t="s">
        <v>74</v>
      </c>
      <c r="BH292" t="s">
        <v>74</v>
      </c>
      <c r="BI292">
        <v>14</v>
      </c>
      <c r="BJ292" t="s">
        <v>5579</v>
      </c>
      <c r="BK292" t="s">
        <v>104</v>
      </c>
      <c r="BL292" t="s">
        <v>5580</v>
      </c>
      <c r="BM292" t="s">
        <v>5581</v>
      </c>
      <c r="BN292">
        <v>36662220</v>
      </c>
      <c r="BO292" t="s">
        <v>192</v>
      </c>
      <c r="BP292" t="s">
        <v>74</v>
      </c>
      <c r="BQ292" t="s">
        <v>74</v>
      </c>
      <c r="BR292" t="s">
        <v>108</v>
      </c>
      <c r="BS292" t="s">
        <v>5582</v>
      </c>
      <c r="BT292" t="str">
        <f>HYPERLINK("https%3A%2F%2Fwww.webofscience.com%2Fwos%2Fwoscc%2Ffull-record%2FWOS:000915155000001","View Full Record in Web of Science")</f>
        <v>View Full Record in Web of Science</v>
      </c>
    </row>
    <row r="293" spans="1:72" x14ac:dyDescent="0.15">
      <c r="A293" t="s">
        <v>72</v>
      </c>
      <c r="B293" t="s">
        <v>5583</v>
      </c>
      <c r="C293" t="s">
        <v>74</v>
      </c>
      <c r="D293" t="s">
        <v>74</v>
      </c>
      <c r="E293" t="s">
        <v>74</v>
      </c>
      <c r="F293" t="s">
        <v>5584</v>
      </c>
      <c r="G293" t="s">
        <v>74</v>
      </c>
      <c r="H293" t="s">
        <v>74</v>
      </c>
      <c r="I293" t="s">
        <v>5585</v>
      </c>
      <c r="J293" t="s">
        <v>5586</v>
      </c>
      <c r="K293" t="s">
        <v>74</v>
      </c>
      <c r="L293" t="s">
        <v>74</v>
      </c>
      <c r="M293" t="s">
        <v>78</v>
      </c>
      <c r="N293" t="s">
        <v>79</v>
      </c>
      <c r="O293" t="s">
        <v>74</v>
      </c>
      <c r="P293" t="s">
        <v>74</v>
      </c>
      <c r="Q293" t="s">
        <v>74</v>
      </c>
      <c r="R293" t="s">
        <v>74</v>
      </c>
      <c r="S293" t="s">
        <v>74</v>
      </c>
      <c r="T293" t="s">
        <v>5587</v>
      </c>
      <c r="U293" t="s">
        <v>5588</v>
      </c>
      <c r="V293" t="s">
        <v>5589</v>
      </c>
      <c r="W293" t="s">
        <v>5590</v>
      </c>
      <c r="X293" t="s">
        <v>5591</v>
      </c>
      <c r="Y293" t="s">
        <v>5592</v>
      </c>
      <c r="Z293" t="s">
        <v>5593</v>
      </c>
      <c r="AA293" t="s">
        <v>5594</v>
      </c>
      <c r="AB293" t="s">
        <v>5595</v>
      </c>
      <c r="AC293" t="s">
        <v>5596</v>
      </c>
      <c r="AD293" t="s">
        <v>5597</v>
      </c>
      <c r="AE293" t="s">
        <v>5598</v>
      </c>
      <c r="AF293" t="s">
        <v>74</v>
      </c>
      <c r="AG293">
        <v>37</v>
      </c>
      <c r="AH293">
        <v>4</v>
      </c>
      <c r="AI293">
        <v>4</v>
      </c>
      <c r="AJ293">
        <v>14</v>
      </c>
      <c r="AK293">
        <v>34</v>
      </c>
      <c r="AL293" t="s">
        <v>2255</v>
      </c>
      <c r="AM293" t="s">
        <v>2256</v>
      </c>
      <c r="AN293" t="s">
        <v>2257</v>
      </c>
      <c r="AO293" t="s">
        <v>5599</v>
      </c>
      <c r="AP293" t="s">
        <v>5600</v>
      </c>
      <c r="AQ293" t="s">
        <v>74</v>
      </c>
      <c r="AR293" t="s">
        <v>5601</v>
      </c>
      <c r="AS293" t="s">
        <v>5602</v>
      </c>
      <c r="AT293" t="s">
        <v>276</v>
      </c>
      <c r="AU293">
        <v>2023</v>
      </c>
      <c r="AV293">
        <v>27</v>
      </c>
      <c r="AW293">
        <v>1</v>
      </c>
      <c r="AX293" t="s">
        <v>74</v>
      </c>
      <c r="AY293" t="s">
        <v>74</v>
      </c>
      <c r="AZ293" t="s">
        <v>74</v>
      </c>
      <c r="BA293" t="s">
        <v>74</v>
      </c>
      <c r="BB293" t="s">
        <v>74</v>
      </c>
      <c r="BC293" t="s">
        <v>74</v>
      </c>
      <c r="BD293">
        <v>57</v>
      </c>
      <c r="BE293" t="s">
        <v>5603</v>
      </c>
      <c r="BF293" t="str">
        <f>HYPERLINK("http://dx.doi.org/10.1007/s10291-022-01392-3","http://dx.doi.org/10.1007/s10291-022-01392-3")</f>
        <v>http://dx.doi.org/10.1007/s10291-022-01392-3</v>
      </c>
      <c r="BG293" t="s">
        <v>74</v>
      </c>
      <c r="BH293" t="s">
        <v>74</v>
      </c>
      <c r="BI293">
        <v>13</v>
      </c>
      <c r="BJ293" t="s">
        <v>5604</v>
      </c>
      <c r="BK293" t="s">
        <v>104</v>
      </c>
      <c r="BL293" t="s">
        <v>5604</v>
      </c>
      <c r="BM293" t="s">
        <v>5605</v>
      </c>
      <c r="BN293" t="s">
        <v>74</v>
      </c>
      <c r="BO293" t="s">
        <v>74</v>
      </c>
      <c r="BP293" t="s">
        <v>74</v>
      </c>
      <c r="BQ293" t="s">
        <v>74</v>
      </c>
      <c r="BR293" t="s">
        <v>108</v>
      </c>
      <c r="BS293" t="s">
        <v>5606</v>
      </c>
      <c r="BT293" t="str">
        <f>HYPERLINK("https%3A%2F%2Fwww.webofscience.com%2Fwos%2Fwoscc%2Ffull-record%2FWOS:000912385200001","View Full Record in Web of Science")</f>
        <v>View Full Record in Web of Science</v>
      </c>
    </row>
    <row r="294" spans="1:72" x14ac:dyDescent="0.15">
      <c r="A294" t="s">
        <v>72</v>
      </c>
      <c r="B294" t="s">
        <v>5607</v>
      </c>
      <c r="C294" t="s">
        <v>74</v>
      </c>
      <c r="D294" t="s">
        <v>74</v>
      </c>
      <c r="E294" t="s">
        <v>74</v>
      </c>
      <c r="F294" t="s">
        <v>5608</v>
      </c>
      <c r="G294" t="s">
        <v>74</v>
      </c>
      <c r="H294" t="s">
        <v>74</v>
      </c>
      <c r="I294" t="s">
        <v>5609</v>
      </c>
      <c r="J294" t="s">
        <v>5610</v>
      </c>
      <c r="K294" t="s">
        <v>74</v>
      </c>
      <c r="L294" t="s">
        <v>74</v>
      </c>
      <c r="M294" t="s">
        <v>78</v>
      </c>
      <c r="N294" t="s">
        <v>79</v>
      </c>
      <c r="O294" t="s">
        <v>74</v>
      </c>
      <c r="P294" t="s">
        <v>74</v>
      </c>
      <c r="Q294" t="s">
        <v>74</v>
      </c>
      <c r="R294" t="s">
        <v>74</v>
      </c>
      <c r="S294" t="s">
        <v>74</v>
      </c>
      <c r="T294" t="s">
        <v>5611</v>
      </c>
      <c r="U294" t="s">
        <v>5612</v>
      </c>
      <c r="V294" t="s">
        <v>5613</v>
      </c>
      <c r="W294" t="s">
        <v>5614</v>
      </c>
      <c r="X294" t="s">
        <v>5615</v>
      </c>
      <c r="Y294" t="s">
        <v>5616</v>
      </c>
      <c r="Z294" t="s">
        <v>5617</v>
      </c>
      <c r="AA294" t="s">
        <v>5618</v>
      </c>
      <c r="AB294" t="s">
        <v>5619</v>
      </c>
      <c r="AC294" t="s">
        <v>5620</v>
      </c>
      <c r="AD294" t="s">
        <v>5621</v>
      </c>
      <c r="AE294" t="s">
        <v>5622</v>
      </c>
      <c r="AF294" t="s">
        <v>74</v>
      </c>
      <c r="AG294">
        <v>66</v>
      </c>
      <c r="AH294">
        <v>3</v>
      </c>
      <c r="AI294">
        <v>3</v>
      </c>
      <c r="AJ294">
        <v>2</v>
      </c>
      <c r="AK294">
        <v>13</v>
      </c>
      <c r="AL294" t="s">
        <v>5623</v>
      </c>
      <c r="AM294" t="s">
        <v>5624</v>
      </c>
      <c r="AN294" t="s">
        <v>5625</v>
      </c>
      <c r="AO294" t="s">
        <v>5626</v>
      </c>
      <c r="AP294" t="s">
        <v>5627</v>
      </c>
      <c r="AQ294" t="s">
        <v>74</v>
      </c>
      <c r="AR294" t="s">
        <v>5628</v>
      </c>
      <c r="AS294" t="s">
        <v>5629</v>
      </c>
      <c r="AT294" t="s">
        <v>2592</v>
      </c>
      <c r="AU294">
        <v>2023</v>
      </c>
      <c r="AV294">
        <v>942</v>
      </c>
      <c r="AW294">
        <v>1</v>
      </c>
      <c r="AX294" t="s">
        <v>74</v>
      </c>
      <c r="AY294" t="s">
        <v>74</v>
      </c>
      <c r="AZ294" t="s">
        <v>74</v>
      </c>
      <c r="BA294" t="s">
        <v>74</v>
      </c>
      <c r="BB294" t="s">
        <v>74</v>
      </c>
      <c r="BC294" t="s">
        <v>74</v>
      </c>
      <c r="BD294">
        <v>11</v>
      </c>
      <c r="BE294" t="s">
        <v>5630</v>
      </c>
      <c r="BF294" t="str">
        <f>HYPERLINK("http://dx.doi.org/10.3847/1538-4357/ac9a45","http://dx.doi.org/10.3847/1538-4357/ac9a45")</f>
        <v>http://dx.doi.org/10.3847/1538-4357/ac9a45</v>
      </c>
      <c r="BG294" t="s">
        <v>74</v>
      </c>
      <c r="BH294" t="s">
        <v>74</v>
      </c>
      <c r="BI294">
        <v>11</v>
      </c>
      <c r="BJ294" t="s">
        <v>5631</v>
      </c>
      <c r="BK294" t="s">
        <v>104</v>
      </c>
      <c r="BL294" t="s">
        <v>5631</v>
      </c>
      <c r="BM294" t="s">
        <v>5632</v>
      </c>
      <c r="BN294" t="s">
        <v>74</v>
      </c>
      <c r="BO294" t="s">
        <v>1464</v>
      </c>
      <c r="BP294" t="s">
        <v>74</v>
      </c>
      <c r="BQ294" t="s">
        <v>74</v>
      </c>
      <c r="BR294" t="s">
        <v>108</v>
      </c>
      <c r="BS294" t="s">
        <v>5633</v>
      </c>
      <c r="BT294" t="str">
        <f>HYPERLINK("https%3A%2F%2Fwww.webofscience.com%2Fwos%2Fwoscc%2Ffull-record%2FWOS:000905281000001","View Full Record in Web of Science")</f>
        <v>View Full Record in Web of Science</v>
      </c>
    </row>
    <row r="295" spans="1:72" x14ac:dyDescent="0.15">
      <c r="A295" t="s">
        <v>72</v>
      </c>
      <c r="B295" t="s">
        <v>5634</v>
      </c>
      <c r="C295" t="s">
        <v>74</v>
      </c>
      <c r="D295" t="s">
        <v>74</v>
      </c>
      <c r="E295" t="s">
        <v>74</v>
      </c>
      <c r="F295" t="s">
        <v>5635</v>
      </c>
      <c r="G295" t="s">
        <v>74</v>
      </c>
      <c r="H295" t="s">
        <v>74</v>
      </c>
      <c r="I295" t="s">
        <v>5636</v>
      </c>
      <c r="J295" t="s">
        <v>5637</v>
      </c>
      <c r="K295" t="s">
        <v>74</v>
      </c>
      <c r="L295" t="s">
        <v>74</v>
      </c>
      <c r="M295" t="s">
        <v>78</v>
      </c>
      <c r="N295" t="s">
        <v>256</v>
      </c>
      <c r="O295" t="s">
        <v>74</v>
      </c>
      <c r="P295" t="s">
        <v>74</v>
      </c>
      <c r="Q295" t="s">
        <v>74</v>
      </c>
      <c r="R295" t="s">
        <v>74</v>
      </c>
      <c r="S295" t="s">
        <v>74</v>
      </c>
      <c r="T295" t="s">
        <v>5638</v>
      </c>
      <c r="U295" t="s">
        <v>5639</v>
      </c>
      <c r="V295" t="s">
        <v>5640</v>
      </c>
      <c r="W295" t="s">
        <v>5641</v>
      </c>
      <c r="X295" t="s">
        <v>5642</v>
      </c>
      <c r="Y295" t="s">
        <v>5643</v>
      </c>
      <c r="Z295" t="s">
        <v>5644</v>
      </c>
      <c r="AA295" t="s">
        <v>74</v>
      </c>
      <c r="AB295" t="s">
        <v>5645</v>
      </c>
      <c r="AC295" t="s">
        <v>74</v>
      </c>
      <c r="AD295" t="s">
        <v>74</v>
      </c>
      <c r="AE295" t="s">
        <v>74</v>
      </c>
      <c r="AF295" t="s">
        <v>74</v>
      </c>
      <c r="AG295">
        <v>153</v>
      </c>
      <c r="AH295">
        <v>7</v>
      </c>
      <c r="AI295">
        <v>7</v>
      </c>
      <c r="AJ295">
        <v>52</v>
      </c>
      <c r="AK295">
        <v>115</v>
      </c>
      <c r="AL295" t="s">
        <v>4886</v>
      </c>
      <c r="AM295" t="s">
        <v>4887</v>
      </c>
      <c r="AN295" t="s">
        <v>4888</v>
      </c>
      <c r="AO295" t="s">
        <v>5646</v>
      </c>
      <c r="AP295" t="s">
        <v>74</v>
      </c>
      <c r="AQ295" t="s">
        <v>74</v>
      </c>
      <c r="AR295" t="s">
        <v>5647</v>
      </c>
      <c r="AS295" t="s">
        <v>5648</v>
      </c>
      <c r="AT295" t="s">
        <v>276</v>
      </c>
      <c r="AU295">
        <v>2023</v>
      </c>
      <c r="AV295">
        <v>13</v>
      </c>
      <c r="AW295">
        <v>1</v>
      </c>
      <c r="AX295" t="s">
        <v>74</v>
      </c>
      <c r="AY295" t="s">
        <v>74</v>
      </c>
      <c r="AZ295" t="s">
        <v>74</v>
      </c>
      <c r="BA295" t="s">
        <v>74</v>
      </c>
      <c r="BB295" t="s">
        <v>74</v>
      </c>
      <c r="BC295" t="s">
        <v>74</v>
      </c>
      <c r="BD295">
        <v>162</v>
      </c>
      <c r="BE295" t="s">
        <v>5649</v>
      </c>
      <c r="BF295" t="str">
        <f>HYPERLINK("http://dx.doi.org/10.3390/ani13010162","http://dx.doi.org/10.3390/ani13010162")</f>
        <v>http://dx.doi.org/10.3390/ani13010162</v>
      </c>
      <c r="BG295" t="s">
        <v>74</v>
      </c>
      <c r="BH295" t="s">
        <v>74</v>
      </c>
      <c r="BI295">
        <v>20</v>
      </c>
      <c r="BJ295" t="s">
        <v>5650</v>
      </c>
      <c r="BK295" t="s">
        <v>104</v>
      </c>
      <c r="BL295" t="s">
        <v>5651</v>
      </c>
      <c r="BM295" t="s">
        <v>5652</v>
      </c>
      <c r="BN295">
        <v>36611770</v>
      </c>
      <c r="BO295" t="s">
        <v>192</v>
      </c>
      <c r="BP295" t="s">
        <v>74</v>
      </c>
      <c r="BQ295" t="s">
        <v>74</v>
      </c>
      <c r="BR295" t="s">
        <v>108</v>
      </c>
      <c r="BS295" t="s">
        <v>5653</v>
      </c>
      <c r="BT295" t="str">
        <f>HYPERLINK("https%3A%2F%2Fwww.webofscience.com%2Fwos%2Fwoscc%2Ffull-record%2FWOS:000908488900001","View Full Record in Web of Science")</f>
        <v>View Full Record in Web of Science</v>
      </c>
    </row>
    <row r="296" spans="1:72" x14ac:dyDescent="0.15">
      <c r="A296" t="s">
        <v>72</v>
      </c>
      <c r="B296" t="s">
        <v>5654</v>
      </c>
      <c r="C296" t="s">
        <v>74</v>
      </c>
      <c r="D296" t="s">
        <v>74</v>
      </c>
      <c r="E296" t="s">
        <v>74</v>
      </c>
      <c r="F296" t="s">
        <v>5655</v>
      </c>
      <c r="G296" t="s">
        <v>74</v>
      </c>
      <c r="H296" t="s">
        <v>74</v>
      </c>
      <c r="I296" t="s">
        <v>5656</v>
      </c>
      <c r="J296" t="s">
        <v>5540</v>
      </c>
      <c r="K296" t="s">
        <v>74</v>
      </c>
      <c r="L296" t="s">
        <v>74</v>
      </c>
      <c r="M296" t="s">
        <v>78</v>
      </c>
      <c r="N296" t="s">
        <v>79</v>
      </c>
      <c r="O296" t="s">
        <v>74</v>
      </c>
      <c r="P296" t="s">
        <v>74</v>
      </c>
      <c r="Q296" t="s">
        <v>74</v>
      </c>
      <c r="R296" t="s">
        <v>74</v>
      </c>
      <c r="S296" t="s">
        <v>74</v>
      </c>
      <c r="T296" t="s">
        <v>5657</v>
      </c>
      <c r="U296" t="s">
        <v>5658</v>
      </c>
      <c r="V296" t="s">
        <v>5659</v>
      </c>
      <c r="W296" t="s">
        <v>5660</v>
      </c>
      <c r="X296" t="s">
        <v>5661</v>
      </c>
      <c r="Y296" t="s">
        <v>5662</v>
      </c>
      <c r="Z296" t="s">
        <v>5663</v>
      </c>
      <c r="AA296" t="s">
        <v>5664</v>
      </c>
      <c r="AB296" t="s">
        <v>5665</v>
      </c>
      <c r="AC296" t="s">
        <v>5666</v>
      </c>
      <c r="AD296" t="s">
        <v>5667</v>
      </c>
      <c r="AE296" t="s">
        <v>5668</v>
      </c>
      <c r="AF296" t="s">
        <v>74</v>
      </c>
      <c r="AG296">
        <v>92</v>
      </c>
      <c r="AH296">
        <v>0</v>
      </c>
      <c r="AI296">
        <v>0</v>
      </c>
      <c r="AJ296">
        <v>1</v>
      </c>
      <c r="AK296">
        <v>5</v>
      </c>
      <c r="AL296" t="s">
        <v>2255</v>
      </c>
      <c r="AM296" t="s">
        <v>2256</v>
      </c>
      <c r="AN296" t="s">
        <v>2257</v>
      </c>
      <c r="AO296" t="s">
        <v>5553</v>
      </c>
      <c r="AP296" t="s">
        <v>5554</v>
      </c>
      <c r="AQ296" t="s">
        <v>74</v>
      </c>
      <c r="AR296" t="s">
        <v>5555</v>
      </c>
      <c r="AS296" t="s">
        <v>5556</v>
      </c>
      <c r="AT296" t="s">
        <v>276</v>
      </c>
      <c r="AU296">
        <v>2023</v>
      </c>
      <c r="AV296">
        <v>170</v>
      </c>
      <c r="AW296">
        <v>1</v>
      </c>
      <c r="AX296" t="s">
        <v>74</v>
      </c>
      <c r="AY296" t="s">
        <v>74</v>
      </c>
      <c r="AZ296" t="s">
        <v>74</v>
      </c>
      <c r="BA296" t="s">
        <v>74</v>
      </c>
      <c r="BB296" t="s">
        <v>74</v>
      </c>
      <c r="BC296" t="s">
        <v>74</v>
      </c>
      <c r="BD296">
        <v>10</v>
      </c>
      <c r="BE296" t="s">
        <v>5669</v>
      </c>
      <c r="BF296" t="str">
        <f>HYPERLINK("http://dx.doi.org/10.1007/s00227-022-04156-2","http://dx.doi.org/10.1007/s00227-022-04156-2")</f>
        <v>http://dx.doi.org/10.1007/s00227-022-04156-2</v>
      </c>
      <c r="BG296" t="s">
        <v>74</v>
      </c>
      <c r="BH296" t="s">
        <v>74</v>
      </c>
      <c r="BI296">
        <v>15</v>
      </c>
      <c r="BJ296" t="s">
        <v>2572</v>
      </c>
      <c r="BK296" t="s">
        <v>104</v>
      </c>
      <c r="BL296" t="s">
        <v>2572</v>
      </c>
      <c r="BM296" t="s">
        <v>5670</v>
      </c>
      <c r="BN296" t="s">
        <v>74</v>
      </c>
      <c r="BO296" t="s">
        <v>5671</v>
      </c>
      <c r="BP296" t="s">
        <v>74</v>
      </c>
      <c r="BQ296" t="s">
        <v>74</v>
      </c>
      <c r="BR296" t="s">
        <v>108</v>
      </c>
      <c r="BS296" t="s">
        <v>5672</v>
      </c>
      <c r="BT296" t="str">
        <f>HYPERLINK("https%3A%2F%2Fwww.webofscience.com%2Fwos%2Fwoscc%2Ffull-record%2FWOS:000905023900001","View Full Record in Web of Science")</f>
        <v>View Full Record in Web of Science</v>
      </c>
    </row>
    <row r="297" spans="1:72" x14ac:dyDescent="0.15">
      <c r="A297" t="s">
        <v>72</v>
      </c>
      <c r="B297" t="s">
        <v>5673</v>
      </c>
      <c r="C297" t="s">
        <v>74</v>
      </c>
      <c r="D297" t="s">
        <v>74</v>
      </c>
      <c r="E297" t="s">
        <v>74</v>
      </c>
      <c r="F297" t="s">
        <v>5674</v>
      </c>
      <c r="G297" t="s">
        <v>74</v>
      </c>
      <c r="H297" t="s">
        <v>74</v>
      </c>
      <c r="I297" t="s">
        <v>5675</v>
      </c>
      <c r="J297" t="s">
        <v>5676</v>
      </c>
      <c r="K297" t="s">
        <v>74</v>
      </c>
      <c r="L297" t="s">
        <v>74</v>
      </c>
      <c r="M297" t="s">
        <v>78</v>
      </c>
      <c r="N297" t="s">
        <v>79</v>
      </c>
      <c r="O297" t="s">
        <v>74</v>
      </c>
      <c r="P297" t="s">
        <v>74</v>
      </c>
      <c r="Q297" t="s">
        <v>74</v>
      </c>
      <c r="R297" t="s">
        <v>74</v>
      </c>
      <c r="S297" t="s">
        <v>74</v>
      </c>
      <c r="T297" t="s">
        <v>5677</v>
      </c>
      <c r="U297" t="s">
        <v>5678</v>
      </c>
      <c r="V297" t="s">
        <v>5679</v>
      </c>
      <c r="W297" t="s">
        <v>5680</v>
      </c>
      <c r="X297" t="s">
        <v>5681</v>
      </c>
      <c r="Y297" t="s">
        <v>5682</v>
      </c>
      <c r="Z297" t="s">
        <v>5683</v>
      </c>
      <c r="AA297" t="s">
        <v>5684</v>
      </c>
      <c r="AB297" t="s">
        <v>5685</v>
      </c>
      <c r="AC297" t="s">
        <v>5686</v>
      </c>
      <c r="AD297" t="s">
        <v>5687</v>
      </c>
      <c r="AE297" t="s">
        <v>5688</v>
      </c>
      <c r="AF297" t="s">
        <v>74</v>
      </c>
      <c r="AG297">
        <v>74</v>
      </c>
      <c r="AH297">
        <v>0</v>
      </c>
      <c r="AI297">
        <v>0</v>
      </c>
      <c r="AJ297">
        <v>0</v>
      </c>
      <c r="AK297">
        <v>12</v>
      </c>
      <c r="AL297" t="s">
        <v>297</v>
      </c>
      <c r="AM297" t="s">
        <v>298</v>
      </c>
      <c r="AN297" t="s">
        <v>299</v>
      </c>
      <c r="AO297" t="s">
        <v>5689</v>
      </c>
      <c r="AP297" t="s">
        <v>74</v>
      </c>
      <c r="AQ297" t="s">
        <v>74</v>
      </c>
      <c r="AR297" t="s">
        <v>5690</v>
      </c>
      <c r="AS297" t="s">
        <v>5691</v>
      </c>
      <c r="AT297" t="s">
        <v>276</v>
      </c>
      <c r="AU297">
        <v>2023</v>
      </c>
      <c r="AV297">
        <v>13</v>
      </c>
      <c r="AW297">
        <v>1</v>
      </c>
      <c r="AX297" t="s">
        <v>74</v>
      </c>
      <c r="AY297" t="s">
        <v>74</v>
      </c>
      <c r="AZ297" t="s">
        <v>74</v>
      </c>
      <c r="BA297" t="s">
        <v>74</v>
      </c>
      <c r="BB297" t="s">
        <v>74</v>
      </c>
      <c r="BC297" t="s">
        <v>74</v>
      </c>
      <c r="BD297" t="s">
        <v>5692</v>
      </c>
      <c r="BE297" t="s">
        <v>5693</v>
      </c>
      <c r="BF297" t="str">
        <f>HYPERLINK("http://dx.doi.org/10.1002/ece3.9681","http://dx.doi.org/10.1002/ece3.9681")</f>
        <v>http://dx.doi.org/10.1002/ece3.9681</v>
      </c>
      <c r="BG297" t="s">
        <v>74</v>
      </c>
      <c r="BH297" t="s">
        <v>74</v>
      </c>
      <c r="BI297">
        <v>17</v>
      </c>
      <c r="BJ297" t="s">
        <v>5694</v>
      </c>
      <c r="BK297" t="s">
        <v>104</v>
      </c>
      <c r="BL297" t="s">
        <v>5695</v>
      </c>
      <c r="BM297" t="s">
        <v>5696</v>
      </c>
      <c r="BN297">
        <v>36620413</v>
      </c>
      <c r="BO297" t="s">
        <v>3181</v>
      </c>
      <c r="BP297" t="s">
        <v>74</v>
      </c>
      <c r="BQ297" t="s">
        <v>74</v>
      </c>
      <c r="BR297" t="s">
        <v>108</v>
      </c>
      <c r="BS297" t="s">
        <v>5697</v>
      </c>
      <c r="BT297" t="str">
        <f>HYPERLINK("https%3A%2F%2Fwww.webofscience.com%2Fwos%2Fwoscc%2Ffull-record%2FWOS:000907088500001","View Full Record in Web of Science")</f>
        <v>View Full Record in Web of Science</v>
      </c>
    </row>
    <row r="298" spans="1:72" x14ac:dyDescent="0.15">
      <c r="A298" t="s">
        <v>72</v>
      </c>
      <c r="B298" t="s">
        <v>5698</v>
      </c>
      <c r="C298" t="s">
        <v>74</v>
      </c>
      <c r="D298" t="s">
        <v>74</v>
      </c>
      <c r="E298" t="s">
        <v>74</v>
      </c>
      <c r="F298" t="s">
        <v>5699</v>
      </c>
      <c r="G298" t="s">
        <v>74</v>
      </c>
      <c r="H298" t="s">
        <v>74</v>
      </c>
      <c r="I298" t="s">
        <v>5700</v>
      </c>
      <c r="J298" t="s">
        <v>5701</v>
      </c>
      <c r="K298" t="s">
        <v>74</v>
      </c>
      <c r="L298" t="s">
        <v>74</v>
      </c>
      <c r="M298" t="s">
        <v>78</v>
      </c>
      <c r="N298" t="s">
        <v>79</v>
      </c>
      <c r="O298" t="s">
        <v>74</v>
      </c>
      <c r="P298" t="s">
        <v>74</v>
      </c>
      <c r="Q298" t="s">
        <v>74</v>
      </c>
      <c r="R298" t="s">
        <v>74</v>
      </c>
      <c r="S298" t="s">
        <v>74</v>
      </c>
      <c r="T298" t="s">
        <v>5702</v>
      </c>
      <c r="U298" t="s">
        <v>5703</v>
      </c>
      <c r="V298" t="s">
        <v>5704</v>
      </c>
      <c r="W298" t="s">
        <v>5705</v>
      </c>
      <c r="X298" t="s">
        <v>5706</v>
      </c>
      <c r="Y298" t="s">
        <v>5707</v>
      </c>
      <c r="Z298" t="s">
        <v>5708</v>
      </c>
      <c r="AA298" t="s">
        <v>5709</v>
      </c>
      <c r="AB298" t="s">
        <v>5710</v>
      </c>
      <c r="AC298" t="s">
        <v>5711</v>
      </c>
      <c r="AD298" t="s">
        <v>5712</v>
      </c>
      <c r="AE298" t="s">
        <v>5713</v>
      </c>
      <c r="AF298" t="s">
        <v>74</v>
      </c>
      <c r="AG298">
        <v>81</v>
      </c>
      <c r="AH298">
        <v>4</v>
      </c>
      <c r="AI298">
        <v>5</v>
      </c>
      <c r="AJ298">
        <v>26</v>
      </c>
      <c r="AK298">
        <v>71</v>
      </c>
      <c r="AL298" t="s">
        <v>5623</v>
      </c>
      <c r="AM298" t="s">
        <v>5624</v>
      </c>
      <c r="AN298" t="s">
        <v>5625</v>
      </c>
      <c r="AO298" t="s">
        <v>5714</v>
      </c>
      <c r="AP298" t="s">
        <v>74</v>
      </c>
      <c r="AQ298" t="s">
        <v>74</v>
      </c>
      <c r="AR298" t="s">
        <v>5715</v>
      </c>
      <c r="AS298" t="s">
        <v>5716</v>
      </c>
      <c r="AT298" t="s">
        <v>2592</v>
      </c>
      <c r="AU298">
        <v>2023</v>
      </c>
      <c r="AV298">
        <v>18</v>
      </c>
      <c r="AW298">
        <v>1</v>
      </c>
      <c r="AX298" t="s">
        <v>74</v>
      </c>
      <c r="AY298" t="s">
        <v>74</v>
      </c>
      <c r="AZ298" t="s">
        <v>74</v>
      </c>
      <c r="BA298" t="s">
        <v>74</v>
      </c>
      <c r="BB298" t="s">
        <v>74</v>
      </c>
      <c r="BC298" t="s">
        <v>74</v>
      </c>
      <c r="BD298">
        <v>14006</v>
      </c>
      <c r="BE298" t="s">
        <v>5717</v>
      </c>
      <c r="BF298" t="str">
        <f>HYPERLINK("http://dx.doi.org/10.1088/1748-9326/aca780","http://dx.doi.org/10.1088/1748-9326/aca780")</f>
        <v>http://dx.doi.org/10.1088/1748-9326/aca780</v>
      </c>
      <c r="BG298" t="s">
        <v>74</v>
      </c>
      <c r="BH298" t="s">
        <v>74</v>
      </c>
      <c r="BI298">
        <v>12</v>
      </c>
      <c r="BJ298" t="s">
        <v>5429</v>
      </c>
      <c r="BK298" t="s">
        <v>104</v>
      </c>
      <c r="BL298" t="s">
        <v>355</v>
      </c>
      <c r="BM298" t="s">
        <v>5718</v>
      </c>
      <c r="BN298" t="s">
        <v>74</v>
      </c>
      <c r="BO298" t="s">
        <v>5719</v>
      </c>
      <c r="BP298" t="s">
        <v>74</v>
      </c>
      <c r="BQ298" t="s">
        <v>74</v>
      </c>
      <c r="BR298" t="s">
        <v>108</v>
      </c>
      <c r="BS298" t="s">
        <v>5720</v>
      </c>
      <c r="BT298" t="str">
        <f>HYPERLINK("https%3A%2F%2Fwww.webofscience.com%2Fwos%2Fwoscc%2Ffull-record%2FWOS:000898901400001","View Full Record in Web of Science")</f>
        <v>View Full Record in Web of Science</v>
      </c>
    </row>
    <row r="299" spans="1:72" x14ac:dyDescent="0.15">
      <c r="A299" t="s">
        <v>72</v>
      </c>
      <c r="B299" t="s">
        <v>5721</v>
      </c>
      <c r="C299" t="s">
        <v>74</v>
      </c>
      <c r="D299" t="s">
        <v>74</v>
      </c>
      <c r="E299" t="s">
        <v>74</v>
      </c>
      <c r="F299" t="s">
        <v>5722</v>
      </c>
      <c r="G299" t="s">
        <v>74</v>
      </c>
      <c r="H299" t="s">
        <v>74</v>
      </c>
      <c r="I299" t="s">
        <v>5723</v>
      </c>
      <c r="J299" t="s">
        <v>5586</v>
      </c>
      <c r="K299" t="s">
        <v>74</v>
      </c>
      <c r="L299" t="s">
        <v>74</v>
      </c>
      <c r="M299" t="s">
        <v>78</v>
      </c>
      <c r="N299" t="s">
        <v>79</v>
      </c>
      <c r="O299" t="s">
        <v>74</v>
      </c>
      <c r="P299" t="s">
        <v>74</v>
      </c>
      <c r="Q299" t="s">
        <v>74</v>
      </c>
      <c r="R299" t="s">
        <v>74</v>
      </c>
      <c r="S299" t="s">
        <v>74</v>
      </c>
      <c r="T299" t="s">
        <v>5724</v>
      </c>
      <c r="U299" t="s">
        <v>5725</v>
      </c>
      <c r="V299" t="s">
        <v>5726</v>
      </c>
      <c r="W299" t="s">
        <v>5727</v>
      </c>
      <c r="X299" t="s">
        <v>5728</v>
      </c>
      <c r="Y299" t="s">
        <v>5729</v>
      </c>
      <c r="Z299" t="s">
        <v>5730</v>
      </c>
      <c r="AA299" t="s">
        <v>5731</v>
      </c>
      <c r="AB299" t="s">
        <v>74</v>
      </c>
      <c r="AC299" t="s">
        <v>5732</v>
      </c>
      <c r="AD299" t="s">
        <v>5733</v>
      </c>
      <c r="AE299" t="s">
        <v>5734</v>
      </c>
      <c r="AF299" t="s">
        <v>74</v>
      </c>
      <c r="AG299">
        <v>45</v>
      </c>
      <c r="AH299">
        <v>0</v>
      </c>
      <c r="AI299">
        <v>0</v>
      </c>
      <c r="AJ299">
        <v>17</v>
      </c>
      <c r="AK299">
        <v>44</v>
      </c>
      <c r="AL299" t="s">
        <v>2255</v>
      </c>
      <c r="AM299" t="s">
        <v>2256</v>
      </c>
      <c r="AN299" t="s">
        <v>2257</v>
      </c>
      <c r="AO299" t="s">
        <v>5599</v>
      </c>
      <c r="AP299" t="s">
        <v>5600</v>
      </c>
      <c r="AQ299" t="s">
        <v>74</v>
      </c>
      <c r="AR299" t="s">
        <v>5601</v>
      </c>
      <c r="AS299" t="s">
        <v>5602</v>
      </c>
      <c r="AT299" t="s">
        <v>276</v>
      </c>
      <c r="AU299">
        <v>2023</v>
      </c>
      <c r="AV299">
        <v>27</v>
      </c>
      <c r="AW299">
        <v>1</v>
      </c>
      <c r="AX299" t="s">
        <v>74</v>
      </c>
      <c r="AY299" t="s">
        <v>74</v>
      </c>
      <c r="AZ299" t="s">
        <v>74</v>
      </c>
      <c r="BA299" t="s">
        <v>74</v>
      </c>
      <c r="BB299" t="s">
        <v>74</v>
      </c>
      <c r="BC299" t="s">
        <v>74</v>
      </c>
      <c r="BD299">
        <v>36</v>
      </c>
      <c r="BE299" t="s">
        <v>5735</v>
      </c>
      <c r="BF299" t="str">
        <f>HYPERLINK("http://dx.doi.org/10.1007/s10291-022-01373-6","http://dx.doi.org/10.1007/s10291-022-01373-6")</f>
        <v>http://dx.doi.org/10.1007/s10291-022-01373-6</v>
      </c>
      <c r="BG299" t="s">
        <v>74</v>
      </c>
      <c r="BH299" t="s">
        <v>74</v>
      </c>
      <c r="BI299">
        <v>12</v>
      </c>
      <c r="BJ299" t="s">
        <v>5604</v>
      </c>
      <c r="BK299" t="s">
        <v>104</v>
      </c>
      <c r="BL299" t="s">
        <v>5604</v>
      </c>
      <c r="BM299" t="s">
        <v>5736</v>
      </c>
      <c r="BN299" t="s">
        <v>74</v>
      </c>
      <c r="BO299" t="s">
        <v>219</v>
      </c>
      <c r="BP299" t="s">
        <v>74</v>
      </c>
      <c r="BQ299" t="s">
        <v>74</v>
      </c>
      <c r="BR299" t="s">
        <v>108</v>
      </c>
      <c r="BS299" t="s">
        <v>5737</v>
      </c>
      <c r="BT299" t="str">
        <f>HYPERLINK("https%3A%2F%2Fwww.webofscience.com%2Fwos%2Fwoscc%2Ffull-record%2FWOS:000894946300001","View Full Record in Web of Science")</f>
        <v>View Full Record in Web of Science</v>
      </c>
    </row>
    <row r="300" spans="1:72" x14ac:dyDescent="0.15">
      <c r="A300" t="s">
        <v>72</v>
      </c>
      <c r="B300" t="s">
        <v>5738</v>
      </c>
      <c r="C300" t="s">
        <v>74</v>
      </c>
      <c r="D300" t="s">
        <v>74</v>
      </c>
      <c r="E300" t="s">
        <v>74</v>
      </c>
      <c r="F300" t="s">
        <v>5739</v>
      </c>
      <c r="G300" t="s">
        <v>74</v>
      </c>
      <c r="H300" t="s">
        <v>74</v>
      </c>
      <c r="I300" t="s">
        <v>5740</v>
      </c>
      <c r="J300" t="s">
        <v>5741</v>
      </c>
      <c r="K300" t="s">
        <v>74</v>
      </c>
      <c r="L300" t="s">
        <v>74</v>
      </c>
      <c r="M300" t="s">
        <v>78</v>
      </c>
      <c r="N300" t="s">
        <v>79</v>
      </c>
      <c r="O300" t="s">
        <v>74</v>
      </c>
      <c r="P300" t="s">
        <v>74</v>
      </c>
      <c r="Q300" t="s">
        <v>74</v>
      </c>
      <c r="R300" t="s">
        <v>74</v>
      </c>
      <c r="S300" t="s">
        <v>74</v>
      </c>
      <c r="T300" t="s">
        <v>5742</v>
      </c>
      <c r="U300" t="s">
        <v>5743</v>
      </c>
      <c r="V300" t="s">
        <v>5744</v>
      </c>
      <c r="W300" t="s">
        <v>5745</v>
      </c>
      <c r="X300" t="s">
        <v>5746</v>
      </c>
      <c r="Y300" t="s">
        <v>5747</v>
      </c>
      <c r="Z300" t="s">
        <v>5748</v>
      </c>
      <c r="AA300" t="s">
        <v>74</v>
      </c>
      <c r="AB300" t="s">
        <v>74</v>
      </c>
      <c r="AC300" t="s">
        <v>74</v>
      </c>
      <c r="AD300" t="s">
        <v>74</v>
      </c>
      <c r="AE300" t="s">
        <v>74</v>
      </c>
      <c r="AF300" t="s">
        <v>74</v>
      </c>
      <c r="AG300">
        <v>36</v>
      </c>
      <c r="AH300">
        <v>3</v>
      </c>
      <c r="AI300">
        <v>3</v>
      </c>
      <c r="AJ300">
        <v>0</v>
      </c>
      <c r="AK300">
        <v>10</v>
      </c>
      <c r="AL300" t="s">
        <v>5749</v>
      </c>
      <c r="AM300" t="s">
        <v>5750</v>
      </c>
      <c r="AN300" t="s">
        <v>5751</v>
      </c>
      <c r="AO300" t="s">
        <v>5752</v>
      </c>
      <c r="AP300" t="s">
        <v>5753</v>
      </c>
      <c r="AQ300" t="s">
        <v>74</v>
      </c>
      <c r="AR300" t="s">
        <v>5754</v>
      </c>
      <c r="AS300" t="s">
        <v>5755</v>
      </c>
      <c r="AT300" t="s">
        <v>2592</v>
      </c>
      <c r="AU300">
        <v>2023</v>
      </c>
      <c r="AV300">
        <v>149</v>
      </c>
      <c r="AW300">
        <v>1</v>
      </c>
      <c r="AX300" t="s">
        <v>74</v>
      </c>
      <c r="AY300" t="s">
        <v>74</v>
      </c>
      <c r="AZ300" t="s">
        <v>74</v>
      </c>
      <c r="BA300" t="s">
        <v>74</v>
      </c>
      <c r="BB300" t="s">
        <v>74</v>
      </c>
      <c r="BC300" t="s">
        <v>74</v>
      </c>
      <c r="BD300">
        <v>4022080</v>
      </c>
      <c r="BE300" t="s">
        <v>5756</v>
      </c>
      <c r="BF300" t="str">
        <f>HYPERLINK("http://dx.doi.org/10.1061/(ASCE)EE.1943-7870.0002078","http://dx.doi.org/10.1061/(ASCE)EE.1943-7870.0002078")</f>
        <v>http://dx.doi.org/10.1061/(ASCE)EE.1943-7870.0002078</v>
      </c>
      <c r="BG300" t="s">
        <v>74</v>
      </c>
      <c r="BH300" t="s">
        <v>74</v>
      </c>
      <c r="BI300">
        <v>11</v>
      </c>
      <c r="BJ300" t="s">
        <v>5757</v>
      </c>
      <c r="BK300" t="s">
        <v>104</v>
      </c>
      <c r="BL300" t="s">
        <v>5758</v>
      </c>
      <c r="BM300" t="s">
        <v>5759</v>
      </c>
      <c r="BN300" t="s">
        <v>74</v>
      </c>
      <c r="BO300" t="s">
        <v>74</v>
      </c>
      <c r="BP300" t="s">
        <v>74</v>
      </c>
      <c r="BQ300" t="s">
        <v>74</v>
      </c>
      <c r="BR300" t="s">
        <v>108</v>
      </c>
      <c r="BS300" t="s">
        <v>5760</v>
      </c>
      <c r="BT300" t="str">
        <f>HYPERLINK("https%3A%2F%2Fwww.webofscience.com%2Fwos%2Fwoscc%2Ffull-record%2FWOS:000885918300002","View Full Record in Web of Science")</f>
        <v>View Full Record in Web of Science</v>
      </c>
    </row>
    <row r="301" spans="1:72" x14ac:dyDescent="0.15">
      <c r="A301" t="s">
        <v>72</v>
      </c>
      <c r="B301" t="s">
        <v>5761</v>
      </c>
      <c r="C301" t="s">
        <v>74</v>
      </c>
      <c r="D301" t="s">
        <v>74</v>
      </c>
      <c r="E301" t="s">
        <v>74</v>
      </c>
      <c r="F301" t="s">
        <v>5762</v>
      </c>
      <c r="G301" t="s">
        <v>74</v>
      </c>
      <c r="H301" t="s">
        <v>74</v>
      </c>
      <c r="I301" t="s">
        <v>5763</v>
      </c>
      <c r="J301" t="s">
        <v>5586</v>
      </c>
      <c r="K301" t="s">
        <v>74</v>
      </c>
      <c r="L301" t="s">
        <v>74</v>
      </c>
      <c r="M301" t="s">
        <v>78</v>
      </c>
      <c r="N301" t="s">
        <v>79</v>
      </c>
      <c r="O301" t="s">
        <v>74</v>
      </c>
      <c r="P301" t="s">
        <v>74</v>
      </c>
      <c r="Q301" t="s">
        <v>74</v>
      </c>
      <c r="R301" t="s">
        <v>74</v>
      </c>
      <c r="S301" t="s">
        <v>74</v>
      </c>
      <c r="T301" t="s">
        <v>5764</v>
      </c>
      <c r="U301" t="s">
        <v>5765</v>
      </c>
      <c r="V301" t="s">
        <v>5766</v>
      </c>
      <c r="W301" t="s">
        <v>5767</v>
      </c>
      <c r="X301" t="s">
        <v>909</v>
      </c>
      <c r="Y301" t="s">
        <v>5768</v>
      </c>
      <c r="Z301" t="s">
        <v>5769</v>
      </c>
      <c r="AA301" t="s">
        <v>74</v>
      </c>
      <c r="AB301" t="s">
        <v>74</v>
      </c>
      <c r="AC301" t="s">
        <v>74</v>
      </c>
      <c r="AD301" t="s">
        <v>74</v>
      </c>
      <c r="AE301" t="s">
        <v>74</v>
      </c>
      <c r="AF301" t="s">
        <v>74</v>
      </c>
      <c r="AG301">
        <v>48</v>
      </c>
      <c r="AH301">
        <v>6</v>
      </c>
      <c r="AI301">
        <v>6</v>
      </c>
      <c r="AJ301">
        <v>16</v>
      </c>
      <c r="AK301">
        <v>52</v>
      </c>
      <c r="AL301" t="s">
        <v>2255</v>
      </c>
      <c r="AM301" t="s">
        <v>2256</v>
      </c>
      <c r="AN301" t="s">
        <v>2257</v>
      </c>
      <c r="AO301" t="s">
        <v>5599</v>
      </c>
      <c r="AP301" t="s">
        <v>5600</v>
      </c>
      <c r="AQ301" t="s">
        <v>74</v>
      </c>
      <c r="AR301" t="s">
        <v>5601</v>
      </c>
      <c r="AS301" t="s">
        <v>5602</v>
      </c>
      <c r="AT301" t="s">
        <v>276</v>
      </c>
      <c r="AU301">
        <v>2023</v>
      </c>
      <c r="AV301">
        <v>27</v>
      </c>
      <c r="AW301">
        <v>1</v>
      </c>
      <c r="AX301" t="s">
        <v>74</v>
      </c>
      <c r="AY301" t="s">
        <v>74</v>
      </c>
      <c r="AZ301" t="s">
        <v>74</v>
      </c>
      <c r="BA301" t="s">
        <v>74</v>
      </c>
      <c r="BB301" t="s">
        <v>74</v>
      </c>
      <c r="BC301" t="s">
        <v>74</v>
      </c>
      <c r="BD301">
        <v>2</v>
      </c>
      <c r="BE301" t="s">
        <v>5770</v>
      </c>
      <c r="BF301" t="str">
        <f>HYPERLINK("http://dx.doi.org/10.1007/s10291-022-01338-9","http://dx.doi.org/10.1007/s10291-022-01338-9")</f>
        <v>http://dx.doi.org/10.1007/s10291-022-01338-9</v>
      </c>
      <c r="BG301" t="s">
        <v>74</v>
      </c>
      <c r="BH301" t="s">
        <v>74</v>
      </c>
      <c r="BI301">
        <v>16</v>
      </c>
      <c r="BJ301" t="s">
        <v>5604</v>
      </c>
      <c r="BK301" t="s">
        <v>104</v>
      </c>
      <c r="BL301" t="s">
        <v>5604</v>
      </c>
      <c r="BM301" t="s">
        <v>5771</v>
      </c>
      <c r="BN301" t="s">
        <v>74</v>
      </c>
      <c r="BO301" t="s">
        <v>74</v>
      </c>
      <c r="BP301" t="s">
        <v>74</v>
      </c>
      <c r="BQ301" t="s">
        <v>74</v>
      </c>
      <c r="BR301" t="s">
        <v>108</v>
      </c>
      <c r="BS301" t="s">
        <v>5772</v>
      </c>
      <c r="BT301" t="str">
        <f>HYPERLINK("https%3A%2F%2Fwww.webofscience.com%2Fwos%2Fwoscc%2Ffull-record%2FWOS:000865054300001","View Full Record in Web of Science")</f>
        <v>View Full Record in Web of Science</v>
      </c>
    </row>
    <row r="302" spans="1:72" x14ac:dyDescent="0.15">
      <c r="A302" t="s">
        <v>72</v>
      </c>
      <c r="B302" t="s">
        <v>5773</v>
      </c>
      <c r="C302" t="s">
        <v>74</v>
      </c>
      <c r="D302" t="s">
        <v>74</v>
      </c>
      <c r="E302" t="s">
        <v>74</v>
      </c>
      <c r="F302" t="s">
        <v>5774</v>
      </c>
      <c r="G302" t="s">
        <v>74</v>
      </c>
      <c r="H302" t="s">
        <v>74</v>
      </c>
      <c r="I302" t="s">
        <v>5775</v>
      </c>
      <c r="J302" t="s">
        <v>5776</v>
      </c>
      <c r="K302" t="s">
        <v>74</v>
      </c>
      <c r="L302" t="s">
        <v>74</v>
      </c>
      <c r="M302" t="s">
        <v>78</v>
      </c>
      <c r="N302" t="s">
        <v>79</v>
      </c>
      <c r="O302" t="s">
        <v>74</v>
      </c>
      <c r="P302" t="s">
        <v>74</v>
      </c>
      <c r="Q302" t="s">
        <v>74</v>
      </c>
      <c r="R302" t="s">
        <v>74</v>
      </c>
      <c r="S302" t="s">
        <v>74</v>
      </c>
      <c r="T302" t="s">
        <v>5777</v>
      </c>
      <c r="U302" t="s">
        <v>5778</v>
      </c>
      <c r="V302" t="s">
        <v>5779</v>
      </c>
      <c r="W302" t="s">
        <v>5780</v>
      </c>
      <c r="X302" t="s">
        <v>5781</v>
      </c>
      <c r="Y302" t="s">
        <v>5782</v>
      </c>
      <c r="Z302" t="s">
        <v>5783</v>
      </c>
      <c r="AA302" t="s">
        <v>5784</v>
      </c>
      <c r="AB302" t="s">
        <v>5785</v>
      </c>
      <c r="AC302" t="s">
        <v>5786</v>
      </c>
      <c r="AD302" t="s">
        <v>5787</v>
      </c>
      <c r="AE302" t="s">
        <v>5788</v>
      </c>
      <c r="AF302" t="s">
        <v>74</v>
      </c>
      <c r="AG302">
        <v>44</v>
      </c>
      <c r="AH302">
        <v>1</v>
      </c>
      <c r="AI302">
        <v>1</v>
      </c>
      <c r="AJ302">
        <v>0</v>
      </c>
      <c r="AK302">
        <v>2</v>
      </c>
      <c r="AL302" t="s">
        <v>5789</v>
      </c>
      <c r="AM302" t="s">
        <v>93</v>
      </c>
      <c r="AN302" t="s">
        <v>5790</v>
      </c>
      <c r="AO302" t="s">
        <v>5791</v>
      </c>
      <c r="AP302" t="s">
        <v>5792</v>
      </c>
      <c r="AQ302" t="s">
        <v>74</v>
      </c>
      <c r="AR302" t="s">
        <v>5793</v>
      </c>
      <c r="AS302" t="s">
        <v>5794</v>
      </c>
      <c r="AT302" t="s">
        <v>530</v>
      </c>
      <c r="AU302">
        <v>2023</v>
      </c>
      <c r="AV302">
        <v>284</v>
      </c>
      <c r="AW302" t="s">
        <v>74</v>
      </c>
      <c r="AX302" t="s">
        <v>74</v>
      </c>
      <c r="AY302" t="s">
        <v>74</v>
      </c>
      <c r="AZ302" t="s">
        <v>74</v>
      </c>
      <c r="BA302" t="s">
        <v>74</v>
      </c>
      <c r="BB302" t="s">
        <v>74</v>
      </c>
      <c r="BC302" t="s">
        <v>74</v>
      </c>
      <c r="BD302">
        <v>106585</v>
      </c>
      <c r="BE302" t="s">
        <v>5795</v>
      </c>
      <c r="BF302" t="str">
        <f>HYPERLINK("http://dx.doi.org/10.1016/j.atmosres.2022.106585","http://dx.doi.org/10.1016/j.atmosres.2022.106585")</f>
        <v>http://dx.doi.org/10.1016/j.atmosres.2022.106585</v>
      </c>
      <c r="BG302" t="s">
        <v>74</v>
      </c>
      <c r="BH302" t="s">
        <v>5796</v>
      </c>
      <c r="BI302">
        <v>17</v>
      </c>
      <c r="BJ302" t="s">
        <v>532</v>
      </c>
      <c r="BK302" t="s">
        <v>104</v>
      </c>
      <c r="BL302" t="s">
        <v>532</v>
      </c>
      <c r="BM302" t="s">
        <v>5797</v>
      </c>
      <c r="BN302" t="s">
        <v>74</v>
      </c>
      <c r="BO302" t="s">
        <v>219</v>
      </c>
      <c r="BP302" t="s">
        <v>74</v>
      </c>
      <c r="BQ302" t="s">
        <v>74</v>
      </c>
      <c r="BR302" t="s">
        <v>108</v>
      </c>
      <c r="BS302" t="s">
        <v>5798</v>
      </c>
      <c r="BT302" t="str">
        <f>HYPERLINK("https%3A%2F%2Fwww.webofscience.com%2Fwos%2Fwoscc%2Ffull-record%2FWOS:000917293300001","View Full Record in Web of Science")</f>
        <v>View Full Record in Web of Science</v>
      </c>
    </row>
    <row r="303" spans="1:72" x14ac:dyDescent="0.15">
      <c r="A303" t="s">
        <v>72</v>
      </c>
      <c r="B303" t="s">
        <v>5799</v>
      </c>
      <c r="C303" t="s">
        <v>74</v>
      </c>
      <c r="D303" t="s">
        <v>74</v>
      </c>
      <c r="E303" t="s">
        <v>74</v>
      </c>
      <c r="F303" t="s">
        <v>5800</v>
      </c>
      <c r="G303" t="s">
        <v>74</v>
      </c>
      <c r="H303" t="s">
        <v>74</v>
      </c>
      <c r="I303" t="s">
        <v>5801</v>
      </c>
      <c r="J303" t="s">
        <v>5802</v>
      </c>
      <c r="K303" t="s">
        <v>74</v>
      </c>
      <c r="L303" t="s">
        <v>74</v>
      </c>
      <c r="M303" t="s">
        <v>78</v>
      </c>
      <c r="N303" t="s">
        <v>743</v>
      </c>
      <c r="O303" t="s">
        <v>74</v>
      </c>
      <c r="P303" t="s">
        <v>74</v>
      </c>
      <c r="Q303" t="s">
        <v>74</v>
      </c>
      <c r="R303" t="s">
        <v>74</v>
      </c>
      <c r="S303" t="s">
        <v>74</v>
      </c>
      <c r="T303" t="s">
        <v>74</v>
      </c>
      <c r="U303" t="s">
        <v>5803</v>
      </c>
      <c r="V303" t="s">
        <v>74</v>
      </c>
      <c r="W303" t="s">
        <v>5804</v>
      </c>
      <c r="X303" t="s">
        <v>5805</v>
      </c>
      <c r="Y303" t="s">
        <v>5806</v>
      </c>
      <c r="Z303" t="s">
        <v>5807</v>
      </c>
      <c r="AA303" t="s">
        <v>5808</v>
      </c>
      <c r="AB303" t="s">
        <v>5809</v>
      </c>
      <c r="AC303" t="s">
        <v>5810</v>
      </c>
      <c r="AD303" t="s">
        <v>5810</v>
      </c>
      <c r="AE303" t="s">
        <v>5811</v>
      </c>
      <c r="AF303" t="s">
        <v>74</v>
      </c>
      <c r="AG303">
        <v>63</v>
      </c>
      <c r="AH303">
        <v>0</v>
      </c>
      <c r="AI303">
        <v>0</v>
      </c>
      <c r="AJ303">
        <v>0</v>
      </c>
      <c r="AK303">
        <v>4</v>
      </c>
      <c r="AL303" t="s">
        <v>703</v>
      </c>
      <c r="AM303" t="s">
        <v>704</v>
      </c>
      <c r="AN303" t="s">
        <v>705</v>
      </c>
      <c r="AO303" t="s">
        <v>5812</v>
      </c>
      <c r="AP303" t="s">
        <v>5813</v>
      </c>
      <c r="AQ303" t="s">
        <v>74</v>
      </c>
      <c r="AR303" t="s">
        <v>5814</v>
      </c>
      <c r="AS303" t="s">
        <v>5815</v>
      </c>
      <c r="AT303" t="s">
        <v>5816</v>
      </c>
      <c r="AU303">
        <v>2022</v>
      </c>
      <c r="AV303">
        <v>54</v>
      </c>
      <c r="AW303">
        <v>1</v>
      </c>
      <c r="AX303" t="s">
        <v>74</v>
      </c>
      <c r="AY303" t="s">
        <v>74</v>
      </c>
      <c r="AZ303" t="s">
        <v>74</v>
      </c>
      <c r="BA303" t="s">
        <v>74</v>
      </c>
      <c r="BB303">
        <v>640</v>
      </c>
      <c r="BC303">
        <v>647</v>
      </c>
      <c r="BD303" t="s">
        <v>74</v>
      </c>
      <c r="BE303" t="s">
        <v>5817</v>
      </c>
      <c r="BF303" t="str">
        <f>HYPERLINK("http://dx.doi.org/10.1080/15230430.2022.2154985","http://dx.doi.org/10.1080/15230430.2022.2154985")</f>
        <v>http://dx.doi.org/10.1080/15230430.2022.2154985</v>
      </c>
      <c r="BG303" t="s">
        <v>74</v>
      </c>
      <c r="BH303" t="s">
        <v>74</v>
      </c>
      <c r="BI303">
        <v>8</v>
      </c>
      <c r="BJ303" t="s">
        <v>5818</v>
      </c>
      <c r="BK303" t="s">
        <v>104</v>
      </c>
      <c r="BL303" t="s">
        <v>5819</v>
      </c>
      <c r="BM303" t="s">
        <v>5820</v>
      </c>
      <c r="BN303" t="s">
        <v>74</v>
      </c>
      <c r="BO303" t="s">
        <v>5407</v>
      </c>
      <c r="BP303" t="s">
        <v>74</v>
      </c>
      <c r="BQ303" t="s">
        <v>74</v>
      </c>
      <c r="BR303" t="s">
        <v>108</v>
      </c>
      <c r="BS303" t="s">
        <v>5821</v>
      </c>
      <c r="BT303" t="str">
        <f>HYPERLINK("https%3A%2F%2Fwww.webofscience.com%2Fwos%2Fwoscc%2Ffull-record%2FWOS:000907922500001","View Full Record in Web of Science")</f>
        <v>View Full Record in Web of Science</v>
      </c>
    </row>
    <row r="304" spans="1:72" x14ac:dyDescent="0.15">
      <c r="A304" t="s">
        <v>72</v>
      </c>
      <c r="B304" t="s">
        <v>5822</v>
      </c>
      <c r="C304" t="s">
        <v>74</v>
      </c>
      <c r="D304" t="s">
        <v>74</v>
      </c>
      <c r="E304" t="s">
        <v>74</v>
      </c>
      <c r="F304" t="s">
        <v>5823</v>
      </c>
      <c r="G304" t="s">
        <v>74</v>
      </c>
      <c r="H304" t="s">
        <v>74</v>
      </c>
      <c r="I304" t="s">
        <v>5824</v>
      </c>
      <c r="J304" t="s">
        <v>5802</v>
      </c>
      <c r="K304" t="s">
        <v>74</v>
      </c>
      <c r="L304" t="s">
        <v>74</v>
      </c>
      <c r="M304" t="s">
        <v>78</v>
      </c>
      <c r="N304" t="s">
        <v>79</v>
      </c>
      <c r="O304" t="s">
        <v>74</v>
      </c>
      <c r="P304" t="s">
        <v>74</v>
      </c>
      <c r="Q304" t="s">
        <v>74</v>
      </c>
      <c r="R304" t="s">
        <v>74</v>
      </c>
      <c r="S304" t="s">
        <v>74</v>
      </c>
      <c r="T304" t="s">
        <v>5825</v>
      </c>
      <c r="U304" t="s">
        <v>5826</v>
      </c>
      <c r="V304" t="s">
        <v>5827</v>
      </c>
      <c r="W304" t="s">
        <v>5828</v>
      </c>
      <c r="X304" t="s">
        <v>5829</v>
      </c>
      <c r="Y304" t="s">
        <v>5830</v>
      </c>
      <c r="Z304" t="s">
        <v>5831</v>
      </c>
      <c r="AA304" t="s">
        <v>74</v>
      </c>
      <c r="AB304" t="s">
        <v>74</v>
      </c>
      <c r="AC304" t="s">
        <v>5832</v>
      </c>
      <c r="AD304" t="s">
        <v>5833</v>
      </c>
      <c r="AE304" t="s">
        <v>5834</v>
      </c>
      <c r="AF304" t="s">
        <v>74</v>
      </c>
      <c r="AG304">
        <v>48</v>
      </c>
      <c r="AH304">
        <v>1</v>
      </c>
      <c r="AI304">
        <v>1</v>
      </c>
      <c r="AJ304">
        <v>0</v>
      </c>
      <c r="AK304">
        <v>2</v>
      </c>
      <c r="AL304" t="s">
        <v>703</v>
      </c>
      <c r="AM304" t="s">
        <v>704</v>
      </c>
      <c r="AN304" t="s">
        <v>705</v>
      </c>
      <c r="AO304" t="s">
        <v>5812</v>
      </c>
      <c r="AP304" t="s">
        <v>5813</v>
      </c>
      <c r="AQ304" t="s">
        <v>74</v>
      </c>
      <c r="AR304" t="s">
        <v>5814</v>
      </c>
      <c r="AS304" t="s">
        <v>5815</v>
      </c>
      <c r="AT304" t="s">
        <v>5816</v>
      </c>
      <c r="AU304">
        <v>2022</v>
      </c>
      <c r="AV304">
        <v>54</v>
      </c>
      <c r="AW304">
        <v>1</v>
      </c>
      <c r="AX304" t="s">
        <v>74</v>
      </c>
      <c r="AY304" t="s">
        <v>74</v>
      </c>
      <c r="AZ304" t="s">
        <v>74</v>
      </c>
      <c r="BA304" t="s">
        <v>74</v>
      </c>
      <c r="BB304">
        <v>624</v>
      </c>
      <c r="BC304">
        <v>639</v>
      </c>
      <c r="BD304" t="s">
        <v>74</v>
      </c>
      <c r="BE304" t="s">
        <v>5835</v>
      </c>
      <c r="BF304" t="str">
        <f>HYPERLINK("http://dx.doi.org/10.1080/15230430.2022.2155352","http://dx.doi.org/10.1080/15230430.2022.2155352")</f>
        <v>http://dx.doi.org/10.1080/15230430.2022.2155352</v>
      </c>
      <c r="BG304" t="s">
        <v>74</v>
      </c>
      <c r="BH304" t="s">
        <v>74</v>
      </c>
      <c r="BI304">
        <v>16</v>
      </c>
      <c r="BJ304" t="s">
        <v>5818</v>
      </c>
      <c r="BK304" t="s">
        <v>104</v>
      </c>
      <c r="BL304" t="s">
        <v>5819</v>
      </c>
      <c r="BM304" t="s">
        <v>5836</v>
      </c>
      <c r="BN304" t="s">
        <v>74</v>
      </c>
      <c r="BO304" t="s">
        <v>192</v>
      </c>
      <c r="BP304" t="s">
        <v>74</v>
      </c>
      <c r="BQ304" t="s">
        <v>74</v>
      </c>
      <c r="BR304" t="s">
        <v>108</v>
      </c>
      <c r="BS304" t="s">
        <v>5837</v>
      </c>
      <c r="BT304" t="str">
        <f>HYPERLINK("https%3A%2F%2Fwww.webofscience.com%2Fwos%2Fwoscc%2Ffull-record%2FWOS:000902888800001","View Full Record in Web of Science")</f>
        <v>View Full Record in Web of Science</v>
      </c>
    </row>
    <row r="305" spans="1:72" x14ac:dyDescent="0.15">
      <c r="A305" t="s">
        <v>72</v>
      </c>
      <c r="B305" t="s">
        <v>5838</v>
      </c>
      <c r="C305" t="s">
        <v>74</v>
      </c>
      <c r="D305" t="s">
        <v>74</v>
      </c>
      <c r="E305" t="s">
        <v>74</v>
      </c>
      <c r="F305" t="s">
        <v>5839</v>
      </c>
      <c r="G305" t="s">
        <v>74</v>
      </c>
      <c r="H305" t="s">
        <v>74</v>
      </c>
      <c r="I305" t="s">
        <v>5840</v>
      </c>
      <c r="J305" t="s">
        <v>5841</v>
      </c>
      <c r="K305" t="s">
        <v>74</v>
      </c>
      <c r="L305" t="s">
        <v>74</v>
      </c>
      <c r="M305" t="s">
        <v>78</v>
      </c>
      <c r="N305" t="s">
        <v>79</v>
      </c>
      <c r="O305" t="s">
        <v>74</v>
      </c>
      <c r="P305" t="s">
        <v>74</v>
      </c>
      <c r="Q305" t="s">
        <v>74</v>
      </c>
      <c r="R305" t="s">
        <v>74</v>
      </c>
      <c r="S305" t="s">
        <v>74</v>
      </c>
      <c r="T305" t="s">
        <v>5842</v>
      </c>
      <c r="U305" t="s">
        <v>5843</v>
      </c>
      <c r="V305" t="s">
        <v>5844</v>
      </c>
      <c r="W305" t="s">
        <v>5845</v>
      </c>
      <c r="X305" t="s">
        <v>5846</v>
      </c>
      <c r="Y305" t="s">
        <v>1239</v>
      </c>
      <c r="Z305" t="s">
        <v>5847</v>
      </c>
      <c r="AA305" t="s">
        <v>5848</v>
      </c>
      <c r="AB305" t="s">
        <v>5849</v>
      </c>
      <c r="AC305" t="s">
        <v>5850</v>
      </c>
      <c r="AD305" t="s">
        <v>5851</v>
      </c>
      <c r="AE305" t="s">
        <v>5852</v>
      </c>
      <c r="AF305" t="s">
        <v>74</v>
      </c>
      <c r="AG305">
        <v>36</v>
      </c>
      <c r="AH305">
        <v>2</v>
      </c>
      <c r="AI305">
        <v>2</v>
      </c>
      <c r="AJ305">
        <v>9</v>
      </c>
      <c r="AK305">
        <v>16</v>
      </c>
      <c r="AL305" t="s">
        <v>703</v>
      </c>
      <c r="AM305" t="s">
        <v>704</v>
      </c>
      <c r="AN305" t="s">
        <v>705</v>
      </c>
      <c r="AO305" t="s">
        <v>5853</v>
      </c>
      <c r="AP305" t="s">
        <v>5854</v>
      </c>
      <c r="AQ305" t="s">
        <v>74</v>
      </c>
      <c r="AR305" t="s">
        <v>5855</v>
      </c>
      <c r="AS305" t="s">
        <v>5856</v>
      </c>
      <c r="AT305" t="s">
        <v>5816</v>
      </c>
      <c r="AU305">
        <v>2022</v>
      </c>
      <c r="AV305">
        <v>15</v>
      </c>
      <c r="AW305">
        <v>1</v>
      </c>
      <c r="AX305" t="s">
        <v>74</v>
      </c>
      <c r="AY305" t="s">
        <v>74</v>
      </c>
      <c r="AZ305" t="s">
        <v>74</v>
      </c>
      <c r="BA305" t="s">
        <v>74</v>
      </c>
      <c r="BB305">
        <v>2296</v>
      </c>
      <c r="BC305">
        <v>2318</v>
      </c>
      <c r="BD305" t="s">
        <v>74</v>
      </c>
      <c r="BE305" t="s">
        <v>5857</v>
      </c>
      <c r="BF305" t="str">
        <f>HYPERLINK("http://dx.doi.org/10.1080/17538947.2022.2158242","http://dx.doi.org/10.1080/17538947.2022.2158242")</f>
        <v>http://dx.doi.org/10.1080/17538947.2022.2158242</v>
      </c>
      <c r="BG305" t="s">
        <v>74</v>
      </c>
      <c r="BH305" t="s">
        <v>74</v>
      </c>
      <c r="BI305">
        <v>23</v>
      </c>
      <c r="BJ305" t="s">
        <v>5858</v>
      </c>
      <c r="BK305" t="s">
        <v>104</v>
      </c>
      <c r="BL305" t="s">
        <v>5859</v>
      </c>
      <c r="BM305" t="s">
        <v>5860</v>
      </c>
      <c r="BN305" t="s">
        <v>74</v>
      </c>
      <c r="BO305" t="s">
        <v>165</v>
      </c>
      <c r="BP305" t="s">
        <v>74</v>
      </c>
      <c r="BQ305" t="s">
        <v>74</v>
      </c>
      <c r="BR305" t="s">
        <v>108</v>
      </c>
      <c r="BS305" t="s">
        <v>5861</v>
      </c>
      <c r="BT305" t="str">
        <f>HYPERLINK("https%3A%2F%2Fwww.webofscience.com%2Fwos%2Fwoscc%2Ffull-record%2FWOS:000900276800001","View Full Record in Web of Science")</f>
        <v>View Full Record in Web of Science</v>
      </c>
    </row>
    <row r="306" spans="1:72" x14ac:dyDescent="0.15">
      <c r="A306" t="s">
        <v>72</v>
      </c>
      <c r="B306" t="s">
        <v>5862</v>
      </c>
      <c r="C306" t="s">
        <v>74</v>
      </c>
      <c r="D306" t="s">
        <v>74</v>
      </c>
      <c r="E306" t="s">
        <v>74</v>
      </c>
      <c r="F306" t="s">
        <v>5863</v>
      </c>
      <c r="G306" t="s">
        <v>74</v>
      </c>
      <c r="H306" t="s">
        <v>74</v>
      </c>
      <c r="I306" t="s">
        <v>5864</v>
      </c>
      <c r="J306" t="s">
        <v>5802</v>
      </c>
      <c r="K306" t="s">
        <v>74</v>
      </c>
      <c r="L306" t="s">
        <v>74</v>
      </c>
      <c r="M306" t="s">
        <v>78</v>
      </c>
      <c r="N306" t="s">
        <v>79</v>
      </c>
      <c r="O306" t="s">
        <v>74</v>
      </c>
      <c r="P306" t="s">
        <v>74</v>
      </c>
      <c r="Q306" t="s">
        <v>74</v>
      </c>
      <c r="R306" t="s">
        <v>74</v>
      </c>
      <c r="S306" t="s">
        <v>74</v>
      </c>
      <c r="T306" t="s">
        <v>5865</v>
      </c>
      <c r="U306" t="s">
        <v>5866</v>
      </c>
      <c r="V306" t="s">
        <v>5867</v>
      </c>
      <c r="W306" t="s">
        <v>5868</v>
      </c>
      <c r="X306" t="s">
        <v>5869</v>
      </c>
      <c r="Y306" t="s">
        <v>5870</v>
      </c>
      <c r="Z306" t="s">
        <v>2074</v>
      </c>
      <c r="AA306" t="s">
        <v>3408</v>
      </c>
      <c r="AB306" t="s">
        <v>5871</v>
      </c>
      <c r="AC306" t="s">
        <v>74</v>
      </c>
      <c r="AD306" t="s">
        <v>74</v>
      </c>
      <c r="AE306" t="s">
        <v>74</v>
      </c>
      <c r="AF306" t="s">
        <v>74</v>
      </c>
      <c r="AG306">
        <v>58</v>
      </c>
      <c r="AH306">
        <v>2</v>
      </c>
      <c r="AI306">
        <v>2</v>
      </c>
      <c r="AJ306">
        <v>1</v>
      </c>
      <c r="AK306">
        <v>5</v>
      </c>
      <c r="AL306" t="s">
        <v>703</v>
      </c>
      <c r="AM306" t="s">
        <v>704</v>
      </c>
      <c r="AN306" t="s">
        <v>705</v>
      </c>
      <c r="AO306" t="s">
        <v>5812</v>
      </c>
      <c r="AP306" t="s">
        <v>5813</v>
      </c>
      <c r="AQ306" t="s">
        <v>74</v>
      </c>
      <c r="AR306" t="s">
        <v>5814</v>
      </c>
      <c r="AS306" t="s">
        <v>5815</v>
      </c>
      <c r="AT306" t="s">
        <v>5816</v>
      </c>
      <c r="AU306">
        <v>2022</v>
      </c>
      <c r="AV306">
        <v>54</v>
      </c>
      <c r="AW306">
        <v>1</v>
      </c>
      <c r="AX306" t="s">
        <v>74</v>
      </c>
      <c r="AY306" t="s">
        <v>74</v>
      </c>
      <c r="AZ306" t="s">
        <v>74</v>
      </c>
      <c r="BA306" t="s">
        <v>74</v>
      </c>
      <c r="BB306">
        <v>584</v>
      </c>
      <c r="BC306">
        <v>602</v>
      </c>
      <c r="BD306" t="s">
        <v>74</v>
      </c>
      <c r="BE306" t="s">
        <v>5872</v>
      </c>
      <c r="BF306" t="str">
        <f>HYPERLINK("http://dx.doi.org/10.1080/15230430.2022.2150122","http://dx.doi.org/10.1080/15230430.2022.2150122")</f>
        <v>http://dx.doi.org/10.1080/15230430.2022.2150122</v>
      </c>
      <c r="BG306" t="s">
        <v>74</v>
      </c>
      <c r="BH306" t="s">
        <v>74</v>
      </c>
      <c r="BI306">
        <v>19</v>
      </c>
      <c r="BJ306" t="s">
        <v>5818</v>
      </c>
      <c r="BK306" t="s">
        <v>104</v>
      </c>
      <c r="BL306" t="s">
        <v>5819</v>
      </c>
      <c r="BM306" t="s">
        <v>5873</v>
      </c>
      <c r="BN306" t="s">
        <v>74</v>
      </c>
      <c r="BO306" t="s">
        <v>165</v>
      </c>
      <c r="BP306" t="s">
        <v>74</v>
      </c>
      <c r="BQ306" t="s">
        <v>74</v>
      </c>
      <c r="BR306" t="s">
        <v>108</v>
      </c>
      <c r="BS306" t="s">
        <v>5874</v>
      </c>
      <c r="BT306" t="str">
        <f>HYPERLINK("https%3A%2F%2Fwww.webofscience.com%2Fwos%2Fwoscc%2Ffull-record%2FWOS:000898493600001","View Full Record in Web of Science")</f>
        <v>View Full Record in Web of Science</v>
      </c>
    </row>
    <row r="307" spans="1:72" x14ac:dyDescent="0.15">
      <c r="A307" t="s">
        <v>72</v>
      </c>
      <c r="B307" t="s">
        <v>5875</v>
      </c>
      <c r="C307" t="s">
        <v>74</v>
      </c>
      <c r="D307" t="s">
        <v>74</v>
      </c>
      <c r="E307" t="s">
        <v>74</v>
      </c>
      <c r="F307" t="s">
        <v>5876</v>
      </c>
      <c r="G307" t="s">
        <v>74</v>
      </c>
      <c r="H307" t="s">
        <v>74</v>
      </c>
      <c r="I307" t="s">
        <v>5877</v>
      </c>
      <c r="J307" t="s">
        <v>5802</v>
      </c>
      <c r="K307" t="s">
        <v>74</v>
      </c>
      <c r="L307" t="s">
        <v>74</v>
      </c>
      <c r="M307" t="s">
        <v>78</v>
      </c>
      <c r="N307" t="s">
        <v>79</v>
      </c>
      <c r="O307" t="s">
        <v>74</v>
      </c>
      <c r="P307" t="s">
        <v>74</v>
      </c>
      <c r="Q307" t="s">
        <v>74</v>
      </c>
      <c r="R307" t="s">
        <v>74</v>
      </c>
      <c r="S307" t="s">
        <v>74</v>
      </c>
      <c r="T307" t="s">
        <v>5878</v>
      </c>
      <c r="U307" t="s">
        <v>5879</v>
      </c>
      <c r="V307" t="s">
        <v>5880</v>
      </c>
      <c r="W307" t="s">
        <v>5881</v>
      </c>
      <c r="X307" t="s">
        <v>5882</v>
      </c>
      <c r="Y307" t="s">
        <v>5883</v>
      </c>
      <c r="Z307" t="s">
        <v>5884</v>
      </c>
      <c r="AA307" t="s">
        <v>5885</v>
      </c>
      <c r="AB307" t="s">
        <v>5886</v>
      </c>
      <c r="AC307" t="s">
        <v>74</v>
      </c>
      <c r="AD307" t="s">
        <v>74</v>
      </c>
      <c r="AE307" t="s">
        <v>74</v>
      </c>
      <c r="AF307" t="s">
        <v>74</v>
      </c>
      <c r="AG307">
        <v>108</v>
      </c>
      <c r="AH307">
        <v>1</v>
      </c>
      <c r="AI307">
        <v>1</v>
      </c>
      <c r="AJ307">
        <v>1</v>
      </c>
      <c r="AK307">
        <v>7</v>
      </c>
      <c r="AL307" t="s">
        <v>703</v>
      </c>
      <c r="AM307" t="s">
        <v>704</v>
      </c>
      <c r="AN307" t="s">
        <v>705</v>
      </c>
      <c r="AO307" t="s">
        <v>5812</v>
      </c>
      <c r="AP307" t="s">
        <v>5813</v>
      </c>
      <c r="AQ307" t="s">
        <v>74</v>
      </c>
      <c r="AR307" t="s">
        <v>5814</v>
      </c>
      <c r="AS307" t="s">
        <v>5815</v>
      </c>
      <c r="AT307" t="s">
        <v>5816</v>
      </c>
      <c r="AU307">
        <v>2022</v>
      </c>
      <c r="AV307">
        <v>54</v>
      </c>
      <c r="AW307">
        <v>1</v>
      </c>
      <c r="AX307" t="s">
        <v>74</v>
      </c>
      <c r="AY307" t="s">
        <v>74</v>
      </c>
      <c r="AZ307" t="s">
        <v>74</v>
      </c>
      <c r="BA307" t="s">
        <v>74</v>
      </c>
      <c r="BB307">
        <v>603</v>
      </c>
      <c r="BC307">
        <v>623</v>
      </c>
      <c r="BD307" t="s">
        <v>74</v>
      </c>
      <c r="BE307" t="s">
        <v>5887</v>
      </c>
      <c r="BF307" t="str">
        <f>HYPERLINK("http://dx.doi.org/10.1080/15230430.2022.2146633","http://dx.doi.org/10.1080/15230430.2022.2146633")</f>
        <v>http://dx.doi.org/10.1080/15230430.2022.2146633</v>
      </c>
      <c r="BG307" t="s">
        <v>74</v>
      </c>
      <c r="BH307" t="s">
        <v>74</v>
      </c>
      <c r="BI307">
        <v>21</v>
      </c>
      <c r="BJ307" t="s">
        <v>5818</v>
      </c>
      <c r="BK307" t="s">
        <v>104</v>
      </c>
      <c r="BL307" t="s">
        <v>5819</v>
      </c>
      <c r="BM307" t="s">
        <v>5888</v>
      </c>
      <c r="BN307" t="s">
        <v>74</v>
      </c>
      <c r="BO307" t="s">
        <v>3181</v>
      </c>
      <c r="BP307" t="s">
        <v>74</v>
      </c>
      <c r="BQ307" t="s">
        <v>74</v>
      </c>
      <c r="BR307" t="s">
        <v>108</v>
      </c>
      <c r="BS307" t="s">
        <v>5889</v>
      </c>
      <c r="BT307" t="str">
        <f>HYPERLINK("https%3A%2F%2Fwww.webofscience.com%2Fwos%2Fwoscc%2Ffull-record%2FWOS:000899546900001","View Full Record in Web of Science")</f>
        <v>View Full Record in Web of Science</v>
      </c>
    </row>
    <row r="308" spans="1:72" x14ac:dyDescent="0.15">
      <c r="A308" t="s">
        <v>72</v>
      </c>
      <c r="B308" t="s">
        <v>5890</v>
      </c>
      <c r="C308" t="s">
        <v>74</v>
      </c>
      <c r="D308" t="s">
        <v>74</v>
      </c>
      <c r="E308" t="s">
        <v>74</v>
      </c>
      <c r="F308" t="s">
        <v>5891</v>
      </c>
      <c r="G308" t="s">
        <v>74</v>
      </c>
      <c r="H308" t="s">
        <v>74</v>
      </c>
      <c r="I308" t="s">
        <v>5892</v>
      </c>
      <c r="J308" t="s">
        <v>5802</v>
      </c>
      <c r="K308" t="s">
        <v>74</v>
      </c>
      <c r="L308" t="s">
        <v>74</v>
      </c>
      <c r="M308" t="s">
        <v>78</v>
      </c>
      <c r="N308" t="s">
        <v>79</v>
      </c>
      <c r="O308" t="s">
        <v>74</v>
      </c>
      <c r="P308" t="s">
        <v>74</v>
      </c>
      <c r="Q308" t="s">
        <v>74</v>
      </c>
      <c r="R308" t="s">
        <v>74</v>
      </c>
      <c r="S308" t="s">
        <v>74</v>
      </c>
      <c r="T308" t="s">
        <v>5893</v>
      </c>
      <c r="U308" t="s">
        <v>5894</v>
      </c>
      <c r="V308" t="s">
        <v>5895</v>
      </c>
      <c r="W308" t="s">
        <v>5896</v>
      </c>
      <c r="X308" t="s">
        <v>5897</v>
      </c>
      <c r="Y308" t="s">
        <v>5898</v>
      </c>
      <c r="Z308" t="s">
        <v>5899</v>
      </c>
      <c r="AA308" t="s">
        <v>5900</v>
      </c>
      <c r="AB308" t="s">
        <v>5901</v>
      </c>
      <c r="AC308" t="s">
        <v>5902</v>
      </c>
      <c r="AD308" t="s">
        <v>5903</v>
      </c>
      <c r="AE308" t="s">
        <v>5904</v>
      </c>
      <c r="AF308" t="s">
        <v>74</v>
      </c>
      <c r="AG308">
        <v>162</v>
      </c>
      <c r="AH308">
        <v>1</v>
      </c>
      <c r="AI308">
        <v>1</v>
      </c>
      <c r="AJ308">
        <v>3</v>
      </c>
      <c r="AK308">
        <v>12</v>
      </c>
      <c r="AL308" t="s">
        <v>703</v>
      </c>
      <c r="AM308" t="s">
        <v>704</v>
      </c>
      <c r="AN308" t="s">
        <v>705</v>
      </c>
      <c r="AO308" t="s">
        <v>5812</v>
      </c>
      <c r="AP308" t="s">
        <v>5813</v>
      </c>
      <c r="AQ308" t="s">
        <v>74</v>
      </c>
      <c r="AR308" t="s">
        <v>5814</v>
      </c>
      <c r="AS308" t="s">
        <v>5815</v>
      </c>
      <c r="AT308" t="s">
        <v>5816</v>
      </c>
      <c r="AU308">
        <v>2022</v>
      </c>
      <c r="AV308">
        <v>54</v>
      </c>
      <c r="AW308">
        <v>1</v>
      </c>
      <c r="AX308" t="s">
        <v>74</v>
      </c>
      <c r="AY308" t="s">
        <v>74</v>
      </c>
      <c r="AZ308" t="s">
        <v>74</v>
      </c>
      <c r="BA308" t="s">
        <v>74</v>
      </c>
      <c r="BB308">
        <v>562</v>
      </c>
      <c r="BC308">
        <v>583</v>
      </c>
      <c r="BD308" t="s">
        <v>74</v>
      </c>
      <c r="BE308" t="s">
        <v>5905</v>
      </c>
      <c r="BF308" t="str">
        <f>HYPERLINK("http://dx.doi.org/10.1080/15230430.2022.2123859","http://dx.doi.org/10.1080/15230430.2022.2123859")</f>
        <v>http://dx.doi.org/10.1080/15230430.2022.2123859</v>
      </c>
      <c r="BG308" t="s">
        <v>74</v>
      </c>
      <c r="BH308" t="s">
        <v>74</v>
      </c>
      <c r="BI308">
        <v>22</v>
      </c>
      <c r="BJ308" t="s">
        <v>5818</v>
      </c>
      <c r="BK308" t="s">
        <v>104</v>
      </c>
      <c r="BL308" t="s">
        <v>5819</v>
      </c>
      <c r="BM308" t="s">
        <v>5906</v>
      </c>
      <c r="BN308" t="s">
        <v>74</v>
      </c>
      <c r="BO308" t="s">
        <v>3181</v>
      </c>
      <c r="BP308" t="s">
        <v>74</v>
      </c>
      <c r="BQ308" t="s">
        <v>74</v>
      </c>
      <c r="BR308" t="s">
        <v>108</v>
      </c>
      <c r="BS308" t="s">
        <v>5907</v>
      </c>
      <c r="BT308" t="str">
        <f>HYPERLINK("https%3A%2F%2Fwww.webofscience.com%2Fwos%2Fwoscc%2Ffull-record%2FWOS:000877334900001","View Full Record in Web of Science")</f>
        <v>View Full Record in Web of Science</v>
      </c>
    </row>
    <row r="309" spans="1:72" x14ac:dyDescent="0.15">
      <c r="A309" t="s">
        <v>72</v>
      </c>
      <c r="B309" t="s">
        <v>5908</v>
      </c>
      <c r="C309" t="s">
        <v>74</v>
      </c>
      <c r="D309" t="s">
        <v>74</v>
      </c>
      <c r="E309" t="s">
        <v>74</v>
      </c>
      <c r="F309" t="s">
        <v>5909</v>
      </c>
      <c r="G309" t="s">
        <v>74</v>
      </c>
      <c r="H309" t="s">
        <v>74</v>
      </c>
      <c r="I309" t="s">
        <v>5910</v>
      </c>
      <c r="J309" t="s">
        <v>5802</v>
      </c>
      <c r="K309" t="s">
        <v>74</v>
      </c>
      <c r="L309" t="s">
        <v>74</v>
      </c>
      <c r="M309" t="s">
        <v>78</v>
      </c>
      <c r="N309" t="s">
        <v>79</v>
      </c>
      <c r="O309" t="s">
        <v>74</v>
      </c>
      <c r="P309" t="s">
        <v>74</v>
      </c>
      <c r="Q309" t="s">
        <v>74</v>
      </c>
      <c r="R309" t="s">
        <v>74</v>
      </c>
      <c r="S309" t="s">
        <v>74</v>
      </c>
      <c r="T309" t="s">
        <v>5911</v>
      </c>
      <c r="U309" t="s">
        <v>5912</v>
      </c>
      <c r="V309" t="s">
        <v>5913</v>
      </c>
      <c r="W309" t="s">
        <v>5914</v>
      </c>
      <c r="X309" t="s">
        <v>5915</v>
      </c>
      <c r="Y309" t="s">
        <v>5916</v>
      </c>
      <c r="Z309" t="s">
        <v>5917</v>
      </c>
      <c r="AA309" t="s">
        <v>74</v>
      </c>
      <c r="AB309" t="s">
        <v>74</v>
      </c>
      <c r="AC309" t="s">
        <v>5918</v>
      </c>
      <c r="AD309" t="s">
        <v>5919</v>
      </c>
      <c r="AE309" t="s">
        <v>5920</v>
      </c>
      <c r="AF309" t="s">
        <v>74</v>
      </c>
      <c r="AG309">
        <v>63</v>
      </c>
      <c r="AH309">
        <v>3</v>
      </c>
      <c r="AI309">
        <v>3</v>
      </c>
      <c r="AJ309">
        <v>1</v>
      </c>
      <c r="AK309">
        <v>2</v>
      </c>
      <c r="AL309" t="s">
        <v>703</v>
      </c>
      <c r="AM309" t="s">
        <v>704</v>
      </c>
      <c r="AN309" t="s">
        <v>705</v>
      </c>
      <c r="AO309" t="s">
        <v>5812</v>
      </c>
      <c r="AP309" t="s">
        <v>5813</v>
      </c>
      <c r="AQ309" t="s">
        <v>74</v>
      </c>
      <c r="AR309" t="s">
        <v>5814</v>
      </c>
      <c r="AS309" t="s">
        <v>5815</v>
      </c>
      <c r="AT309" t="s">
        <v>5816</v>
      </c>
      <c r="AU309">
        <v>2022</v>
      </c>
      <c r="AV309">
        <v>54</v>
      </c>
      <c r="AW309">
        <v>1</v>
      </c>
      <c r="AX309" t="s">
        <v>74</v>
      </c>
      <c r="AY309" t="s">
        <v>74</v>
      </c>
      <c r="AZ309" t="s">
        <v>74</v>
      </c>
      <c r="BA309" t="s">
        <v>74</v>
      </c>
      <c r="BB309">
        <v>538</v>
      </c>
      <c r="BC309">
        <v>561</v>
      </c>
      <c r="BD309" t="s">
        <v>74</v>
      </c>
      <c r="BE309" t="s">
        <v>5921</v>
      </c>
      <c r="BF309" t="str">
        <f>HYPERLINK("http://dx.doi.org/10.1080/15230430.2022.2123858","http://dx.doi.org/10.1080/15230430.2022.2123858")</f>
        <v>http://dx.doi.org/10.1080/15230430.2022.2123858</v>
      </c>
      <c r="BG309" t="s">
        <v>74</v>
      </c>
      <c r="BH309" t="s">
        <v>74</v>
      </c>
      <c r="BI309">
        <v>24</v>
      </c>
      <c r="BJ309" t="s">
        <v>5818</v>
      </c>
      <c r="BK309" t="s">
        <v>104</v>
      </c>
      <c r="BL309" t="s">
        <v>5819</v>
      </c>
      <c r="BM309" t="s">
        <v>5922</v>
      </c>
      <c r="BN309" t="s">
        <v>74</v>
      </c>
      <c r="BO309" t="s">
        <v>165</v>
      </c>
      <c r="BP309" t="s">
        <v>74</v>
      </c>
      <c r="BQ309" t="s">
        <v>74</v>
      </c>
      <c r="BR309" t="s">
        <v>108</v>
      </c>
      <c r="BS309" t="s">
        <v>5923</v>
      </c>
      <c r="BT309" t="str">
        <f>HYPERLINK("https%3A%2F%2Fwww.webofscience.com%2Fwos%2Fwoscc%2Ffull-record%2FWOS:000876800200001","View Full Record in Web of Science")</f>
        <v>View Full Record in Web of Science</v>
      </c>
    </row>
    <row r="310" spans="1:72" x14ac:dyDescent="0.15">
      <c r="A310" t="s">
        <v>72</v>
      </c>
      <c r="B310" t="s">
        <v>5924</v>
      </c>
      <c r="C310" t="s">
        <v>74</v>
      </c>
      <c r="D310" t="s">
        <v>74</v>
      </c>
      <c r="E310" t="s">
        <v>74</v>
      </c>
      <c r="F310" t="s">
        <v>5925</v>
      </c>
      <c r="G310" t="s">
        <v>74</v>
      </c>
      <c r="H310" t="s">
        <v>74</v>
      </c>
      <c r="I310" t="s">
        <v>5926</v>
      </c>
      <c r="J310" t="s">
        <v>5802</v>
      </c>
      <c r="K310" t="s">
        <v>74</v>
      </c>
      <c r="L310" t="s">
        <v>74</v>
      </c>
      <c r="M310" t="s">
        <v>78</v>
      </c>
      <c r="N310" t="s">
        <v>5927</v>
      </c>
      <c r="O310" t="s">
        <v>74</v>
      </c>
      <c r="P310" t="s">
        <v>74</v>
      </c>
      <c r="Q310" t="s">
        <v>74</v>
      </c>
      <c r="R310" t="s">
        <v>74</v>
      </c>
      <c r="S310" t="s">
        <v>74</v>
      </c>
      <c r="T310" t="s">
        <v>74</v>
      </c>
      <c r="U310" t="s">
        <v>74</v>
      </c>
      <c r="V310" t="s">
        <v>74</v>
      </c>
      <c r="W310" t="s">
        <v>74</v>
      </c>
      <c r="X310" t="s">
        <v>74</v>
      </c>
      <c r="Y310" t="s">
        <v>74</v>
      </c>
      <c r="Z310" t="s">
        <v>74</v>
      </c>
      <c r="AA310" t="s">
        <v>5928</v>
      </c>
      <c r="AB310" t="s">
        <v>74</v>
      </c>
      <c r="AC310" t="s">
        <v>74</v>
      </c>
      <c r="AD310" t="s">
        <v>74</v>
      </c>
      <c r="AE310" t="s">
        <v>74</v>
      </c>
      <c r="AF310" t="s">
        <v>74</v>
      </c>
      <c r="AG310">
        <v>1</v>
      </c>
      <c r="AH310">
        <v>0</v>
      </c>
      <c r="AI310">
        <v>0</v>
      </c>
      <c r="AJ310">
        <v>2</v>
      </c>
      <c r="AK310">
        <v>2</v>
      </c>
      <c r="AL310" t="s">
        <v>703</v>
      </c>
      <c r="AM310" t="s">
        <v>704</v>
      </c>
      <c r="AN310" t="s">
        <v>705</v>
      </c>
      <c r="AO310" t="s">
        <v>5812</v>
      </c>
      <c r="AP310" t="s">
        <v>5813</v>
      </c>
      <c r="AQ310" t="s">
        <v>74</v>
      </c>
      <c r="AR310" t="s">
        <v>5814</v>
      </c>
      <c r="AS310" t="s">
        <v>5815</v>
      </c>
      <c r="AT310" t="s">
        <v>5816</v>
      </c>
      <c r="AU310">
        <v>2022</v>
      </c>
      <c r="AV310">
        <v>54</v>
      </c>
      <c r="AW310">
        <v>1</v>
      </c>
      <c r="AX310" t="s">
        <v>74</v>
      </c>
      <c r="AY310" t="s">
        <v>74</v>
      </c>
      <c r="AZ310" t="s">
        <v>74</v>
      </c>
      <c r="BA310" t="s">
        <v>74</v>
      </c>
      <c r="BB310">
        <v>537</v>
      </c>
      <c r="BC310">
        <v>537</v>
      </c>
      <c r="BD310" t="s">
        <v>74</v>
      </c>
      <c r="BE310" t="s">
        <v>5929</v>
      </c>
      <c r="BF310" t="str">
        <f>HYPERLINK("http://dx.doi.org/10.1080/15230430.2022.2135289","http://dx.doi.org/10.1080/15230430.2022.2135289")</f>
        <v>http://dx.doi.org/10.1080/15230430.2022.2135289</v>
      </c>
      <c r="BG310" t="s">
        <v>74</v>
      </c>
      <c r="BH310" t="s">
        <v>74</v>
      </c>
      <c r="BI310">
        <v>1</v>
      </c>
      <c r="BJ310" t="s">
        <v>5818</v>
      </c>
      <c r="BK310" t="s">
        <v>104</v>
      </c>
      <c r="BL310" t="s">
        <v>5819</v>
      </c>
      <c r="BM310" t="s">
        <v>5930</v>
      </c>
      <c r="BN310" t="s">
        <v>74</v>
      </c>
      <c r="BO310" t="s">
        <v>165</v>
      </c>
      <c r="BP310" t="s">
        <v>74</v>
      </c>
      <c r="BQ310" t="s">
        <v>74</v>
      </c>
      <c r="BR310" t="s">
        <v>108</v>
      </c>
      <c r="BS310" t="s">
        <v>5931</v>
      </c>
      <c r="BT310" t="str">
        <f>HYPERLINK("https%3A%2F%2Fwww.webofscience.com%2Fwos%2Fwoscc%2Ffull-record%2FWOS:000875408900001","View Full Record in Web of Science")</f>
        <v>View Full Record in Web of Science</v>
      </c>
    </row>
    <row r="311" spans="1:72" x14ac:dyDescent="0.15">
      <c r="A311" t="s">
        <v>72</v>
      </c>
      <c r="B311" t="s">
        <v>5932</v>
      </c>
      <c r="C311" t="s">
        <v>74</v>
      </c>
      <c r="D311" t="s">
        <v>74</v>
      </c>
      <c r="E311" t="s">
        <v>74</v>
      </c>
      <c r="F311" t="s">
        <v>5933</v>
      </c>
      <c r="G311" t="s">
        <v>74</v>
      </c>
      <c r="H311" t="s">
        <v>74</v>
      </c>
      <c r="I311" t="s">
        <v>5934</v>
      </c>
      <c r="J311" t="s">
        <v>5802</v>
      </c>
      <c r="K311" t="s">
        <v>74</v>
      </c>
      <c r="L311" t="s">
        <v>74</v>
      </c>
      <c r="M311" t="s">
        <v>78</v>
      </c>
      <c r="N311" t="s">
        <v>79</v>
      </c>
      <c r="O311" t="s">
        <v>74</v>
      </c>
      <c r="P311" t="s">
        <v>74</v>
      </c>
      <c r="Q311" t="s">
        <v>74</v>
      </c>
      <c r="R311" t="s">
        <v>74</v>
      </c>
      <c r="S311" t="s">
        <v>74</v>
      </c>
      <c r="T311" t="s">
        <v>5935</v>
      </c>
      <c r="U311" t="s">
        <v>5936</v>
      </c>
      <c r="V311" t="s">
        <v>5937</v>
      </c>
      <c r="W311" t="s">
        <v>5938</v>
      </c>
      <c r="X311" t="s">
        <v>5939</v>
      </c>
      <c r="Y311" t="s">
        <v>5940</v>
      </c>
      <c r="Z311" t="s">
        <v>5941</v>
      </c>
      <c r="AA311" t="s">
        <v>74</v>
      </c>
      <c r="AB311" t="s">
        <v>5942</v>
      </c>
      <c r="AC311" t="s">
        <v>5943</v>
      </c>
      <c r="AD311" t="s">
        <v>5944</v>
      </c>
      <c r="AE311" t="s">
        <v>5945</v>
      </c>
      <c r="AF311" t="s">
        <v>74</v>
      </c>
      <c r="AG311">
        <v>48</v>
      </c>
      <c r="AH311">
        <v>2</v>
      </c>
      <c r="AI311">
        <v>2</v>
      </c>
      <c r="AJ311">
        <v>3</v>
      </c>
      <c r="AK311">
        <v>14</v>
      </c>
      <c r="AL311" t="s">
        <v>703</v>
      </c>
      <c r="AM311" t="s">
        <v>704</v>
      </c>
      <c r="AN311" t="s">
        <v>705</v>
      </c>
      <c r="AO311" t="s">
        <v>5812</v>
      </c>
      <c r="AP311" t="s">
        <v>5813</v>
      </c>
      <c r="AQ311" t="s">
        <v>74</v>
      </c>
      <c r="AR311" t="s">
        <v>5814</v>
      </c>
      <c r="AS311" t="s">
        <v>5815</v>
      </c>
      <c r="AT311" t="s">
        <v>5816</v>
      </c>
      <c r="AU311">
        <v>2022</v>
      </c>
      <c r="AV311">
        <v>54</v>
      </c>
      <c r="AW311">
        <v>1</v>
      </c>
      <c r="AX311" t="s">
        <v>74</v>
      </c>
      <c r="AY311" t="s">
        <v>74</v>
      </c>
      <c r="AZ311" t="s">
        <v>74</v>
      </c>
      <c r="BA311" t="s">
        <v>74</v>
      </c>
      <c r="BB311">
        <v>525</v>
      </c>
      <c r="BC311">
        <v>536</v>
      </c>
      <c r="BD311" t="s">
        <v>74</v>
      </c>
      <c r="BE311" t="s">
        <v>5946</v>
      </c>
      <c r="BF311" t="str">
        <f>HYPERLINK("http://dx.doi.org/10.1080/15230430.2022.2121246","http://dx.doi.org/10.1080/15230430.2022.2121246")</f>
        <v>http://dx.doi.org/10.1080/15230430.2022.2121246</v>
      </c>
      <c r="BG311" t="s">
        <v>74</v>
      </c>
      <c r="BH311" t="s">
        <v>74</v>
      </c>
      <c r="BI311">
        <v>12</v>
      </c>
      <c r="BJ311" t="s">
        <v>5818</v>
      </c>
      <c r="BK311" t="s">
        <v>104</v>
      </c>
      <c r="BL311" t="s">
        <v>5819</v>
      </c>
      <c r="BM311" t="s">
        <v>5947</v>
      </c>
      <c r="BN311" t="s">
        <v>74</v>
      </c>
      <c r="BO311" t="s">
        <v>3181</v>
      </c>
      <c r="BP311" t="s">
        <v>74</v>
      </c>
      <c r="BQ311" t="s">
        <v>74</v>
      </c>
      <c r="BR311" t="s">
        <v>108</v>
      </c>
      <c r="BS311" t="s">
        <v>5948</v>
      </c>
      <c r="BT311" t="str">
        <f>HYPERLINK("https%3A%2F%2Fwww.webofscience.com%2Fwos%2Fwoscc%2Ffull-record%2FWOS:000870507100001","View Full Record in Web of Science")</f>
        <v>View Full Record in Web of Science</v>
      </c>
    </row>
    <row r="312" spans="1:72" x14ac:dyDescent="0.15">
      <c r="A312" t="s">
        <v>72</v>
      </c>
      <c r="B312" t="s">
        <v>5949</v>
      </c>
      <c r="C312" t="s">
        <v>74</v>
      </c>
      <c r="D312" t="s">
        <v>74</v>
      </c>
      <c r="E312" t="s">
        <v>74</v>
      </c>
      <c r="F312" t="s">
        <v>5950</v>
      </c>
      <c r="G312" t="s">
        <v>74</v>
      </c>
      <c r="H312" t="s">
        <v>74</v>
      </c>
      <c r="I312" t="s">
        <v>5951</v>
      </c>
      <c r="J312" t="s">
        <v>5802</v>
      </c>
      <c r="K312" t="s">
        <v>74</v>
      </c>
      <c r="L312" t="s">
        <v>74</v>
      </c>
      <c r="M312" t="s">
        <v>78</v>
      </c>
      <c r="N312" t="s">
        <v>79</v>
      </c>
      <c r="O312" t="s">
        <v>74</v>
      </c>
      <c r="P312" t="s">
        <v>74</v>
      </c>
      <c r="Q312" t="s">
        <v>74</v>
      </c>
      <c r="R312" t="s">
        <v>74</v>
      </c>
      <c r="S312" t="s">
        <v>74</v>
      </c>
      <c r="T312" t="s">
        <v>5952</v>
      </c>
      <c r="U312" t="s">
        <v>5953</v>
      </c>
      <c r="V312" t="s">
        <v>5954</v>
      </c>
      <c r="W312" t="s">
        <v>5955</v>
      </c>
      <c r="X312" t="s">
        <v>5956</v>
      </c>
      <c r="Y312" t="s">
        <v>5957</v>
      </c>
      <c r="Z312" t="s">
        <v>5958</v>
      </c>
      <c r="AA312" t="s">
        <v>74</v>
      </c>
      <c r="AB312" t="s">
        <v>74</v>
      </c>
      <c r="AC312" t="s">
        <v>5959</v>
      </c>
      <c r="AD312" t="s">
        <v>5959</v>
      </c>
      <c r="AE312" t="s">
        <v>5960</v>
      </c>
      <c r="AF312" t="s">
        <v>74</v>
      </c>
      <c r="AG312">
        <v>53</v>
      </c>
      <c r="AH312">
        <v>0</v>
      </c>
      <c r="AI312">
        <v>0</v>
      </c>
      <c r="AJ312">
        <v>1</v>
      </c>
      <c r="AK312">
        <v>11</v>
      </c>
      <c r="AL312" t="s">
        <v>703</v>
      </c>
      <c r="AM312" t="s">
        <v>704</v>
      </c>
      <c r="AN312" t="s">
        <v>705</v>
      </c>
      <c r="AO312" t="s">
        <v>5812</v>
      </c>
      <c r="AP312" t="s">
        <v>5813</v>
      </c>
      <c r="AQ312" t="s">
        <v>74</v>
      </c>
      <c r="AR312" t="s">
        <v>5814</v>
      </c>
      <c r="AS312" t="s">
        <v>5815</v>
      </c>
      <c r="AT312" t="s">
        <v>5816</v>
      </c>
      <c r="AU312">
        <v>2022</v>
      </c>
      <c r="AV312">
        <v>54</v>
      </c>
      <c r="AW312">
        <v>1</v>
      </c>
      <c r="AX312" t="s">
        <v>74</v>
      </c>
      <c r="AY312" t="s">
        <v>74</v>
      </c>
      <c r="AZ312" t="s">
        <v>74</v>
      </c>
      <c r="BA312" t="s">
        <v>74</v>
      </c>
      <c r="BB312">
        <v>507</v>
      </c>
      <c r="BC312">
        <v>524</v>
      </c>
      <c r="BD312" t="s">
        <v>74</v>
      </c>
      <c r="BE312" t="s">
        <v>5961</v>
      </c>
      <c r="BF312" t="str">
        <f>HYPERLINK("http://dx.doi.org/10.1080/15230430.2022.2123254","http://dx.doi.org/10.1080/15230430.2022.2123254")</f>
        <v>http://dx.doi.org/10.1080/15230430.2022.2123254</v>
      </c>
      <c r="BG312" t="s">
        <v>74</v>
      </c>
      <c r="BH312" t="s">
        <v>74</v>
      </c>
      <c r="BI312">
        <v>18</v>
      </c>
      <c r="BJ312" t="s">
        <v>5818</v>
      </c>
      <c r="BK312" t="s">
        <v>104</v>
      </c>
      <c r="BL312" t="s">
        <v>5819</v>
      </c>
      <c r="BM312" t="s">
        <v>5962</v>
      </c>
      <c r="BN312" t="s">
        <v>74</v>
      </c>
      <c r="BO312" t="s">
        <v>165</v>
      </c>
      <c r="BP312" t="s">
        <v>74</v>
      </c>
      <c r="BQ312" t="s">
        <v>74</v>
      </c>
      <c r="BR312" t="s">
        <v>108</v>
      </c>
      <c r="BS312" t="s">
        <v>5963</v>
      </c>
      <c r="BT312" t="str">
        <f>HYPERLINK("https%3A%2F%2Fwww.webofscience.com%2Fwos%2Fwoscc%2Ffull-record%2FWOS:000869752600001","View Full Record in Web of Science")</f>
        <v>View Full Record in Web of Science</v>
      </c>
    </row>
    <row r="313" spans="1:72" x14ac:dyDescent="0.15">
      <c r="A313" t="s">
        <v>72</v>
      </c>
      <c r="B313" t="s">
        <v>5964</v>
      </c>
      <c r="C313" t="s">
        <v>74</v>
      </c>
      <c r="D313" t="s">
        <v>74</v>
      </c>
      <c r="E313" t="s">
        <v>74</v>
      </c>
      <c r="F313" t="s">
        <v>5965</v>
      </c>
      <c r="G313" t="s">
        <v>74</v>
      </c>
      <c r="H313" t="s">
        <v>74</v>
      </c>
      <c r="I313" t="s">
        <v>5966</v>
      </c>
      <c r="J313" t="s">
        <v>5802</v>
      </c>
      <c r="K313" t="s">
        <v>74</v>
      </c>
      <c r="L313" t="s">
        <v>74</v>
      </c>
      <c r="M313" t="s">
        <v>78</v>
      </c>
      <c r="N313" t="s">
        <v>79</v>
      </c>
      <c r="O313" t="s">
        <v>74</v>
      </c>
      <c r="P313" t="s">
        <v>74</v>
      </c>
      <c r="Q313" t="s">
        <v>74</v>
      </c>
      <c r="R313" t="s">
        <v>74</v>
      </c>
      <c r="S313" t="s">
        <v>74</v>
      </c>
      <c r="T313" t="s">
        <v>5967</v>
      </c>
      <c r="U313" t="s">
        <v>5968</v>
      </c>
      <c r="V313" t="s">
        <v>5969</v>
      </c>
      <c r="W313" t="s">
        <v>5970</v>
      </c>
      <c r="X313" t="s">
        <v>5971</v>
      </c>
      <c r="Y313" t="s">
        <v>5972</v>
      </c>
      <c r="Z313" t="s">
        <v>5973</v>
      </c>
      <c r="AA313" t="s">
        <v>74</v>
      </c>
      <c r="AB313" t="s">
        <v>5974</v>
      </c>
      <c r="AC313" t="s">
        <v>5975</v>
      </c>
      <c r="AD313" t="s">
        <v>5976</v>
      </c>
      <c r="AE313" t="s">
        <v>5977</v>
      </c>
      <c r="AF313" t="s">
        <v>74</v>
      </c>
      <c r="AG313">
        <v>120</v>
      </c>
      <c r="AH313">
        <v>2</v>
      </c>
      <c r="AI313">
        <v>3</v>
      </c>
      <c r="AJ313">
        <v>2</v>
      </c>
      <c r="AK313">
        <v>17</v>
      </c>
      <c r="AL313" t="s">
        <v>703</v>
      </c>
      <c r="AM313" t="s">
        <v>704</v>
      </c>
      <c r="AN313" t="s">
        <v>705</v>
      </c>
      <c r="AO313" t="s">
        <v>5812</v>
      </c>
      <c r="AP313" t="s">
        <v>5813</v>
      </c>
      <c r="AQ313" t="s">
        <v>74</v>
      </c>
      <c r="AR313" t="s">
        <v>5814</v>
      </c>
      <c r="AS313" t="s">
        <v>5815</v>
      </c>
      <c r="AT313" t="s">
        <v>5816</v>
      </c>
      <c r="AU313">
        <v>2022</v>
      </c>
      <c r="AV313">
        <v>54</v>
      </c>
      <c r="AW313">
        <v>1</v>
      </c>
      <c r="AX313" t="s">
        <v>74</v>
      </c>
      <c r="AY313" t="s">
        <v>74</v>
      </c>
      <c r="AZ313" t="s">
        <v>74</v>
      </c>
      <c r="BA313" t="s">
        <v>74</v>
      </c>
      <c r="BB313">
        <v>488</v>
      </c>
      <c r="BC313">
        <v>506</v>
      </c>
      <c r="BD313" t="s">
        <v>74</v>
      </c>
      <c r="BE313" t="s">
        <v>5978</v>
      </c>
      <c r="BF313" t="str">
        <f>HYPERLINK("http://dx.doi.org/10.1080/15230430.2022.2121243","http://dx.doi.org/10.1080/15230430.2022.2121243")</f>
        <v>http://dx.doi.org/10.1080/15230430.2022.2121243</v>
      </c>
      <c r="BG313" t="s">
        <v>74</v>
      </c>
      <c r="BH313" t="s">
        <v>74</v>
      </c>
      <c r="BI313">
        <v>19</v>
      </c>
      <c r="BJ313" t="s">
        <v>5818</v>
      </c>
      <c r="BK313" t="s">
        <v>104</v>
      </c>
      <c r="BL313" t="s">
        <v>5819</v>
      </c>
      <c r="BM313" t="s">
        <v>5979</v>
      </c>
      <c r="BN313" t="s">
        <v>74</v>
      </c>
      <c r="BO313" t="s">
        <v>737</v>
      </c>
      <c r="BP313" t="s">
        <v>74</v>
      </c>
      <c r="BQ313" t="s">
        <v>74</v>
      </c>
      <c r="BR313" t="s">
        <v>108</v>
      </c>
      <c r="BS313" t="s">
        <v>5980</v>
      </c>
      <c r="BT313" t="str">
        <f>HYPERLINK("https%3A%2F%2Fwww.webofscience.com%2Fwos%2Fwoscc%2Ffull-record%2FWOS:000866242600001","View Full Record in Web of Science")</f>
        <v>View Full Record in Web of Science</v>
      </c>
    </row>
    <row r="314" spans="1:72" x14ac:dyDescent="0.15">
      <c r="A314" t="s">
        <v>72</v>
      </c>
      <c r="B314" t="s">
        <v>5981</v>
      </c>
      <c r="C314" t="s">
        <v>74</v>
      </c>
      <c r="D314" t="s">
        <v>74</v>
      </c>
      <c r="E314" t="s">
        <v>74</v>
      </c>
      <c r="F314" t="s">
        <v>5982</v>
      </c>
      <c r="G314" t="s">
        <v>74</v>
      </c>
      <c r="H314" t="s">
        <v>74</v>
      </c>
      <c r="I314" t="s">
        <v>5983</v>
      </c>
      <c r="J314" t="s">
        <v>5802</v>
      </c>
      <c r="K314" t="s">
        <v>74</v>
      </c>
      <c r="L314" t="s">
        <v>74</v>
      </c>
      <c r="M314" t="s">
        <v>78</v>
      </c>
      <c r="N314" t="s">
        <v>79</v>
      </c>
      <c r="O314" t="s">
        <v>74</v>
      </c>
      <c r="P314" t="s">
        <v>74</v>
      </c>
      <c r="Q314" t="s">
        <v>74</v>
      </c>
      <c r="R314" t="s">
        <v>74</v>
      </c>
      <c r="S314" t="s">
        <v>74</v>
      </c>
      <c r="T314" t="s">
        <v>5984</v>
      </c>
      <c r="U314" t="s">
        <v>5985</v>
      </c>
      <c r="V314" t="s">
        <v>5986</v>
      </c>
      <c r="W314" t="s">
        <v>5987</v>
      </c>
      <c r="X314" t="s">
        <v>5988</v>
      </c>
      <c r="Y314" t="s">
        <v>5989</v>
      </c>
      <c r="Z314" t="s">
        <v>5990</v>
      </c>
      <c r="AA314" t="s">
        <v>5991</v>
      </c>
      <c r="AB314" t="s">
        <v>5992</v>
      </c>
      <c r="AC314" t="s">
        <v>5993</v>
      </c>
      <c r="AD314" t="s">
        <v>5993</v>
      </c>
      <c r="AE314" t="s">
        <v>5994</v>
      </c>
      <c r="AF314" t="s">
        <v>74</v>
      </c>
      <c r="AG314">
        <v>48</v>
      </c>
      <c r="AH314">
        <v>1</v>
      </c>
      <c r="AI314">
        <v>1</v>
      </c>
      <c r="AJ314">
        <v>3</v>
      </c>
      <c r="AK314">
        <v>20</v>
      </c>
      <c r="AL314" t="s">
        <v>703</v>
      </c>
      <c r="AM314" t="s">
        <v>704</v>
      </c>
      <c r="AN314" t="s">
        <v>705</v>
      </c>
      <c r="AO314" t="s">
        <v>5812</v>
      </c>
      <c r="AP314" t="s">
        <v>5813</v>
      </c>
      <c r="AQ314" t="s">
        <v>74</v>
      </c>
      <c r="AR314" t="s">
        <v>5814</v>
      </c>
      <c r="AS314" t="s">
        <v>5815</v>
      </c>
      <c r="AT314" t="s">
        <v>5816</v>
      </c>
      <c r="AU314">
        <v>2022</v>
      </c>
      <c r="AV314">
        <v>54</v>
      </c>
      <c r="AW314">
        <v>1</v>
      </c>
      <c r="AX314" t="s">
        <v>74</v>
      </c>
      <c r="AY314" t="s">
        <v>74</v>
      </c>
      <c r="AZ314" t="s">
        <v>74</v>
      </c>
      <c r="BA314" t="s">
        <v>74</v>
      </c>
      <c r="BB314">
        <v>478</v>
      </c>
      <c r="BC314">
        <v>487</v>
      </c>
      <c r="BD314" t="s">
        <v>74</v>
      </c>
      <c r="BE314" t="s">
        <v>5995</v>
      </c>
      <c r="BF314" t="str">
        <f>HYPERLINK("http://dx.doi.org/10.1080/15230430.2022.2121245","http://dx.doi.org/10.1080/15230430.2022.2121245")</f>
        <v>http://dx.doi.org/10.1080/15230430.2022.2121245</v>
      </c>
      <c r="BG314" t="s">
        <v>74</v>
      </c>
      <c r="BH314" t="s">
        <v>74</v>
      </c>
      <c r="BI314">
        <v>10</v>
      </c>
      <c r="BJ314" t="s">
        <v>5818</v>
      </c>
      <c r="BK314" t="s">
        <v>104</v>
      </c>
      <c r="BL314" t="s">
        <v>5819</v>
      </c>
      <c r="BM314" t="s">
        <v>5996</v>
      </c>
      <c r="BN314" t="s">
        <v>74</v>
      </c>
      <c r="BO314" t="s">
        <v>165</v>
      </c>
      <c r="BP314" t="s">
        <v>74</v>
      </c>
      <c r="BQ314" t="s">
        <v>74</v>
      </c>
      <c r="BR314" t="s">
        <v>108</v>
      </c>
      <c r="BS314" t="s">
        <v>5997</v>
      </c>
      <c r="BT314" t="str">
        <f>HYPERLINK("https%3A%2F%2Fwww.webofscience.com%2Fwos%2Fwoscc%2Ffull-record%2FWOS:000865880600001","View Full Record in Web of Science")</f>
        <v>View Full Record in Web of Science</v>
      </c>
    </row>
    <row r="315" spans="1:72" x14ac:dyDescent="0.15">
      <c r="A315" t="s">
        <v>72</v>
      </c>
      <c r="B315" t="s">
        <v>5998</v>
      </c>
      <c r="C315" t="s">
        <v>74</v>
      </c>
      <c r="D315" t="s">
        <v>74</v>
      </c>
      <c r="E315" t="s">
        <v>74</v>
      </c>
      <c r="F315" t="s">
        <v>5999</v>
      </c>
      <c r="G315" t="s">
        <v>74</v>
      </c>
      <c r="H315" t="s">
        <v>74</v>
      </c>
      <c r="I315" t="s">
        <v>6000</v>
      </c>
      <c r="J315" t="s">
        <v>5802</v>
      </c>
      <c r="K315" t="s">
        <v>74</v>
      </c>
      <c r="L315" t="s">
        <v>74</v>
      </c>
      <c r="M315" t="s">
        <v>78</v>
      </c>
      <c r="N315" t="s">
        <v>79</v>
      </c>
      <c r="O315" t="s">
        <v>74</v>
      </c>
      <c r="P315" t="s">
        <v>74</v>
      </c>
      <c r="Q315" t="s">
        <v>74</v>
      </c>
      <c r="R315" t="s">
        <v>74</v>
      </c>
      <c r="S315" t="s">
        <v>74</v>
      </c>
      <c r="T315" t="s">
        <v>6001</v>
      </c>
      <c r="U315" t="s">
        <v>6002</v>
      </c>
      <c r="V315" t="s">
        <v>6003</v>
      </c>
      <c r="W315" t="s">
        <v>6004</v>
      </c>
      <c r="X315" t="s">
        <v>6005</v>
      </c>
      <c r="Y315" t="s">
        <v>6006</v>
      </c>
      <c r="Z315" t="s">
        <v>6007</v>
      </c>
      <c r="AA315" t="s">
        <v>6008</v>
      </c>
      <c r="AB315" t="s">
        <v>6009</v>
      </c>
      <c r="AC315" t="s">
        <v>6010</v>
      </c>
      <c r="AD315" t="s">
        <v>6011</v>
      </c>
      <c r="AE315" t="s">
        <v>6012</v>
      </c>
      <c r="AF315" t="s">
        <v>74</v>
      </c>
      <c r="AG315">
        <v>58</v>
      </c>
      <c r="AH315">
        <v>1</v>
      </c>
      <c r="AI315">
        <v>1</v>
      </c>
      <c r="AJ315">
        <v>4</v>
      </c>
      <c r="AK315">
        <v>6</v>
      </c>
      <c r="AL315" t="s">
        <v>703</v>
      </c>
      <c r="AM315" t="s">
        <v>704</v>
      </c>
      <c r="AN315" t="s">
        <v>705</v>
      </c>
      <c r="AO315" t="s">
        <v>5812</v>
      </c>
      <c r="AP315" t="s">
        <v>5813</v>
      </c>
      <c r="AQ315" t="s">
        <v>74</v>
      </c>
      <c r="AR315" t="s">
        <v>5814</v>
      </c>
      <c r="AS315" t="s">
        <v>5815</v>
      </c>
      <c r="AT315" t="s">
        <v>5816</v>
      </c>
      <c r="AU315">
        <v>2022</v>
      </c>
      <c r="AV315">
        <v>54</v>
      </c>
      <c r="AW315">
        <v>1</v>
      </c>
      <c r="AX315" t="s">
        <v>74</v>
      </c>
      <c r="AY315" t="s">
        <v>74</v>
      </c>
      <c r="AZ315" t="s">
        <v>74</v>
      </c>
      <c r="BA315" t="s">
        <v>74</v>
      </c>
      <c r="BB315">
        <v>465</v>
      </c>
      <c r="BC315">
        <v>477</v>
      </c>
      <c r="BD315" t="s">
        <v>74</v>
      </c>
      <c r="BE315" t="s">
        <v>6013</v>
      </c>
      <c r="BF315" t="str">
        <f>HYPERLINK("http://dx.doi.org/10.1080/15230430.2022.2120246","http://dx.doi.org/10.1080/15230430.2022.2120246")</f>
        <v>http://dx.doi.org/10.1080/15230430.2022.2120246</v>
      </c>
      <c r="BG315" t="s">
        <v>74</v>
      </c>
      <c r="BH315" t="s">
        <v>74</v>
      </c>
      <c r="BI315">
        <v>13</v>
      </c>
      <c r="BJ315" t="s">
        <v>5818</v>
      </c>
      <c r="BK315" t="s">
        <v>104</v>
      </c>
      <c r="BL315" t="s">
        <v>5819</v>
      </c>
      <c r="BM315" t="s">
        <v>6014</v>
      </c>
      <c r="BN315" t="s">
        <v>74</v>
      </c>
      <c r="BO315" t="s">
        <v>3181</v>
      </c>
      <c r="BP315" t="s">
        <v>74</v>
      </c>
      <c r="BQ315" t="s">
        <v>74</v>
      </c>
      <c r="BR315" t="s">
        <v>108</v>
      </c>
      <c r="BS315" t="s">
        <v>6015</v>
      </c>
      <c r="BT315" t="str">
        <f>HYPERLINK("https%3A%2F%2Fwww.webofscience.com%2Fwos%2Fwoscc%2Ffull-record%2FWOS:000863511600001","View Full Record in Web of Science")</f>
        <v>View Full Record in Web of Science</v>
      </c>
    </row>
    <row r="316" spans="1:72" x14ac:dyDescent="0.15">
      <c r="A316" t="s">
        <v>72</v>
      </c>
      <c r="B316" t="s">
        <v>6016</v>
      </c>
      <c r="C316" t="s">
        <v>74</v>
      </c>
      <c r="D316" t="s">
        <v>74</v>
      </c>
      <c r="E316" t="s">
        <v>74</v>
      </c>
      <c r="F316" t="s">
        <v>6017</v>
      </c>
      <c r="G316" t="s">
        <v>74</v>
      </c>
      <c r="H316" t="s">
        <v>74</v>
      </c>
      <c r="I316" t="s">
        <v>6018</v>
      </c>
      <c r="J316" t="s">
        <v>5802</v>
      </c>
      <c r="K316" t="s">
        <v>74</v>
      </c>
      <c r="L316" t="s">
        <v>74</v>
      </c>
      <c r="M316" t="s">
        <v>78</v>
      </c>
      <c r="N316" t="s">
        <v>79</v>
      </c>
      <c r="O316" t="s">
        <v>74</v>
      </c>
      <c r="P316" t="s">
        <v>74</v>
      </c>
      <c r="Q316" t="s">
        <v>74</v>
      </c>
      <c r="R316" t="s">
        <v>74</v>
      </c>
      <c r="S316" t="s">
        <v>74</v>
      </c>
      <c r="T316" t="s">
        <v>6019</v>
      </c>
      <c r="U316" t="s">
        <v>6020</v>
      </c>
      <c r="V316" t="s">
        <v>6021</v>
      </c>
      <c r="W316" t="s">
        <v>6022</v>
      </c>
      <c r="X316" t="s">
        <v>6023</v>
      </c>
      <c r="Y316" t="s">
        <v>6024</v>
      </c>
      <c r="Z316" t="s">
        <v>6025</v>
      </c>
      <c r="AA316" t="s">
        <v>6026</v>
      </c>
      <c r="AB316" t="s">
        <v>6027</v>
      </c>
      <c r="AC316" t="s">
        <v>6028</v>
      </c>
      <c r="AD316" t="s">
        <v>6029</v>
      </c>
      <c r="AE316" t="s">
        <v>6030</v>
      </c>
      <c r="AF316" t="s">
        <v>74</v>
      </c>
      <c r="AG316">
        <v>114</v>
      </c>
      <c r="AH316">
        <v>3</v>
      </c>
      <c r="AI316">
        <v>4</v>
      </c>
      <c r="AJ316">
        <v>9</v>
      </c>
      <c r="AK316">
        <v>38</v>
      </c>
      <c r="AL316" t="s">
        <v>703</v>
      </c>
      <c r="AM316" t="s">
        <v>704</v>
      </c>
      <c r="AN316" t="s">
        <v>705</v>
      </c>
      <c r="AO316" t="s">
        <v>5812</v>
      </c>
      <c r="AP316" t="s">
        <v>5813</v>
      </c>
      <c r="AQ316" t="s">
        <v>74</v>
      </c>
      <c r="AR316" t="s">
        <v>5814</v>
      </c>
      <c r="AS316" t="s">
        <v>5815</v>
      </c>
      <c r="AT316" t="s">
        <v>5816</v>
      </c>
      <c r="AU316">
        <v>2022</v>
      </c>
      <c r="AV316">
        <v>54</v>
      </c>
      <c r="AW316">
        <v>1</v>
      </c>
      <c r="AX316" t="s">
        <v>74</v>
      </c>
      <c r="AY316" t="s">
        <v>74</v>
      </c>
      <c r="AZ316" t="s">
        <v>74</v>
      </c>
      <c r="BA316" t="s">
        <v>74</v>
      </c>
      <c r="BB316">
        <v>443</v>
      </c>
      <c r="BC316">
        <v>464</v>
      </c>
      <c r="BD316" t="s">
        <v>74</v>
      </c>
      <c r="BE316" t="s">
        <v>6031</v>
      </c>
      <c r="BF316" t="str">
        <f>HYPERLINK("http://dx.doi.org/10.1080/15230430.2022.2118639","http://dx.doi.org/10.1080/15230430.2022.2118639")</f>
        <v>http://dx.doi.org/10.1080/15230430.2022.2118639</v>
      </c>
      <c r="BG316" t="s">
        <v>74</v>
      </c>
      <c r="BH316" t="s">
        <v>74</v>
      </c>
      <c r="BI316">
        <v>22</v>
      </c>
      <c r="BJ316" t="s">
        <v>5818</v>
      </c>
      <c r="BK316" t="s">
        <v>104</v>
      </c>
      <c r="BL316" t="s">
        <v>5819</v>
      </c>
      <c r="BM316" t="s">
        <v>6032</v>
      </c>
      <c r="BN316" t="s">
        <v>74</v>
      </c>
      <c r="BO316" t="s">
        <v>165</v>
      </c>
      <c r="BP316" t="s">
        <v>74</v>
      </c>
      <c r="BQ316" t="s">
        <v>74</v>
      </c>
      <c r="BR316" t="s">
        <v>108</v>
      </c>
      <c r="BS316" t="s">
        <v>6033</v>
      </c>
      <c r="BT316" t="str">
        <f>HYPERLINK("https%3A%2F%2Fwww.webofscience.com%2Fwos%2Fwoscc%2Ffull-record%2FWOS:000861720400001","View Full Record in Web of Science")</f>
        <v>View Full Record in Web of Science</v>
      </c>
    </row>
    <row r="317" spans="1:72" x14ac:dyDescent="0.15">
      <c r="A317" t="s">
        <v>72</v>
      </c>
      <c r="B317" t="s">
        <v>6034</v>
      </c>
      <c r="C317" t="s">
        <v>74</v>
      </c>
      <c r="D317" t="s">
        <v>74</v>
      </c>
      <c r="E317" t="s">
        <v>74</v>
      </c>
      <c r="F317" t="s">
        <v>6035</v>
      </c>
      <c r="G317" t="s">
        <v>74</v>
      </c>
      <c r="H317" t="s">
        <v>74</v>
      </c>
      <c r="I317" t="s">
        <v>6036</v>
      </c>
      <c r="J317" t="s">
        <v>5802</v>
      </c>
      <c r="K317" t="s">
        <v>74</v>
      </c>
      <c r="L317" t="s">
        <v>74</v>
      </c>
      <c r="M317" t="s">
        <v>78</v>
      </c>
      <c r="N317" t="s">
        <v>79</v>
      </c>
      <c r="O317" t="s">
        <v>74</v>
      </c>
      <c r="P317" t="s">
        <v>74</v>
      </c>
      <c r="Q317" t="s">
        <v>74</v>
      </c>
      <c r="R317" t="s">
        <v>74</v>
      </c>
      <c r="S317" t="s">
        <v>74</v>
      </c>
      <c r="T317" t="s">
        <v>6037</v>
      </c>
      <c r="U317" t="s">
        <v>6038</v>
      </c>
      <c r="V317" t="s">
        <v>6039</v>
      </c>
      <c r="W317" t="s">
        <v>6040</v>
      </c>
      <c r="X317" t="s">
        <v>6041</v>
      </c>
      <c r="Y317" t="s">
        <v>6042</v>
      </c>
      <c r="Z317" t="s">
        <v>6043</v>
      </c>
      <c r="AA317" t="s">
        <v>6044</v>
      </c>
      <c r="AB317" t="s">
        <v>6045</v>
      </c>
      <c r="AC317" t="s">
        <v>6046</v>
      </c>
      <c r="AD317" t="s">
        <v>6047</v>
      </c>
      <c r="AE317" t="s">
        <v>6048</v>
      </c>
      <c r="AF317" t="s">
        <v>74</v>
      </c>
      <c r="AG317">
        <v>136</v>
      </c>
      <c r="AH317">
        <v>4</v>
      </c>
      <c r="AI317">
        <v>4</v>
      </c>
      <c r="AJ317">
        <v>0</v>
      </c>
      <c r="AK317">
        <v>15</v>
      </c>
      <c r="AL317" t="s">
        <v>703</v>
      </c>
      <c r="AM317" t="s">
        <v>704</v>
      </c>
      <c r="AN317" t="s">
        <v>705</v>
      </c>
      <c r="AO317" t="s">
        <v>5812</v>
      </c>
      <c r="AP317" t="s">
        <v>5813</v>
      </c>
      <c r="AQ317" t="s">
        <v>74</v>
      </c>
      <c r="AR317" t="s">
        <v>5814</v>
      </c>
      <c r="AS317" t="s">
        <v>5815</v>
      </c>
      <c r="AT317" t="s">
        <v>5816</v>
      </c>
      <c r="AU317">
        <v>2022</v>
      </c>
      <c r="AV317">
        <v>54</v>
      </c>
      <c r="AW317">
        <v>1</v>
      </c>
      <c r="AX317" t="s">
        <v>74</v>
      </c>
      <c r="AY317" t="s">
        <v>74</v>
      </c>
      <c r="AZ317" t="s">
        <v>74</v>
      </c>
      <c r="BA317" t="s">
        <v>74</v>
      </c>
      <c r="BB317">
        <v>395</v>
      </c>
      <c r="BC317">
        <v>427</v>
      </c>
      <c r="BD317" t="s">
        <v>74</v>
      </c>
      <c r="BE317" t="s">
        <v>6049</v>
      </c>
      <c r="BF317" t="str">
        <f>HYPERLINK("http://dx.doi.org/10.1080/15230430.2022.2110689","http://dx.doi.org/10.1080/15230430.2022.2110689")</f>
        <v>http://dx.doi.org/10.1080/15230430.2022.2110689</v>
      </c>
      <c r="BG317" t="s">
        <v>74</v>
      </c>
      <c r="BH317" t="s">
        <v>74</v>
      </c>
      <c r="BI317">
        <v>33</v>
      </c>
      <c r="BJ317" t="s">
        <v>5818</v>
      </c>
      <c r="BK317" t="s">
        <v>104</v>
      </c>
      <c r="BL317" t="s">
        <v>5819</v>
      </c>
      <c r="BM317" t="s">
        <v>6050</v>
      </c>
      <c r="BN317" t="s">
        <v>74</v>
      </c>
      <c r="BO317" t="s">
        <v>737</v>
      </c>
      <c r="BP317" t="s">
        <v>74</v>
      </c>
      <c r="BQ317" t="s">
        <v>74</v>
      </c>
      <c r="BR317" t="s">
        <v>108</v>
      </c>
      <c r="BS317" t="s">
        <v>6051</v>
      </c>
      <c r="BT317" t="str">
        <f>HYPERLINK("https%3A%2F%2Fwww.webofscience.com%2Fwos%2Fwoscc%2Ffull-record%2FWOS:000860959100001","View Full Record in Web of Science")</f>
        <v>View Full Record in Web of Science</v>
      </c>
    </row>
    <row r="318" spans="1:72" x14ac:dyDescent="0.15">
      <c r="A318" t="s">
        <v>72</v>
      </c>
      <c r="B318" t="s">
        <v>6052</v>
      </c>
      <c r="C318" t="s">
        <v>74</v>
      </c>
      <c r="D318" t="s">
        <v>74</v>
      </c>
      <c r="E318" t="s">
        <v>74</v>
      </c>
      <c r="F318" t="s">
        <v>6053</v>
      </c>
      <c r="G318" t="s">
        <v>74</v>
      </c>
      <c r="H318" t="s">
        <v>74</v>
      </c>
      <c r="I318" t="s">
        <v>6054</v>
      </c>
      <c r="J318" t="s">
        <v>5802</v>
      </c>
      <c r="K318" t="s">
        <v>74</v>
      </c>
      <c r="L318" t="s">
        <v>74</v>
      </c>
      <c r="M318" t="s">
        <v>78</v>
      </c>
      <c r="N318" t="s">
        <v>79</v>
      </c>
      <c r="O318" t="s">
        <v>74</v>
      </c>
      <c r="P318" t="s">
        <v>74</v>
      </c>
      <c r="Q318" t="s">
        <v>74</v>
      </c>
      <c r="R318" t="s">
        <v>74</v>
      </c>
      <c r="S318" t="s">
        <v>74</v>
      </c>
      <c r="T318" t="s">
        <v>6055</v>
      </c>
      <c r="U318" t="s">
        <v>6056</v>
      </c>
      <c r="V318" t="s">
        <v>6057</v>
      </c>
      <c r="W318" t="s">
        <v>6058</v>
      </c>
      <c r="X318" t="s">
        <v>6059</v>
      </c>
      <c r="Y318" t="s">
        <v>6060</v>
      </c>
      <c r="Z318" t="s">
        <v>6061</v>
      </c>
      <c r="AA318" t="s">
        <v>74</v>
      </c>
      <c r="AB318" t="s">
        <v>6062</v>
      </c>
      <c r="AC318" t="s">
        <v>74</v>
      </c>
      <c r="AD318" t="s">
        <v>74</v>
      </c>
      <c r="AE318" t="s">
        <v>74</v>
      </c>
      <c r="AF318" t="s">
        <v>74</v>
      </c>
      <c r="AG318">
        <v>72</v>
      </c>
      <c r="AH318">
        <v>1</v>
      </c>
      <c r="AI318">
        <v>1</v>
      </c>
      <c r="AJ318">
        <v>2</v>
      </c>
      <c r="AK318">
        <v>6</v>
      </c>
      <c r="AL318" t="s">
        <v>703</v>
      </c>
      <c r="AM318" t="s">
        <v>704</v>
      </c>
      <c r="AN318" t="s">
        <v>705</v>
      </c>
      <c r="AO318" t="s">
        <v>5812</v>
      </c>
      <c r="AP318" t="s">
        <v>5813</v>
      </c>
      <c r="AQ318" t="s">
        <v>74</v>
      </c>
      <c r="AR318" t="s">
        <v>5814</v>
      </c>
      <c r="AS318" t="s">
        <v>5815</v>
      </c>
      <c r="AT318" t="s">
        <v>5816</v>
      </c>
      <c r="AU318">
        <v>2022</v>
      </c>
      <c r="AV318">
        <v>54</v>
      </c>
      <c r="AW318">
        <v>1</v>
      </c>
      <c r="AX318" t="s">
        <v>74</v>
      </c>
      <c r="AY318" t="s">
        <v>74</v>
      </c>
      <c r="AZ318" t="s">
        <v>74</v>
      </c>
      <c r="BA318" t="s">
        <v>74</v>
      </c>
      <c r="BB318">
        <v>428</v>
      </c>
      <c r="BC318">
        <v>442</v>
      </c>
      <c r="BD318" t="s">
        <v>74</v>
      </c>
      <c r="BE318" t="s">
        <v>6063</v>
      </c>
      <c r="BF318" t="str">
        <f>HYPERLINK("http://dx.doi.org/10.1080/15230430.2022.2117765","http://dx.doi.org/10.1080/15230430.2022.2117765")</f>
        <v>http://dx.doi.org/10.1080/15230430.2022.2117765</v>
      </c>
      <c r="BG318" t="s">
        <v>74</v>
      </c>
      <c r="BH318" t="s">
        <v>74</v>
      </c>
      <c r="BI318">
        <v>15</v>
      </c>
      <c r="BJ318" t="s">
        <v>5818</v>
      </c>
      <c r="BK318" t="s">
        <v>104</v>
      </c>
      <c r="BL318" t="s">
        <v>5819</v>
      </c>
      <c r="BM318" t="s">
        <v>6064</v>
      </c>
      <c r="BN318" t="s">
        <v>74</v>
      </c>
      <c r="BO318" t="s">
        <v>3181</v>
      </c>
      <c r="BP318" t="s">
        <v>74</v>
      </c>
      <c r="BQ318" t="s">
        <v>74</v>
      </c>
      <c r="BR318" t="s">
        <v>108</v>
      </c>
      <c r="BS318" t="s">
        <v>6065</v>
      </c>
      <c r="BT318" t="str">
        <f>HYPERLINK("https%3A%2F%2Fwww.webofscience.com%2Fwos%2Fwoscc%2Ffull-record%2FWOS:000860362300001","View Full Record in Web of Science")</f>
        <v>View Full Record in Web of Science</v>
      </c>
    </row>
    <row r="319" spans="1:72" x14ac:dyDescent="0.15">
      <c r="A319" t="s">
        <v>72</v>
      </c>
      <c r="B319" t="s">
        <v>6066</v>
      </c>
      <c r="C319" t="s">
        <v>74</v>
      </c>
      <c r="D319" t="s">
        <v>74</v>
      </c>
      <c r="E319" t="s">
        <v>74</v>
      </c>
      <c r="F319" t="s">
        <v>6067</v>
      </c>
      <c r="G319" t="s">
        <v>74</v>
      </c>
      <c r="H319" t="s">
        <v>74</v>
      </c>
      <c r="I319" t="s">
        <v>6068</v>
      </c>
      <c r="J319" t="s">
        <v>5802</v>
      </c>
      <c r="K319" t="s">
        <v>74</v>
      </c>
      <c r="L319" t="s">
        <v>74</v>
      </c>
      <c r="M319" t="s">
        <v>78</v>
      </c>
      <c r="N319" t="s">
        <v>79</v>
      </c>
      <c r="O319" t="s">
        <v>74</v>
      </c>
      <c r="P319" t="s">
        <v>74</v>
      </c>
      <c r="Q319" t="s">
        <v>74</v>
      </c>
      <c r="R319" t="s">
        <v>74</v>
      </c>
      <c r="S319" t="s">
        <v>74</v>
      </c>
      <c r="T319" t="s">
        <v>6069</v>
      </c>
      <c r="U319" t="s">
        <v>6070</v>
      </c>
      <c r="V319" t="s">
        <v>6071</v>
      </c>
      <c r="W319" t="s">
        <v>6072</v>
      </c>
      <c r="X319" t="s">
        <v>6073</v>
      </c>
      <c r="Y319" t="s">
        <v>6074</v>
      </c>
      <c r="Z319" t="s">
        <v>6075</v>
      </c>
      <c r="AA319" t="s">
        <v>74</v>
      </c>
      <c r="AB319" t="s">
        <v>74</v>
      </c>
      <c r="AC319" t="s">
        <v>6076</v>
      </c>
      <c r="AD319" t="s">
        <v>6077</v>
      </c>
      <c r="AE319" t="s">
        <v>6078</v>
      </c>
      <c r="AF319" t="s">
        <v>74</v>
      </c>
      <c r="AG319">
        <v>25</v>
      </c>
      <c r="AH319">
        <v>0</v>
      </c>
      <c r="AI319">
        <v>0</v>
      </c>
      <c r="AJ319">
        <v>1</v>
      </c>
      <c r="AK319">
        <v>8</v>
      </c>
      <c r="AL319" t="s">
        <v>703</v>
      </c>
      <c r="AM319" t="s">
        <v>704</v>
      </c>
      <c r="AN319" t="s">
        <v>705</v>
      </c>
      <c r="AO319" t="s">
        <v>5812</v>
      </c>
      <c r="AP319" t="s">
        <v>5813</v>
      </c>
      <c r="AQ319" t="s">
        <v>74</v>
      </c>
      <c r="AR319" t="s">
        <v>5814</v>
      </c>
      <c r="AS319" t="s">
        <v>5815</v>
      </c>
      <c r="AT319" t="s">
        <v>5816</v>
      </c>
      <c r="AU319">
        <v>2022</v>
      </c>
      <c r="AV319">
        <v>54</v>
      </c>
      <c r="AW319">
        <v>1</v>
      </c>
      <c r="AX319" t="s">
        <v>74</v>
      </c>
      <c r="AY319" t="s">
        <v>74</v>
      </c>
      <c r="AZ319" t="s">
        <v>74</v>
      </c>
      <c r="BA319" t="s">
        <v>74</v>
      </c>
      <c r="BB319">
        <v>386</v>
      </c>
      <c r="BC319">
        <v>394</v>
      </c>
      <c r="BD319" t="s">
        <v>74</v>
      </c>
      <c r="BE319" t="s">
        <v>6079</v>
      </c>
      <c r="BF319" t="str">
        <f>HYPERLINK("http://dx.doi.org/10.1080/15230430.2022.2109785","http://dx.doi.org/10.1080/15230430.2022.2109785")</f>
        <v>http://dx.doi.org/10.1080/15230430.2022.2109785</v>
      </c>
      <c r="BG319" t="s">
        <v>74</v>
      </c>
      <c r="BH319" t="s">
        <v>74</v>
      </c>
      <c r="BI319">
        <v>9</v>
      </c>
      <c r="BJ319" t="s">
        <v>5818</v>
      </c>
      <c r="BK319" t="s">
        <v>104</v>
      </c>
      <c r="BL319" t="s">
        <v>5819</v>
      </c>
      <c r="BM319" t="s">
        <v>6080</v>
      </c>
      <c r="BN319" t="s">
        <v>74</v>
      </c>
      <c r="BO319" t="s">
        <v>74</v>
      </c>
      <c r="BP319" t="s">
        <v>74</v>
      </c>
      <c r="BQ319" t="s">
        <v>74</v>
      </c>
      <c r="BR319" t="s">
        <v>108</v>
      </c>
      <c r="BS319" t="s">
        <v>6081</v>
      </c>
      <c r="BT319" t="str">
        <f>HYPERLINK("https%3A%2F%2Fwww.webofscience.com%2Fwos%2Fwoscc%2Ffull-record%2FWOS:000848482800001","View Full Record in Web of Science")</f>
        <v>View Full Record in Web of Science</v>
      </c>
    </row>
    <row r="320" spans="1:72" x14ac:dyDescent="0.15">
      <c r="A320" t="s">
        <v>72</v>
      </c>
      <c r="B320" t="s">
        <v>6082</v>
      </c>
      <c r="C320" t="s">
        <v>74</v>
      </c>
      <c r="D320" t="s">
        <v>74</v>
      </c>
      <c r="E320" t="s">
        <v>74</v>
      </c>
      <c r="F320" t="s">
        <v>6083</v>
      </c>
      <c r="G320" t="s">
        <v>74</v>
      </c>
      <c r="H320" t="s">
        <v>74</v>
      </c>
      <c r="I320" t="s">
        <v>6084</v>
      </c>
      <c r="J320" t="s">
        <v>5802</v>
      </c>
      <c r="K320" t="s">
        <v>74</v>
      </c>
      <c r="L320" t="s">
        <v>74</v>
      </c>
      <c r="M320" t="s">
        <v>78</v>
      </c>
      <c r="N320" t="s">
        <v>79</v>
      </c>
      <c r="O320" t="s">
        <v>74</v>
      </c>
      <c r="P320" t="s">
        <v>74</v>
      </c>
      <c r="Q320" t="s">
        <v>74</v>
      </c>
      <c r="R320" t="s">
        <v>74</v>
      </c>
      <c r="S320" t="s">
        <v>74</v>
      </c>
      <c r="T320" t="s">
        <v>6085</v>
      </c>
      <c r="U320" t="s">
        <v>6086</v>
      </c>
      <c r="V320" t="s">
        <v>6087</v>
      </c>
      <c r="W320" t="s">
        <v>6088</v>
      </c>
      <c r="X320" t="s">
        <v>6089</v>
      </c>
      <c r="Y320" t="s">
        <v>6090</v>
      </c>
      <c r="Z320" t="s">
        <v>6091</v>
      </c>
      <c r="AA320" t="s">
        <v>6092</v>
      </c>
      <c r="AB320" t="s">
        <v>6093</v>
      </c>
      <c r="AC320" t="s">
        <v>6094</v>
      </c>
      <c r="AD320" t="s">
        <v>6094</v>
      </c>
      <c r="AE320" t="s">
        <v>6095</v>
      </c>
      <c r="AF320" t="s">
        <v>74</v>
      </c>
      <c r="AG320">
        <v>123</v>
      </c>
      <c r="AH320">
        <v>0</v>
      </c>
      <c r="AI320">
        <v>1</v>
      </c>
      <c r="AJ320">
        <v>13</v>
      </c>
      <c r="AK320">
        <v>47</v>
      </c>
      <c r="AL320" t="s">
        <v>703</v>
      </c>
      <c r="AM320" t="s">
        <v>704</v>
      </c>
      <c r="AN320" t="s">
        <v>705</v>
      </c>
      <c r="AO320" t="s">
        <v>5812</v>
      </c>
      <c r="AP320" t="s">
        <v>5813</v>
      </c>
      <c r="AQ320" t="s">
        <v>74</v>
      </c>
      <c r="AR320" t="s">
        <v>5814</v>
      </c>
      <c r="AS320" t="s">
        <v>5815</v>
      </c>
      <c r="AT320" t="s">
        <v>5816</v>
      </c>
      <c r="AU320">
        <v>2022</v>
      </c>
      <c r="AV320">
        <v>54</v>
      </c>
      <c r="AW320">
        <v>1</v>
      </c>
      <c r="AX320" t="s">
        <v>74</v>
      </c>
      <c r="AY320" t="s">
        <v>74</v>
      </c>
      <c r="AZ320" t="s">
        <v>74</v>
      </c>
      <c r="BA320" t="s">
        <v>74</v>
      </c>
      <c r="BB320">
        <v>368</v>
      </c>
      <c r="BC320">
        <v>385</v>
      </c>
      <c r="BD320" t="s">
        <v>74</v>
      </c>
      <c r="BE320" t="s">
        <v>6096</v>
      </c>
      <c r="BF320" t="str">
        <f>HYPERLINK("http://dx.doi.org/10.1080/15230430.2022.2104001","http://dx.doi.org/10.1080/15230430.2022.2104001")</f>
        <v>http://dx.doi.org/10.1080/15230430.2022.2104001</v>
      </c>
      <c r="BG320" t="s">
        <v>74</v>
      </c>
      <c r="BH320" t="s">
        <v>74</v>
      </c>
      <c r="BI320">
        <v>18</v>
      </c>
      <c r="BJ320" t="s">
        <v>5818</v>
      </c>
      <c r="BK320" t="s">
        <v>104</v>
      </c>
      <c r="BL320" t="s">
        <v>5819</v>
      </c>
      <c r="BM320" t="s">
        <v>6097</v>
      </c>
      <c r="BN320" t="s">
        <v>74</v>
      </c>
      <c r="BO320" t="s">
        <v>3561</v>
      </c>
      <c r="BP320" t="s">
        <v>74</v>
      </c>
      <c r="BQ320" t="s">
        <v>74</v>
      </c>
      <c r="BR320" t="s">
        <v>108</v>
      </c>
      <c r="BS320" t="s">
        <v>6098</v>
      </c>
      <c r="BT320" t="str">
        <f>HYPERLINK("https%3A%2F%2Fwww.webofscience.com%2Fwos%2Fwoscc%2Ffull-record%2FWOS:000843721800001","View Full Record in Web of Science")</f>
        <v>View Full Record in Web of Science</v>
      </c>
    </row>
    <row r="321" spans="1:72" x14ac:dyDescent="0.15">
      <c r="A321" t="s">
        <v>72</v>
      </c>
      <c r="B321" t="s">
        <v>6099</v>
      </c>
      <c r="C321" t="s">
        <v>74</v>
      </c>
      <c r="D321" t="s">
        <v>74</v>
      </c>
      <c r="E321" t="s">
        <v>74</v>
      </c>
      <c r="F321" t="s">
        <v>6100</v>
      </c>
      <c r="G321" t="s">
        <v>74</v>
      </c>
      <c r="H321" t="s">
        <v>74</v>
      </c>
      <c r="I321" t="s">
        <v>6101</v>
      </c>
      <c r="J321" t="s">
        <v>6102</v>
      </c>
      <c r="K321" t="s">
        <v>74</v>
      </c>
      <c r="L321" t="s">
        <v>74</v>
      </c>
      <c r="M321" t="s">
        <v>78</v>
      </c>
      <c r="N321" t="s">
        <v>79</v>
      </c>
      <c r="O321" t="s">
        <v>74</v>
      </c>
      <c r="P321" t="s">
        <v>74</v>
      </c>
      <c r="Q321" t="s">
        <v>74</v>
      </c>
      <c r="R321" t="s">
        <v>74</v>
      </c>
      <c r="S321" t="s">
        <v>74</v>
      </c>
      <c r="T321" t="s">
        <v>6103</v>
      </c>
      <c r="U321" t="s">
        <v>74</v>
      </c>
      <c r="V321" t="s">
        <v>6104</v>
      </c>
      <c r="W321" t="s">
        <v>6105</v>
      </c>
      <c r="X321" t="s">
        <v>6106</v>
      </c>
      <c r="Y321" t="s">
        <v>6107</v>
      </c>
      <c r="Z321" t="s">
        <v>6108</v>
      </c>
      <c r="AA321" t="s">
        <v>6109</v>
      </c>
      <c r="AB321" t="s">
        <v>6110</v>
      </c>
      <c r="AC321" t="s">
        <v>6111</v>
      </c>
      <c r="AD321" t="s">
        <v>6112</v>
      </c>
      <c r="AE321" t="s">
        <v>6113</v>
      </c>
      <c r="AF321" t="s">
        <v>74</v>
      </c>
      <c r="AG321">
        <v>13</v>
      </c>
      <c r="AH321">
        <v>0</v>
      </c>
      <c r="AI321">
        <v>0</v>
      </c>
      <c r="AJ321">
        <v>7</v>
      </c>
      <c r="AK321">
        <v>21</v>
      </c>
      <c r="AL321" t="s">
        <v>703</v>
      </c>
      <c r="AM321" t="s">
        <v>704</v>
      </c>
      <c r="AN321" t="s">
        <v>705</v>
      </c>
      <c r="AO321" t="s">
        <v>74</v>
      </c>
      <c r="AP321" t="s">
        <v>6114</v>
      </c>
      <c r="AQ321" t="s">
        <v>74</v>
      </c>
      <c r="AR321" t="s">
        <v>6102</v>
      </c>
      <c r="AS321" t="s">
        <v>6115</v>
      </c>
      <c r="AT321" t="s">
        <v>5816</v>
      </c>
      <c r="AU321">
        <v>2022</v>
      </c>
      <c r="AV321">
        <v>34</v>
      </c>
      <c r="AW321">
        <v>1</v>
      </c>
      <c r="AX321" t="s">
        <v>74</v>
      </c>
      <c r="AY321" t="s">
        <v>74</v>
      </c>
      <c r="AZ321" t="s">
        <v>74</v>
      </c>
      <c r="BA321" t="s">
        <v>74</v>
      </c>
      <c r="BB321">
        <v>215</v>
      </c>
      <c r="BC321">
        <v>223</v>
      </c>
      <c r="BD321" t="s">
        <v>74</v>
      </c>
      <c r="BE321" t="s">
        <v>6116</v>
      </c>
      <c r="BF321" t="str">
        <f>HYPERLINK("http://dx.doi.org/10.1080/27669645.2022.2109299","http://dx.doi.org/10.1080/27669645.2022.2109299")</f>
        <v>http://dx.doi.org/10.1080/27669645.2022.2109299</v>
      </c>
      <c r="BG321" t="s">
        <v>74</v>
      </c>
      <c r="BH321" t="s">
        <v>74</v>
      </c>
      <c r="BI321">
        <v>9</v>
      </c>
      <c r="BJ321" t="s">
        <v>455</v>
      </c>
      <c r="BK321" t="s">
        <v>104</v>
      </c>
      <c r="BL321" t="s">
        <v>456</v>
      </c>
      <c r="BM321" t="s">
        <v>6117</v>
      </c>
      <c r="BN321" t="s">
        <v>74</v>
      </c>
      <c r="BO321" t="s">
        <v>165</v>
      </c>
      <c r="BP321" t="s">
        <v>74</v>
      </c>
      <c r="BQ321" t="s">
        <v>74</v>
      </c>
      <c r="BR321" t="s">
        <v>108</v>
      </c>
      <c r="BS321" t="s">
        <v>6118</v>
      </c>
      <c r="BT321" t="str">
        <f>HYPERLINK("https%3A%2F%2Fwww.webofscience.com%2Fwos%2Fwoscc%2Ffull-record%2FWOS:000840505800001","View Full Record in Web of Science")</f>
        <v>View Full Record in Web of Science</v>
      </c>
    </row>
    <row r="322" spans="1:72" x14ac:dyDescent="0.15">
      <c r="A322" t="s">
        <v>72</v>
      </c>
      <c r="B322" t="s">
        <v>6119</v>
      </c>
      <c r="C322" t="s">
        <v>74</v>
      </c>
      <c r="D322" t="s">
        <v>74</v>
      </c>
      <c r="E322" t="s">
        <v>74</v>
      </c>
      <c r="F322" t="s">
        <v>6120</v>
      </c>
      <c r="G322" t="s">
        <v>74</v>
      </c>
      <c r="H322" t="s">
        <v>74</v>
      </c>
      <c r="I322" t="s">
        <v>6121</v>
      </c>
      <c r="J322" t="s">
        <v>5802</v>
      </c>
      <c r="K322" t="s">
        <v>74</v>
      </c>
      <c r="L322" t="s">
        <v>74</v>
      </c>
      <c r="M322" t="s">
        <v>78</v>
      </c>
      <c r="N322" t="s">
        <v>79</v>
      </c>
      <c r="O322" t="s">
        <v>74</v>
      </c>
      <c r="P322" t="s">
        <v>74</v>
      </c>
      <c r="Q322" t="s">
        <v>74</v>
      </c>
      <c r="R322" t="s">
        <v>74</v>
      </c>
      <c r="S322" t="s">
        <v>74</v>
      </c>
      <c r="T322" t="s">
        <v>6122</v>
      </c>
      <c r="U322" t="s">
        <v>6123</v>
      </c>
      <c r="V322" t="s">
        <v>6124</v>
      </c>
      <c r="W322" t="s">
        <v>6125</v>
      </c>
      <c r="X322" t="s">
        <v>6126</v>
      </c>
      <c r="Y322" t="s">
        <v>6127</v>
      </c>
      <c r="Z322" t="s">
        <v>6128</v>
      </c>
      <c r="AA322" t="s">
        <v>6129</v>
      </c>
      <c r="AB322" t="s">
        <v>6130</v>
      </c>
      <c r="AC322" t="s">
        <v>6131</v>
      </c>
      <c r="AD322" t="s">
        <v>6132</v>
      </c>
      <c r="AE322" t="s">
        <v>6133</v>
      </c>
      <c r="AF322" t="s">
        <v>74</v>
      </c>
      <c r="AG322">
        <v>121</v>
      </c>
      <c r="AH322">
        <v>4</v>
      </c>
      <c r="AI322">
        <v>4</v>
      </c>
      <c r="AJ322">
        <v>1</v>
      </c>
      <c r="AK322">
        <v>11</v>
      </c>
      <c r="AL322" t="s">
        <v>703</v>
      </c>
      <c r="AM322" t="s">
        <v>704</v>
      </c>
      <c r="AN322" t="s">
        <v>705</v>
      </c>
      <c r="AO322" t="s">
        <v>5812</v>
      </c>
      <c r="AP322" t="s">
        <v>5813</v>
      </c>
      <c r="AQ322" t="s">
        <v>74</v>
      </c>
      <c r="AR322" t="s">
        <v>5814</v>
      </c>
      <c r="AS322" t="s">
        <v>5815</v>
      </c>
      <c r="AT322" t="s">
        <v>5816</v>
      </c>
      <c r="AU322">
        <v>2022</v>
      </c>
      <c r="AV322">
        <v>54</v>
      </c>
      <c r="AW322">
        <v>1</v>
      </c>
      <c r="AX322" t="s">
        <v>74</v>
      </c>
      <c r="AY322" t="s">
        <v>74</v>
      </c>
      <c r="AZ322" t="s">
        <v>74</v>
      </c>
      <c r="BA322" t="s">
        <v>74</v>
      </c>
      <c r="BB322">
        <v>346</v>
      </c>
      <c r="BC322">
        <v>367</v>
      </c>
      <c r="BD322" t="s">
        <v>74</v>
      </c>
      <c r="BE322" t="s">
        <v>6134</v>
      </c>
      <c r="BF322" t="str">
        <f>HYPERLINK("http://dx.doi.org/10.1080/15230430.2022.2096425","http://dx.doi.org/10.1080/15230430.2022.2096425")</f>
        <v>http://dx.doi.org/10.1080/15230430.2022.2096425</v>
      </c>
      <c r="BG322" t="s">
        <v>74</v>
      </c>
      <c r="BH322" t="s">
        <v>74</v>
      </c>
      <c r="BI322">
        <v>22</v>
      </c>
      <c r="BJ322" t="s">
        <v>5818</v>
      </c>
      <c r="BK322" t="s">
        <v>104</v>
      </c>
      <c r="BL322" t="s">
        <v>5819</v>
      </c>
      <c r="BM322" t="s">
        <v>6135</v>
      </c>
      <c r="BN322" t="s">
        <v>74</v>
      </c>
      <c r="BO322" t="s">
        <v>737</v>
      </c>
      <c r="BP322" t="s">
        <v>74</v>
      </c>
      <c r="BQ322" t="s">
        <v>74</v>
      </c>
      <c r="BR322" t="s">
        <v>108</v>
      </c>
      <c r="BS322" t="s">
        <v>6136</v>
      </c>
      <c r="BT322" t="str">
        <f>HYPERLINK("https%3A%2F%2Fwww.webofscience.com%2Fwos%2Fwoscc%2Ffull-record%2FWOS:000839360700001","View Full Record in Web of Science")</f>
        <v>View Full Record in Web of Science</v>
      </c>
    </row>
    <row r="323" spans="1:72" x14ac:dyDescent="0.15">
      <c r="A323" t="s">
        <v>72</v>
      </c>
      <c r="B323" t="s">
        <v>6137</v>
      </c>
      <c r="C323" t="s">
        <v>74</v>
      </c>
      <c r="D323" t="s">
        <v>74</v>
      </c>
      <c r="E323" t="s">
        <v>74</v>
      </c>
      <c r="F323" t="s">
        <v>6138</v>
      </c>
      <c r="G323" t="s">
        <v>74</v>
      </c>
      <c r="H323" t="s">
        <v>74</v>
      </c>
      <c r="I323" t="s">
        <v>6139</v>
      </c>
      <c r="J323" t="s">
        <v>5802</v>
      </c>
      <c r="K323" t="s">
        <v>74</v>
      </c>
      <c r="L323" t="s">
        <v>74</v>
      </c>
      <c r="M323" t="s">
        <v>78</v>
      </c>
      <c r="N323" t="s">
        <v>79</v>
      </c>
      <c r="O323" t="s">
        <v>74</v>
      </c>
      <c r="P323" t="s">
        <v>74</v>
      </c>
      <c r="Q323" t="s">
        <v>74</v>
      </c>
      <c r="R323" t="s">
        <v>74</v>
      </c>
      <c r="S323" t="s">
        <v>74</v>
      </c>
      <c r="T323" t="s">
        <v>6140</v>
      </c>
      <c r="U323" t="s">
        <v>6141</v>
      </c>
      <c r="V323" t="s">
        <v>6142</v>
      </c>
      <c r="W323" t="s">
        <v>6143</v>
      </c>
      <c r="X323" t="s">
        <v>6144</v>
      </c>
      <c r="Y323" t="s">
        <v>6145</v>
      </c>
      <c r="Z323" t="s">
        <v>6146</v>
      </c>
      <c r="AA323" t="s">
        <v>6147</v>
      </c>
      <c r="AB323" t="s">
        <v>6148</v>
      </c>
      <c r="AC323" t="s">
        <v>6149</v>
      </c>
      <c r="AD323" t="s">
        <v>6150</v>
      </c>
      <c r="AE323" t="s">
        <v>6151</v>
      </c>
      <c r="AF323" t="s">
        <v>74</v>
      </c>
      <c r="AG323">
        <v>102</v>
      </c>
      <c r="AH323">
        <v>2</v>
      </c>
      <c r="AI323">
        <v>2</v>
      </c>
      <c r="AJ323">
        <v>7</v>
      </c>
      <c r="AK323">
        <v>36</v>
      </c>
      <c r="AL323" t="s">
        <v>703</v>
      </c>
      <c r="AM323" t="s">
        <v>704</v>
      </c>
      <c r="AN323" t="s">
        <v>705</v>
      </c>
      <c r="AO323" t="s">
        <v>5812</v>
      </c>
      <c r="AP323" t="s">
        <v>5813</v>
      </c>
      <c r="AQ323" t="s">
        <v>74</v>
      </c>
      <c r="AR323" t="s">
        <v>5814</v>
      </c>
      <c r="AS323" t="s">
        <v>5815</v>
      </c>
      <c r="AT323" t="s">
        <v>5816</v>
      </c>
      <c r="AU323">
        <v>2022</v>
      </c>
      <c r="AV323">
        <v>54</v>
      </c>
      <c r="AW323">
        <v>1</v>
      </c>
      <c r="AX323" t="s">
        <v>74</v>
      </c>
      <c r="AY323" t="s">
        <v>74</v>
      </c>
      <c r="AZ323" t="s">
        <v>74</v>
      </c>
      <c r="BA323" t="s">
        <v>74</v>
      </c>
      <c r="BB323">
        <v>314</v>
      </c>
      <c r="BC323">
        <v>334</v>
      </c>
      <c r="BD323" t="s">
        <v>74</v>
      </c>
      <c r="BE323" t="s">
        <v>6152</v>
      </c>
      <c r="BF323" t="str">
        <f>HYPERLINK("http://dx.doi.org/10.1080/15230430.2022.2097757","http://dx.doi.org/10.1080/15230430.2022.2097757")</f>
        <v>http://dx.doi.org/10.1080/15230430.2022.2097757</v>
      </c>
      <c r="BG323" t="s">
        <v>74</v>
      </c>
      <c r="BH323" t="s">
        <v>74</v>
      </c>
      <c r="BI323">
        <v>21</v>
      </c>
      <c r="BJ323" t="s">
        <v>5818</v>
      </c>
      <c r="BK323" t="s">
        <v>104</v>
      </c>
      <c r="BL323" t="s">
        <v>5819</v>
      </c>
      <c r="BM323" t="s">
        <v>6153</v>
      </c>
      <c r="BN323" t="s">
        <v>74</v>
      </c>
      <c r="BO323" t="s">
        <v>3561</v>
      </c>
      <c r="BP323" t="s">
        <v>74</v>
      </c>
      <c r="BQ323" t="s">
        <v>74</v>
      </c>
      <c r="BR323" t="s">
        <v>108</v>
      </c>
      <c r="BS323" t="s">
        <v>6154</v>
      </c>
      <c r="BT323" t="str">
        <f>HYPERLINK("https%3A%2F%2Fwww.webofscience.com%2Fwos%2Fwoscc%2Ffull-record%2FWOS:000837911000001","View Full Record in Web of Science")</f>
        <v>View Full Record in Web of Science</v>
      </c>
    </row>
    <row r="324" spans="1:72" x14ac:dyDescent="0.15">
      <c r="A324" t="s">
        <v>72</v>
      </c>
      <c r="B324" t="s">
        <v>6155</v>
      </c>
      <c r="C324" t="s">
        <v>74</v>
      </c>
      <c r="D324" t="s">
        <v>74</v>
      </c>
      <c r="E324" t="s">
        <v>74</v>
      </c>
      <c r="F324" t="s">
        <v>6156</v>
      </c>
      <c r="G324" t="s">
        <v>74</v>
      </c>
      <c r="H324" t="s">
        <v>74</v>
      </c>
      <c r="I324" t="s">
        <v>6157</v>
      </c>
      <c r="J324" t="s">
        <v>5802</v>
      </c>
      <c r="K324" t="s">
        <v>74</v>
      </c>
      <c r="L324" t="s">
        <v>74</v>
      </c>
      <c r="M324" t="s">
        <v>78</v>
      </c>
      <c r="N324" t="s">
        <v>79</v>
      </c>
      <c r="O324" t="s">
        <v>74</v>
      </c>
      <c r="P324" t="s">
        <v>74</v>
      </c>
      <c r="Q324" t="s">
        <v>74</v>
      </c>
      <c r="R324" t="s">
        <v>74</v>
      </c>
      <c r="S324" t="s">
        <v>74</v>
      </c>
      <c r="T324" t="s">
        <v>6158</v>
      </c>
      <c r="U324" t="s">
        <v>6159</v>
      </c>
      <c r="V324" t="s">
        <v>6160</v>
      </c>
      <c r="W324" t="s">
        <v>6161</v>
      </c>
      <c r="X324" t="s">
        <v>6162</v>
      </c>
      <c r="Y324" t="s">
        <v>6163</v>
      </c>
      <c r="Z324" t="s">
        <v>6164</v>
      </c>
      <c r="AA324" t="s">
        <v>74</v>
      </c>
      <c r="AB324" t="s">
        <v>6165</v>
      </c>
      <c r="AC324" t="s">
        <v>6166</v>
      </c>
      <c r="AD324" t="s">
        <v>6167</v>
      </c>
      <c r="AE324" t="s">
        <v>6168</v>
      </c>
      <c r="AF324" t="s">
        <v>74</v>
      </c>
      <c r="AG324">
        <v>49</v>
      </c>
      <c r="AH324">
        <v>1</v>
      </c>
      <c r="AI324">
        <v>1</v>
      </c>
      <c r="AJ324">
        <v>2</v>
      </c>
      <c r="AK324">
        <v>7</v>
      </c>
      <c r="AL324" t="s">
        <v>703</v>
      </c>
      <c r="AM324" t="s">
        <v>704</v>
      </c>
      <c r="AN324" t="s">
        <v>705</v>
      </c>
      <c r="AO324" t="s">
        <v>5812</v>
      </c>
      <c r="AP324" t="s">
        <v>5813</v>
      </c>
      <c r="AQ324" t="s">
        <v>74</v>
      </c>
      <c r="AR324" t="s">
        <v>5814</v>
      </c>
      <c r="AS324" t="s">
        <v>5815</v>
      </c>
      <c r="AT324" t="s">
        <v>5816</v>
      </c>
      <c r="AU324">
        <v>2022</v>
      </c>
      <c r="AV324">
        <v>54</v>
      </c>
      <c r="AW324">
        <v>1</v>
      </c>
      <c r="AX324" t="s">
        <v>74</v>
      </c>
      <c r="AY324" t="s">
        <v>74</v>
      </c>
      <c r="AZ324" t="s">
        <v>74</v>
      </c>
      <c r="BA324" t="s">
        <v>74</v>
      </c>
      <c r="BB324">
        <v>335</v>
      </c>
      <c r="BC324">
        <v>345</v>
      </c>
      <c r="BD324" t="s">
        <v>74</v>
      </c>
      <c r="BE324" t="s">
        <v>6169</v>
      </c>
      <c r="BF324" t="str">
        <f>HYPERLINK("http://dx.doi.org/10.1080/15230430.2022.2102510","http://dx.doi.org/10.1080/15230430.2022.2102510")</f>
        <v>http://dx.doi.org/10.1080/15230430.2022.2102510</v>
      </c>
      <c r="BG324" t="s">
        <v>74</v>
      </c>
      <c r="BH324" t="s">
        <v>74</v>
      </c>
      <c r="BI324">
        <v>11</v>
      </c>
      <c r="BJ324" t="s">
        <v>5818</v>
      </c>
      <c r="BK324" t="s">
        <v>104</v>
      </c>
      <c r="BL324" t="s">
        <v>5819</v>
      </c>
      <c r="BM324" t="s">
        <v>6170</v>
      </c>
      <c r="BN324" t="s">
        <v>74</v>
      </c>
      <c r="BO324" t="s">
        <v>3561</v>
      </c>
      <c r="BP324" t="s">
        <v>74</v>
      </c>
      <c r="BQ324" t="s">
        <v>74</v>
      </c>
      <c r="BR324" t="s">
        <v>108</v>
      </c>
      <c r="BS324" t="s">
        <v>6171</v>
      </c>
      <c r="BT324" t="str">
        <f>HYPERLINK("https%3A%2F%2Fwww.webofscience.com%2Fwos%2Fwoscc%2Ffull-record%2FWOS:000838346400001","View Full Record in Web of Science")</f>
        <v>View Full Record in Web of Science</v>
      </c>
    </row>
    <row r="325" spans="1:72" x14ac:dyDescent="0.15">
      <c r="A325" t="s">
        <v>72</v>
      </c>
      <c r="B325" t="s">
        <v>6172</v>
      </c>
      <c r="C325" t="s">
        <v>74</v>
      </c>
      <c r="D325" t="s">
        <v>74</v>
      </c>
      <c r="E325" t="s">
        <v>74</v>
      </c>
      <c r="F325" t="s">
        <v>6173</v>
      </c>
      <c r="G325" t="s">
        <v>74</v>
      </c>
      <c r="H325" t="s">
        <v>74</v>
      </c>
      <c r="I325" t="s">
        <v>6174</v>
      </c>
      <c r="J325" t="s">
        <v>6175</v>
      </c>
      <c r="K325" t="s">
        <v>74</v>
      </c>
      <c r="L325" t="s">
        <v>74</v>
      </c>
      <c r="M325" t="s">
        <v>78</v>
      </c>
      <c r="N325" t="s">
        <v>79</v>
      </c>
      <c r="O325" t="s">
        <v>74</v>
      </c>
      <c r="P325" t="s">
        <v>74</v>
      </c>
      <c r="Q325" t="s">
        <v>74</v>
      </c>
      <c r="R325" t="s">
        <v>74</v>
      </c>
      <c r="S325" t="s">
        <v>74</v>
      </c>
      <c r="T325" t="s">
        <v>6176</v>
      </c>
      <c r="U325" t="s">
        <v>6177</v>
      </c>
      <c r="V325" t="s">
        <v>6178</v>
      </c>
      <c r="W325" t="s">
        <v>6179</v>
      </c>
      <c r="X325" t="s">
        <v>6180</v>
      </c>
      <c r="Y325" t="s">
        <v>6181</v>
      </c>
      <c r="Z325" t="s">
        <v>6182</v>
      </c>
      <c r="AA325" t="s">
        <v>6183</v>
      </c>
      <c r="AB325" t="s">
        <v>6184</v>
      </c>
      <c r="AC325" t="s">
        <v>6185</v>
      </c>
      <c r="AD325" t="s">
        <v>6185</v>
      </c>
      <c r="AE325" t="s">
        <v>6186</v>
      </c>
      <c r="AF325" t="s">
        <v>74</v>
      </c>
      <c r="AG325">
        <v>57</v>
      </c>
      <c r="AH325">
        <v>1</v>
      </c>
      <c r="AI325">
        <v>1</v>
      </c>
      <c r="AJ325">
        <v>1</v>
      </c>
      <c r="AK325">
        <v>3</v>
      </c>
      <c r="AL325" t="s">
        <v>703</v>
      </c>
      <c r="AM325" t="s">
        <v>704</v>
      </c>
      <c r="AN325" t="s">
        <v>705</v>
      </c>
      <c r="AO325" t="s">
        <v>6187</v>
      </c>
      <c r="AP325" t="s">
        <v>74</v>
      </c>
      <c r="AQ325" t="s">
        <v>74</v>
      </c>
      <c r="AR325" t="s">
        <v>6188</v>
      </c>
      <c r="AS325" t="s">
        <v>6189</v>
      </c>
      <c r="AT325" t="s">
        <v>5816</v>
      </c>
      <c r="AU325">
        <v>2022</v>
      </c>
      <c r="AV325">
        <v>89</v>
      </c>
      <c r="AW325">
        <v>1</v>
      </c>
      <c r="AX325" t="s">
        <v>74</v>
      </c>
      <c r="AY325" t="s">
        <v>74</v>
      </c>
      <c r="AZ325" t="s">
        <v>74</v>
      </c>
      <c r="BA325" t="s">
        <v>74</v>
      </c>
      <c r="BB325">
        <v>1026</v>
      </c>
      <c r="BC325">
        <v>1039</v>
      </c>
      <c r="BD325" t="s">
        <v>74</v>
      </c>
      <c r="BE325" t="s">
        <v>6190</v>
      </c>
      <c r="BF325" t="str">
        <f>HYPERLINK("http://dx.doi.org/10.1080/24750263.2022.2107721","http://dx.doi.org/10.1080/24750263.2022.2107721")</f>
        <v>http://dx.doi.org/10.1080/24750263.2022.2107721</v>
      </c>
      <c r="BG325" t="s">
        <v>74</v>
      </c>
      <c r="BH325" t="s">
        <v>74</v>
      </c>
      <c r="BI325">
        <v>14</v>
      </c>
      <c r="BJ325" t="s">
        <v>2468</v>
      </c>
      <c r="BK325" t="s">
        <v>104</v>
      </c>
      <c r="BL325" t="s">
        <v>2468</v>
      </c>
      <c r="BM325" t="s">
        <v>6191</v>
      </c>
      <c r="BN325" t="s">
        <v>74</v>
      </c>
      <c r="BO325" t="s">
        <v>74</v>
      </c>
      <c r="BP325" t="s">
        <v>74</v>
      </c>
      <c r="BQ325" t="s">
        <v>74</v>
      </c>
      <c r="BR325" t="s">
        <v>108</v>
      </c>
      <c r="BS325" t="s">
        <v>6192</v>
      </c>
      <c r="BT325" t="str">
        <f>HYPERLINK("https%3A%2F%2Fwww.webofscience.com%2Fwos%2Fwoscc%2Ffull-record%2FWOS:000837878600001","View Full Record in Web of Science")</f>
        <v>View Full Record in Web of Science</v>
      </c>
    </row>
    <row r="326" spans="1:72" x14ac:dyDescent="0.15">
      <c r="A326" t="s">
        <v>72</v>
      </c>
      <c r="B326" t="s">
        <v>6193</v>
      </c>
      <c r="C326" t="s">
        <v>74</v>
      </c>
      <c r="D326" t="s">
        <v>74</v>
      </c>
      <c r="E326" t="s">
        <v>74</v>
      </c>
      <c r="F326" t="s">
        <v>6194</v>
      </c>
      <c r="G326" t="s">
        <v>74</v>
      </c>
      <c r="H326" t="s">
        <v>74</v>
      </c>
      <c r="I326" t="s">
        <v>6195</v>
      </c>
      <c r="J326" t="s">
        <v>5802</v>
      </c>
      <c r="K326" t="s">
        <v>74</v>
      </c>
      <c r="L326" t="s">
        <v>74</v>
      </c>
      <c r="M326" t="s">
        <v>78</v>
      </c>
      <c r="N326" t="s">
        <v>79</v>
      </c>
      <c r="O326" t="s">
        <v>74</v>
      </c>
      <c r="P326" t="s">
        <v>74</v>
      </c>
      <c r="Q326" t="s">
        <v>74</v>
      </c>
      <c r="R326" t="s">
        <v>74</v>
      </c>
      <c r="S326" t="s">
        <v>74</v>
      </c>
      <c r="T326" t="s">
        <v>6196</v>
      </c>
      <c r="U326" t="s">
        <v>6197</v>
      </c>
      <c r="V326" t="s">
        <v>6198</v>
      </c>
      <c r="W326" t="s">
        <v>6199</v>
      </c>
      <c r="X326" t="s">
        <v>6200</v>
      </c>
      <c r="Y326" t="s">
        <v>6201</v>
      </c>
      <c r="Z326" t="s">
        <v>6202</v>
      </c>
      <c r="AA326" t="s">
        <v>6203</v>
      </c>
      <c r="AB326" t="s">
        <v>6204</v>
      </c>
      <c r="AC326" t="s">
        <v>6205</v>
      </c>
      <c r="AD326" t="s">
        <v>6205</v>
      </c>
      <c r="AE326" t="s">
        <v>6206</v>
      </c>
      <c r="AF326" t="s">
        <v>74</v>
      </c>
      <c r="AG326">
        <v>101</v>
      </c>
      <c r="AH326">
        <v>4</v>
      </c>
      <c r="AI326">
        <v>4</v>
      </c>
      <c r="AJ326">
        <v>4</v>
      </c>
      <c r="AK326">
        <v>11</v>
      </c>
      <c r="AL326" t="s">
        <v>703</v>
      </c>
      <c r="AM326" t="s">
        <v>704</v>
      </c>
      <c r="AN326" t="s">
        <v>705</v>
      </c>
      <c r="AO326" t="s">
        <v>5812</v>
      </c>
      <c r="AP326" t="s">
        <v>5813</v>
      </c>
      <c r="AQ326" t="s">
        <v>74</v>
      </c>
      <c r="AR326" t="s">
        <v>5814</v>
      </c>
      <c r="AS326" t="s">
        <v>5815</v>
      </c>
      <c r="AT326" t="s">
        <v>5816</v>
      </c>
      <c r="AU326">
        <v>2022</v>
      </c>
      <c r="AV326">
        <v>54</v>
      </c>
      <c r="AW326">
        <v>1</v>
      </c>
      <c r="AX326" t="s">
        <v>74</v>
      </c>
      <c r="AY326" t="s">
        <v>74</v>
      </c>
      <c r="AZ326" t="s">
        <v>74</v>
      </c>
      <c r="BA326" t="s">
        <v>74</v>
      </c>
      <c r="BB326">
        <v>294</v>
      </c>
      <c r="BC326">
        <v>313</v>
      </c>
      <c r="BD326" t="s">
        <v>74</v>
      </c>
      <c r="BE326" t="s">
        <v>6207</v>
      </c>
      <c r="BF326" t="str">
        <f>HYPERLINK("http://dx.doi.org/10.1080/15230430.2022.2094607","http://dx.doi.org/10.1080/15230430.2022.2094607")</f>
        <v>http://dx.doi.org/10.1080/15230430.2022.2094607</v>
      </c>
      <c r="BG326" t="s">
        <v>74</v>
      </c>
      <c r="BH326" t="s">
        <v>74</v>
      </c>
      <c r="BI326">
        <v>20</v>
      </c>
      <c r="BJ326" t="s">
        <v>5818</v>
      </c>
      <c r="BK326" t="s">
        <v>104</v>
      </c>
      <c r="BL326" t="s">
        <v>5819</v>
      </c>
      <c r="BM326" t="s">
        <v>6208</v>
      </c>
      <c r="BN326" t="s">
        <v>74</v>
      </c>
      <c r="BO326" t="s">
        <v>3561</v>
      </c>
      <c r="BP326" t="s">
        <v>74</v>
      </c>
      <c r="BQ326" t="s">
        <v>74</v>
      </c>
      <c r="BR326" t="s">
        <v>108</v>
      </c>
      <c r="BS326" t="s">
        <v>6209</v>
      </c>
      <c r="BT326" t="str">
        <f>HYPERLINK("https%3A%2F%2Fwww.webofscience.com%2Fwos%2Fwoscc%2Ffull-record%2FWOS:000837495800001","View Full Record in Web of Science")</f>
        <v>View Full Record in Web of Science</v>
      </c>
    </row>
    <row r="327" spans="1:72" x14ac:dyDescent="0.15">
      <c r="A327" t="s">
        <v>72</v>
      </c>
      <c r="B327" t="s">
        <v>6210</v>
      </c>
      <c r="C327" t="s">
        <v>74</v>
      </c>
      <c r="D327" t="s">
        <v>74</v>
      </c>
      <c r="E327" t="s">
        <v>74</v>
      </c>
      <c r="F327" t="s">
        <v>6211</v>
      </c>
      <c r="G327" t="s">
        <v>74</v>
      </c>
      <c r="H327" t="s">
        <v>74</v>
      </c>
      <c r="I327" t="s">
        <v>6212</v>
      </c>
      <c r="J327" t="s">
        <v>6213</v>
      </c>
      <c r="K327" t="s">
        <v>74</v>
      </c>
      <c r="L327" t="s">
        <v>74</v>
      </c>
      <c r="M327" t="s">
        <v>78</v>
      </c>
      <c r="N327" t="s">
        <v>79</v>
      </c>
      <c r="O327" t="s">
        <v>74</v>
      </c>
      <c r="P327" t="s">
        <v>74</v>
      </c>
      <c r="Q327" t="s">
        <v>74</v>
      </c>
      <c r="R327" t="s">
        <v>74</v>
      </c>
      <c r="S327" t="s">
        <v>74</v>
      </c>
      <c r="T327" t="s">
        <v>6214</v>
      </c>
      <c r="U327" t="s">
        <v>6215</v>
      </c>
      <c r="V327" t="s">
        <v>6216</v>
      </c>
      <c r="W327" t="s">
        <v>6217</v>
      </c>
      <c r="X327" t="s">
        <v>6218</v>
      </c>
      <c r="Y327" t="s">
        <v>6219</v>
      </c>
      <c r="Z327" t="s">
        <v>6220</v>
      </c>
      <c r="AA327" t="s">
        <v>6221</v>
      </c>
      <c r="AB327" t="s">
        <v>6222</v>
      </c>
      <c r="AC327" t="s">
        <v>6223</v>
      </c>
      <c r="AD327" t="s">
        <v>6224</v>
      </c>
      <c r="AE327" t="s">
        <v>6225</v>
      </c>
      <c r="AF327" t="s">
        <v>74</v>
      </c>
      <c r="AG327">
        <v>79</v>
      </c>
      <c r="AH327">
        <v>7</v>
      </c>
      <c r="AI327">
        <v>7</v>
      </c>
      <c r="AJ327">
        <v>6</v>
      </c>
      <c r="AK327">
        <v>27</v>
      </c>
      <c r="AL327" t="s">
        <v>703</v>
      </c>
      <c r="AM327" t="s">
        <v>704</v>
      </c>
      <c r="AN327" t="s">
        <v>705</v>
      </c>
      <c r="AO327" t="s">
        <v>6226</v>
      </c>
      <c r="AP327" t="s">
        <v>6227</v>
      </c>
      <c r="AQ327" t="s">
        <v>74</v>
      </c>
      <c r="AR327" t="s">
        <v>6228</v>
      </c>
      <c r="AS327" t="s">
        <v>6229</v>
      </c>
      <c r="AT327" t="s">
        <v>5816</v>
      </c>
      <c r="AU327">
        <v>2022</v>
      </c>
      <c r="AV327">
        <v>59</v>
      </c>
      <c r="AW327">
        <v>1</v>
      </c>
      <c r="AX327" t="s">
        <v>74</v>
      </c>
      <c r="AY327" t="s">
        <v>74</v>
      </c>
      <c r="AZ327" t="s">
        <v>74</v>
      </c>
      <c r="BA327" t="s">
        <v>74</v>
      </c>
      <c r="BB327">
        <v>1159</v>
      </c>
      <c r="BC327">
        <v>1176</v>
      </c>
      <c r="BD327" t="s">
        <v>74</v>
      </c>
      <c r="BE327" t="s">
        <v>6230</v>
      </c>
      <c r="BF327" t="str">
        <f>HYPERLINK("http://dx.doi.org/10.1080/15481603.2022.2101702","http://dx.doi.org/10.1080/15481603.2022.2101702")</f>
        <v>http://dx.doi.org/10.1080/15481603.2022.2101702</v>
      </c>
      <c r="BG327" t="s">
        <v>74</v>
      </c>
      <c r="BH327" t="s">
        <v>74</v>
      </c>
      <c r="BI327">
        <v>18</v>
      </c>
      <c r="BJ327" t="s">
        <v>5858</v>
      </c>
      <c r="BK327" t="s">
        <v>104</v>
      </c>
      <c r="BL327" t="s">
        <v>5859</v>
      </c>
      <c r="BM327" t="s">
        <v>6231</v>
      </c>
      <c r="BN327" t="s">
        <v>74</v>
      </c>
      <c r="BO327" t="s">
        <v>3561</v>
      </c>
      <c r="BP327" t="s">
        <v>74</v>
      </c>
      <c r="BQ327" t="s">
        <v>74</v>
      </c>
      <c r="BR327" t="s">
        <v>108</v>
      </c>
      <c r="BS327" t="s">
        <v>6232</v>
      </c>
      <c r="BT327" t="str">
        <f>HYPERLINK("https%3A%2F%2Fwww.webofscience.com%2Fwos%2Fwoscc%2Ffull-record%2FWOS:000836459700001","View Full Record in Web of Science")</f>
        <v>View Full Record in Web of Science</v>
      </c>
    </row>
    <row r="328" spans="1:72" x14ac:dyDescent="0.15">
      <c r="A328" t="s">
        <v>72</v>
      </c>
      <c r="B328" t="s">
        <v>6233</v>
      </c>
      <c r="C328" t="s">
        <v>74</v>
      </c>
      <c r="D328" t="s">
        <v>74</v>
      </c>
      <c r="E328" t="s">
        <v>74</v>
      </c>
      <c r="F328" t="s">
        <v>6234</v>
      </c>
      <c r="G328" t="s">
        <v>74</v>
      </c>
      <c r="H328" t="s">
        <v>74</v>
      </c>
      <c r="I328" t="s">
        <v>6235</v>
      </c>
      <c r="J328" t="s">
        <v>5802</v>
      </c>
      <c r="K328" t="s">
        <v>74</v>
      </c>
      <c r="L328" t="s">
        <v>74</v>
      </c>
      <c r="M328" t="s">
        <v>78</v>
      </c>
      <c r="N328" t="s">
        <v>79</v>
      </c>
      <c r="O328" t="s">
        <v>74</v>
      </c>
      <c r="P328" t="s">
        <v>74</v>
      </c>
      <c r="Q328" t="s">
        <v>74</v>
      </c>
      <c r="R328" t="s">
        <v>74</v>
      </c>
      <c r="S328" t="s">
        <v>74</v>
      </c>
      <c r="T328" t="s">
        <v>6236</v>
      </c>
      <c r="U328" t="s">
        <v>6237</v>
      </c>
      <c r="V328" t="s">
        <v>6238</v>
      </c>
      <c r="W328" t="s">
        <v>6239</v>
      </c>
      <c r="X328" t="s">
        <v>6240</v>
      </c>
      <c r="Y328" t="s">
        <v>6241</v>
      </c>
      <c r="Z328" t="s">
        <v>6242</v>
      </c>
      <c r="AA328" t="s">
        <v>6243</v>
      </c>
      <c r="AB328" t="s">
        <v>6244</v>
      </c>
      <c r="AC328" t="s">
        <v>6245</v>
      </c>
      <c r="AD328" t="s">
        <v>6246</v>
      </c>
      <c r="AE328" t="s">
        <v>6247</v>
      </c>
      <c r="AF328" t="s">
        <v>74</v>
      </c>
      <c r="AG328">
        <v>57</v>
      </c>
      <c r="AH328">
        <v>3</v>
      </c>
      <c r="AI328">
        <v>3</v>
      </c>
      <c r="AJ328">
        <v>4</v>
      </c>
      <c r="AK328">
        <v>25</v>
      </c>
      <c r="AL328" t="s">
        <v>703</v>
      </c>
      <c r="AM328" t="s">
        <v>704</v>
      </c>
      <c r="AN328" t="s">
        <v>705</v>
      </c>
      <c r="AO328" t="s">
        <v>5812</v>
      </c>
      <c r="AP328" t="s">
        <v>5813</v>
      </c>
      <c r="AQ328" t="s">
        <v>74</v>
      </c>
      <c r="AR328" t="s">
        <v>5814</v>
      </c>
      <c r="AS328" t="s">
        <v>5815</v>
      </c>
      <c r="AT328" t="s">
        <v>5816</v>
      </c>
      <c r="AU328">
        <v>2022</v>
      </c>
      <c r="AV328">
        <v>54</v>
      </c>
      <c r="AW328">
        <v>1</v>
      </c>
      <c r="AX328" t="s">
        <v>74</v>
      </c>
      <c r="AY328" t="s">
        <v>74</v>
      </c>
      <c r="AZ328" t="s">
        <v>74</v>
      </c>
      <c r="BA328" t="s">
        <v>74</v>
      </c>
      <c r="BB328">
        <v>264</v>
      </c>
      <c r="BC328">
        <v>273</v>
      </c>
      <c r="BD328" t="s">
        <v>74</v>
      </c>
      <c r="BE328" t="s">
        <v>6248</v>
      </c>
      <c r="BF328" t="str">
        <f>HYPERLINK("http://dx.doi.org/10.1080/15230430.2022.2072052","http://dx.doi.org/10.1080/15230430.2022.2072052")</f>
        <v>http://dx.doi.org/10.1080/15230430.2022.2072052</v>
      </c>
      <c r="BG328" t="s">
        <v>74</v>
      </c>
      <c r="BH328" t="s">
        <v>74</v>
      </c>
      <c r="BI328">
        <v>10</v>
      </c>
      <c r="BJ328" t="s">
        <v>5818</v>
      </c>
      <c r="BK328" t="s">
        <v>104</v>
      </c>
      <c r="BL328" t="s">
        <v>5819</v>
      </c>
      <c r="BM328" t="s">
        <v>6249</v>
      </c>
      <c r="BN328" t="s">
        <v>74</v>
      </c>
      <c r="BO328" t="s">
        <v>165</v>
      </c>
      <c r="BP328" t="s">
        <v>74</v>
      </c>
      <c r="BQ328" t="s">
        <v>74</v>
      </c>
      <c r="BR328" t="s">
        <v>108</v>
      </c>
      <c r="BS328" t="s">
        <v>6250</v>
      </c>
      <c r="BT328" t="str">
        <f>HYPERLINK("https%3A%2F%2Fwww.webofscience.com%2Fwos%2Fwoscc%2Ffull-record%2FWOS:000834745900001","View Full Record in Web of Science")</f>
        <v>View Full Record in Web of Science</v>
      </c>
    </row>
    <row r="329" spans="1:72" x14ac:dyDescent="0.15">
      <c r="A329" t="s">
        <v>72</v>
      </c>
      <c r="B329" t="s">
        <v>6251</v>
      </c>
      <c r="C329" t="s">
        <v>74</v>
      </c>
      <c r="D329" t="s">
        <v>74</v>
      </c>
      <c r="E329" t="s">
        <v>74</v>
      </c>
      <c r="F329" t="s">
        <v>6252</v>
      </c>
      <c r="G329" t="s">
        <v>74</v>
      </c>
      <c r="H329" t="s">
        <v>74</v>
      </c>
      <c r="I329" t="s">
        <v>6253</v>
      </c>
      <c r="J329" t="s">
        <v>5802</v>
      </c>
      <c r="K329" t="s">
        <v>74</v>
      </c>
      <c r="L329" t="s">
        <v>74</v>
      </c>
      <c r="M329" t="s">
        <v>78</v>
      </c>
      <c r="N329" t="s">
        <v>79</v>
      </c>
      <c r="O329" t="s">
        <v>74</v>
      </c>
      <c r="P329" t="s">
        <v>74</v>
      </c>
      <c r="Q329" t="s">
        <v>74</v>
      </c>
      <c r="R329" t="s">
        <v>74</v>
      </c>
      <c r="S329" t="s">
        <v>74</v>
      </c>
      <c r="T329" t="s">
        <v>6254</v>
      </c>
      <c r="U329" t="s">
        <v>6255</v>
      </c>
      <c r="V329" t="s">
        <v>6256</v>
      </c>
      <c r="W329" t="s">
        <v>6257</v>
      </c>
      <c r="X329" t="s">
        <v>6258</v>
      </c>
      <c r="Y329" t="s">
        <v>6259</v>
      </c>
      <c r="Z329" t="s">
        <v>6260</v>
      </c>
      <c r="AA329" t="s">
        <v>74</v>
      </c>
      <c r="AB329" t="s">
        <v>6261</v>
      </c>
      <c r="AC329" t="s">
        <v>6262</v>
      </c>
      <c r="AD329" t="s">
        <v>6263</v>
      </c>
      <c r="AE329" t="s">
        <v>6264</v>
      </c>
      <c r="AF329" t="s">
        <v>74</v>
      </c>
      <c r="AG329">
        <v>63</v>
      </c>
      <c r="AH329">
        <v>1</v>
      </c>
      <c r="AI329">
        <v>1</v>
      </c>
      <c r="AJ329">
        <v>0</v>
      </c>
      <c r="AK329">
        <v>5</v>
      </c>
      <c r="AL329" t="s">
        <v>703</v>
      </c>
      <c r="AM329" t="s">
        <v>704</v>
      </c>
      <c r="AN329" t="s">
        <v>705</v>
      </c>
      <c r="AO329" t="s">
        <v>5812</v>
      </c>
      <c r="AP329" t="s">
        <v>5813</v>
      </c>
      <c r="AQ329" t="s">
        <v>74</v>
      </c>
      <c r="AR329" t="s">
        <v>5814</v>
      </c>
      <c r="AS329" t="s">
        <v>5815</v>
      </c>
      <c r="AT329" t="s">
        <v>5816</v>
      </c>
      <c r="AU329">
        <v>2022</v>
      </c>
      <c r="AV329">
        <v>54</v>
      </c>
      <c r="AW329">
        <v>1</v>
      </c>
      <c r="AX329" t="s">
        <v>74</v>
      </c>
      <c r="AY329" t="s">
        <v>74</v>
      </c>
      <c r="AZ329" t="s">
        <v>74</v>
      </c>
      <c r="BA329" t="s">
        <v>74</v>
      </c>
      <c r="BB329">
        <v>274</v>
      </c>
      <c r="BC329">
        <v>293</v>
      </c>
      <c r="BD329" t="s">
        <v>74</v>
      </c>
      <c r="BE329" t="s">
        <v>6265</v>
      </c>
      <c r="BF329" t="str">
        <f>HYPERLINK("http://dx.doi.org/10.1080/15230430.2022.2097156","http://dx.doi.org/10.1080/15230430.2022.2097156")</f>
        <v>http://dx.doi.org/10.1080/15230430.2022.2097156</v>
      </c>
      <c r="BG329" t="s">
        <v>74</v>
      </c>
      <c r="BH329" t="s">
        <v>74</v>
      </c>
      <c r="BI329">
        <v>20</v>
      </c>
      <c r="BJ329" t="s">
        <v>5818</v>
      </c>
      <c r="BK329" t="s">
        <v>104</v>
      </c>
      <c r="BL329" t="s">
        <v>5819</v>
      </c>
      <c r="BM329" t="s">
        <v>6266</v>
      </c>
      <c r="BN329" t="s">
        <v>74</v>
      </c>
      <c r="BO329" t="s">
        <v>74</v>
      </c>
      <c r="BP329" t="s">
        <v>74</v>
      </c>
      <c r="BQ329" t="s">
        <v>74</v>
      </c>
      <c r="BR329" t="s">
        <v>108</v>
      </c>
      <c r="BS329" t="s">
        <v>6267</v>
      </c>
      <c r="BT329" t="str">
        <f>HYPERLINK("https%3A%2F%2Fwww.webofscience.com%2Fwos%2Fwoscc%2Ffull-record%2FWOS:000835119100001","View Full Record in Web of Science")</f>
        <v>View Full Record in Web of Science</v>
      </c>
    </row>
    <row r="330" spans="1:72" x14ac:dyDescent="0.15">
      <c r="A330" t="s">
        <v>72</v>
      </c>
      <c r="B330" t="s">
        <v>6268</v>
      </c>
      <c r="C330" t="s">
        <v>74</v>
      </c>
      <c r="D330" t="s">
        <v>74</v>
      </c>
      <c r="E330" t="s">
        <v>74</v>
      </c>
      <c r="F330" t="s">
        <v>6269</v>
      </c>
      <c r="G330" t="s">
        <v>74</v>
      </c>
      <c r="H330" t="s">
        <v>74</v>
      </c>
      <c r="I330" t="s">
        <v>6270</v>
      </c>
      <c r="J330" t="s">
        <v>5802</v>
      </c>
      <c r="K330" t="s">
        <v>74</v>
      </c>
      <c r="L330" t="s">
        <v>74</v>
      </c>
      <c r="M330" t="s">
        <v>78</v>
      </c>
      <c r="N330" t="s">
        <v>869</v>
      </c>
      <c r="O330" t="s">
        <v>74</v>
      </c>
      <c r="P330" t="s">
        <v>74</v>
      </c>
      <c r="Q330" t="s">
        <v>74</v>
      </c>
      <c r="R330" t="s">
        <v>74</v>
      </c>
      <c r="S330" t="s">
        <v>74</v>
      </c>
      <c r="T330" t="s">
        <v>74</v>
      </c>
      <c r="U330" t="s">
        <v>74</v>
      </c>
      <c r="V330" t="s">
        <v>74</v>
      </c>
      <c r="W330" t="s">
        <v>6271</v>
      </c>
      <c r="X330" t="s">
        <v>6272</v>
      </c>
      <c r="Y330" t="s">
        <v>6273</v>
      </c>
      <c r="Z330" t="s">
        <v>6274</v>
      </c>
      <c r="AA330" t="s">
        <v>74</v>
      </c>
      <c r="AB330" t="s">
        <v>74</v>
      </c>
      <c r="AC330" t="s">
        <v>74</v>
      </c>
      <c r="AD330" t="s">
        <v>74</v>
      </c>
      <c r="AE330" t="s">
        <v>74</v>
      </c>
      <c r="AF330" t="s">
        <v>74</v>
      </c>
      <c r="AG330">
        <v>4</v>
      </c>
      <c r="AH330">
        <v>0</v>
      </c>
      <c r="AI330">
        <v>0</v>
      </c>
      <c r="AJ330">
        <v>0</v>
      </c>
      <c r="AK330">
        <v>2</v>
      </c>
      <c r="AL330" t="s">
        <v>703</v>
      </c>
      <c r="AM330" t="s">
        <v>704</v>
      </c>
      <c r="AN330" t="s">
        <v>705</v>
      </c>
      <c r="AO330" t="s">
        <v>5812</v>
      </c>
      <c r="AP330" t="s">
        <v>5813</v>
      </c>
      <c r="AQ330" t="s">
        <v>74</v>
      </c>
      <c r="AR330" t="s">
        <v>5814</v>
      </c>
      <c r="AS330" t="s">
        <v>5815</v>
      </c>
      <c r="AT330" t="s">
        <v>5816</v>
      </c>
      <c r="AU330">
        <v>2022</v>
      </c>
      <c r="AV330">
        <v>54</v>
      </c>
      <c r="AW330">
        <v>1</v>
      </c>
      <c r="AX330" t="s">
        <v>74</v>
      </c>
      <c r="AY330" t="s">
        <v>74</v>
      </c>
      <c r="AZ330" t="s">
        <v>74</v>
      </c>
      <c r="BA330" t="s">
        <v>74</v>
      </c>
      <c r="BB330">
        <v>262</v>
      </c>
      <c r="BC330">
        <v>263</v>
      </c>
      <c r="BD330" t="s">
        <v>74</v>
      </c>
      <c r="BE330" t="s">
        <v>6275</v>
      </c>
      <c r="BF330" t="str">
        <f>HYPERLINK("http://dx.doi.org/10.1080/15230430.2022.2097437","http://dx.doi.org/10.1080/15230430.2022.2097437")</f>
        <v>http://dx.doi.org/10.1080/15230430.2022.2097437</v>
      </c>
      <c r="BG330" t="s">
        <v>74</v>
      </c>
      <c r="BH330" t="s">
        <v>74</v>
      </c>
      <c r="BI330">
        <v>2</v>
      </c>
      <c r="BJ330" t="s">
        <v>5818</v>
      </c>
      <c r="BK330" t="s">
        <v>104</v>
      </c>
      <c r="BL330" t="s">
        <v>5819</v>
      </c>
      <c r="BM330" t="s">
        <v>6276</v>
      </c>
      <c r="BN330" t="s">
        <v>74</v>
      </c>
      <c r="BO330" t="s">
        <v>165</v>
      </c>
      <c r="BP330" t="s">
        <v>74</v>
      </c>
      <c r="BQ330" t="s">
        <v>74</v>
      </c>
      <c r="BR330" t="s">
        <v>108</v>
      </c>
      <c r="BS330" t="s">
        <v>6277</v>
      </c>
      <c r="BT330" t="str">
        <f>HYPERLINK("https%3A%2F%2Fwww.webofscience.com%2Fwos%2Fwoscc%2Ffull-record%2FWOS:000829774400001","View Full Record in Web of Science")</f>
        <v>View Full Record in Web of Science</v>
      </c>
    </row>
    <row r="331" spans="1:72" x14ac:dyDescent="0.15">
      <c r="A331" t="s">
        <v>72</v>
      </c>
      <c r="B331" t="s">
        <v>6278</v>
      </c>
      <c r="C331" t="s">
        <v>74</v>
      </c>
      <c r="D331" t="s">
        <v>74</v>
      </c>
      <c r="E331" t="s">
        <v>74</v>
      </c>
      <c r="F331" t="s">
        <v>6279</v>
      </c>
      <c r="G331" t="s">
        <v>74</v>
      </c>
      <c r="H331" t="s">
        <v>74</v>
      </c>
      <c r="I331" t="s">
        <v>6280</v>
      </c>
      <c r="J331" t="s">
        <v>5802</v>
      </c>
      <c r="K331" t="s">
        <v>74</v>
      </c>
      <c r="L331" t="s">
        <v>74</v>
      </c>
      <c r="M331" t="s">
        <v>78</v>
      </c>
      <c r="N331" t="s">
        <v>79</v>
      </c>
      <c r="O331" t="s">
        <v>74</v>
      </c>
      <c r="P331" t="s">
        <v>74</v>
      </c>
      <c r="Q331" t="s">
        <v>74</v>
      </c>
      <c r="R331" t="s">
        <v>74</v>
      </c>
      <c r="S331" t="s">
        <v>74</v>
      </c>
      <c r="T331" t="s">
        <v>6281</v>
      </c>
      <c r="U331" t="s">
        <v>6282</v>
      </c>
      <c r="V331" t="s">
        <v>6283</v>
      </c>
      <c r="W331" t="s">
        <v>6284</v>
      </c>
      <c r="X331" t="s">
        <v>6285</v>
      </c>
      <c r="Y331" t="s">
        <v>6286</v>
      </c>
      <c r="Z331" t="s">
        <v>6287</v>
      </c>
      <c r="AA331" t="s">
        <v>74</v>
      </c>
      <c r="AB331" t="s">
        <v>6288</v>
      </c>
      <c r="AC331" t="s">
        <v>6289</v>
      </c>
      <c r="AD331" t="s">
        <v>6290</v>
      </c>
      <c r="AE331" t="s">
        <v>6291</v>
      </c>
      <c r="AF331" t="s">
        <v>74</v>
      </c>
      <c r="AG331">
        <v>84</v>
      </c>
      <c r="AH331">
        <v>3</v>
      </c>
      <c r="AI331">
        <v>3</v>
      </c>
      <c r="AJ331">
        <v>1</v>
      </c>
      <c r="AK331">
        <v>10</v>
      </c>
      <c r="AL331" t="s">
        <v>703</v>
      </c>
      <c r="AM331" t="s">
        <v>704</v>
      </c>
      <c r="AN331" t="s">
        <v>705</v>
      </c>
      <c r="AO331" t="s">
        <v>5812</v>
      </c>
      <c r="AP331" t="s">
        <v>5813</v>
      </c>
      <c r="AQ331" t="s">
        <v>74</v>
      </c>
      <c r="AR331" t="s">
        <v>5814</v>
      </c>
      <c r="AS331" t="s">
        <v>5815</v>
      </c>
      <c r="AT331" t="s">
        <v>5816</v>
      </c>
      <c r="AU331">
        <v>2022</v>
      </c>
      <c r="AV331">
        <v>54</v>
      </c>
      <c r="AW331">
        <v>1</v>
      </c>
      <c r="AX331" t="s">
        <v>74</v>
      </c>
      <c r="AY331" t="s">
        <v>74</v>
      </c>
      <c r="AZ331" t="s">
        <v>74</v>
      </c>
      <c r="BA331" t="s">
        <v>74</v>
      </c>
      <c r="BB331">
        <v>239</v>
      </c>
      <c r="BC331">
        <v>261</v>
      </c>
      <c r="BD331" t="s">
        <v>74</v>
      </c>
      <c r="BE331" t="s">
        <v>6292</v>
      </c>
      <c r="BF331" t="str">
        <f>HYPERLINK("http://dx.doi.org/10.1080/15230430.2022.2091308","http://dx.doi.org/10.1080/15230430.2022.2091308")</f>
        <v>http://dx.doi.org/10.1080/15230430.2022.2091308</v>
      </c>
      <c r="BG331" t="s">
        <v>74</v>
      </c>
      <c r="BH331" t="s">
        <v>74</v>
      </c>
      <c r="BI331">
        <v>23</v>
      </c>
      <c r="BJ331" t="s">
        <v>5818</v>
      </c>
      <c r="BK331" t="s">
        <v>104</v>
      </c>
      <c r="BL331" t="s">
        <v>5819</v>
      </c>
      <c r="BM331" t="s">
        <v>6293</v>
      </c>
      <c r="BN331" t="s">
        <v>74</v>
      </c>
      <c r="BO331" t="s">
        <v>3181</v>
      </c>
      <c r="BP331" t="s">
        <v>74</v>
      </c>
      <c r="BQ331" t="s">
        <v>74</v>
      </c>
      <c r="BR331" t="s">
        <v>108</v>
      </c>
      <c r="BS331" t="s">
        <v>6294</v>
      </c>
      <c r="BT331" t="str">
        <f>HYPERLINK("https%3A%2F%2Fwww.webofscience.com%2Fwos%2Fwoscc%2Ffull-record%2FWOS:000825147400001","View Full Record in Web of Science")</f>
        <v>View Full Record in Web of Science</v>
      </c>
    </row>
    <row r="332" spans="1:72" x14ac:dyDescent="0.15">
      <c r="A332" t="s">
        <v>72</v>
      </c>
      <c r="B332" t="s">
        <v>6295</v>
      </c>
      <c r="C332" t="s">
        <v>74</v>
      </c>
      <c r="D332" t="s">
        <v>74</v>
      </c>
      <c r="E332" t="s">
        <v>74</v>
      </c>
      <c r="F332" t="s">
        <v>6296</v>
      </c>
      <c r="G332" t="s">
        <v>74</v>
      </c>
      <c r="H332" t="s">
        <v>74</v>
      </c>
      <c r="I332" t="s">
        <v>6297</v>
      </c>
      <c r="J332" t="s">
        <v>5802</v>
      </c>
      <c r="K332" t="s">
        <v>74</v>
      </c>
      <c r="L332" t="s">
        <v>74</v>
      </c>
      <c r="M332" t="s">
        <v>78</v>
      </c>
      <c r="N332" t="s">
        <v>79</v>
      </c>
      <c r="O332" t="s">
        <v>74</v>
      </c>
      <c r="P332" t="s">
        <v>74</v>
      </c>
      <c r="Q332" t="s">
        <v>74</v>
      </c>
      <c r="R332" t="s">
        <v>74</v>
      </c>
      <c r="S332" t="s">
        <v>74</v>
      </c>
      <c r="T332" t="s">
        <v>6298</v>
      </c>
      <c r="U332" t="s">
        <v>6299</v>
      </c>
      <c r="V332" t="s">
        <v>6300</v>
      </c>
      <c r="W332" t="s">
        <v>6301</v>
      </c>
      <c r="X332" t="s">
        <v>6302</v>
      </c>
      <c r="Y332" t="s">
        <v>6303</v>
      </c>
      <c r="Z332" t="s">
        <v>6304</v>
      </c>
      <c r="AA332" t="s">
        <v>74</v>
      </c>
      <c r="AB332" t="s">
        <v>6305</v>
      </c>
      <c r="AC332" t="s">
        <v>6306</v>
      </c>
      <c r="AD332" t="s">
        <v>6307</v>
      </c>
      <c r="AE332" t="s">
        <v>6308</v>
      </c>
      <c r="AF332" t="s">
        <v>74</v>
      </c>
      <c r="AG332">
        <v>102</v>
      </c>
      <c r="AH332">
        <v>2</v>
      </c>
      <c r="AI332">
        <v>2</v>
      </c>
      <c r="AJ332">
        <v>2</v>
      </c>
      <c r="AK332">
        <v>25</v>
      </c>
      <c r="AL332" t="s">
        <v>703</v>
      </c>
      <c r="AM332" t="s">
        <v>704</v>
      </c>
      <c r="AN332" t="s">
        <v>705</v>
      </c>
      <c r="AO332" t="s">
        <v>5812</v>
      </c>
      <c r="AP332" t="s">
        <v>5813</v>
      </c>
      <c r="AQ332" t="s">
        <v>74</v>
      </c>
      <c r="AR332" t="s">
        <v>5814</v>
      </c>
      <c r="AS332" t="s">
        <v>5815</v>
      </c>
      <c r="AT332" t="s">
        <v>5816</v>
      </c>
      <c r="AU332">
        <v>2022</v>
      </c>
      <c r="AV332">
        <v>54</v>
      </c>
      <c r="AW332">
        <v>1</v>
      </c>
      <c r="AX332" t="s">
        <v>74</v>
      </c>
      <c r="AY332" t="s">
        <v>74</v>
      </c>
      <c r="AZ332" t="s">
        <v>74</v>
      </c>
      <c r="BA332" t="s">
        <v>74</v>
      </c>
      <c r="BB332">
        <v>221</v>
      </c>
      <c r="BC332">
        <v>238</v>
      </c>
      <c r="BD332" t="s">
        <v>74</v>
      </c>
      <c r="BE332" t="s">
        <v>6309</v>
      </c>
      <c r="BF332" t="str">
        <f>HYPERLINK("http://dx.doi.org/10.1080/15230430.2022.2082263","http://dx.doi.org/10.1080/15230430.2022.2082263")</f>
        <v>http://dx.doi.org/10.1080/15230430.2022.2082263</v>
      </c>
      <c r="BG332" t="s">
        <v>74</v>
      </c>
      <c r="BH332" t="s">
        <v>74</v>
      </c>
      <c r="BI332">
        <v>18</v>
      </c>
      <c r="BJ332" t="s">
        <v>5818</v>
      </c>
      <c r="BK332" t="s">
        <v>104</v>
      </c>
      <c r="BL332" t="s">
        <v>5819</v>
      </c>
      <c r="BM332" t="s">
        <v>6310</v>
      </c>
      <c r="BN332" t="s">
        <v>74</v>
      </c>
      <c r="BO332" t="s">
        <v>165</v>
      </c>
      <c r="BP332" t="s">
        <v>74</v>
      </c>
      <c r="BQ332" t="s">
        <v>74</v>
      </c>
      <c r="BR332" t="s">
        <v>108</v>
      </c>
      <c r="BS332" t="s">
        <v>6311</v>
      </c>
      <c r="BT332" t="str">
        <f>HYPERLINK("https%3A%2F%2Fwww.webofscience.com%2Fwos%2Fwoscc%2Ffull-record%2FWOS:000821346800001","View Full Record in Web of Science")</f>
        <v>View Full Record in Web of Science</v>
      </c>
    </row>
    <row r="333" spans="1:72" x14ac:dyDescent="0.15">
      <c r="A333" t="s">
        <v>72</v>
      </c>
      <c r="B333" t="s">
        <v>6312</v>
      </c>
      <c r="C333" t="s">
        <v>74</v>
      </c>
      <c r="D333" t="s">
        <v>74</v>
      </c>
      <c r="E333" t="s">
        <v>74</v>
      </c>
      <c r="F333" t="s">
        <v>6313</v>
      </c>
      <c r="G333" t="s">
        <v>74</v>
      </c>
      <c r="H333" t="s">
        <v>74</v>
      </c>
      <c r="I333" t="s">
        <v>6314</v>
      </c>
      <c r="J333" t="s">
        <v>5802</v>
      </c>
      <c r="K333" t="s">
        <v>74</v>
      </c>
      <c r="L333" t="s">
        <v>74</v>
      </c>
      <c r="M333" t="s">
        <v>78</v>
      </c>
      <c r="N333" t="s">
        <v>743</v>
      </c>
      <c r="O333" t="s">
        <v>74</v>
      </c>
      <c r="P333" t="s">
        <v>74</v>
      </c>
      <c r="Q333" t="s">
        <v>74</v>
      </c>
      <c r="R333" t="s">
        <v>74</v>
      </c>
      <c r="S333" t="s">
        <v>74</v>
      </c>
      <c r="T333" t="s">
        <v>74</v>
      </c>
      <c r="U333" t="s">
        <v>6315</v>
      </c>
      <c r="V333" t="s">
        <v>74</v>
      </c>
      <c r="W333" t="s">
        <v>6316</v>
      </c>
      <c r="X333" t="s">
        <v>6317</v>
      </c>
      <c r="Y333" t="s">
        <v>6318</v>
      </c>
      <c r="Z333" t="s">
        <v>6319</v>
      </c>
      <c r="AA333" t="s">
        <v>74</v>
      </c>
      <c r="AB333" t="s">
        <v>1312</v>
      </c>
      <c r="AC333" t="s">
        <v>6320</v>
      </c>
      <c r="AD333" t="s">
        <v>6321</v>
      </c>
      <c r="AE333" t="s">
        <v>6322</v>
      </c>
      <c r="AF333" t="s">
        <v>74</v>
      </c>
      <c r="AG333">
        <v>6</v>
      </c>
      <c r="AH333">
        <v>1</v>
      </c>
      <c r="AI333">
        <v>1</v>
      </c>
      <c r="AJ333">
        <v>0</v>
      </c>
      <c r="AK333">
        <v>3</v>
      </c>
      <c r="AL333" t="s">
        <v>703</v>
      </c>
      <c r="AM333" t="s">
        <v>704</v>
      </c>
      <c r="AN333" t="s">
        <v>705</v>
      </c>
      <c r="AO333" t="s">
        <v>5812</v>
      </c>
      <c r="AP333" t="s">
        <v>5813</v>
      </c>
      <c r="AQ333" t="s">
        <v>74</v>
      </c>
      <c r="AR333" t="s">
        <v>5814</v>
      </c>
      <c r="AS333" t="s">
        <v>5815</v>
      </c>
      <c r="AT333" t="s">
        <v>5816</v>
      </c>
      <c r="AU333">
        <v>2022</v>
      </c>
      <c r="AV333">
        <v>54</v>
      </c>
      <c r="AW333">
        <v>1</v>
      </c>
      <c r="AX333" t="s">
        <v>74</v>
      </c>
      <c r="AY333" t="s">
        <v>74</v>
      </c>
      <c r="AZ333" t="s">
        <v>74</v>
      </c>
      <c r="BA333" t="s">
        <v>74</v>
      </c>
      <c r="BB333">
        <v>200</v>
      </c>
      <c r="BC333">
        <v>201</v>
      </c>
      <c r="BD333" t="s">
        <v>74</v>
      </c>
      <c r="BE333" t="s">
        <v>6323</v>
      </c>
      <c r="BF333" t="str">
        <f>HYPERLINK("http://dx.doi.org/10.1080/15230430.2022.2069204","http://dx.doi.org/10.1080/15230430.2022.2069204")</f>
        <v>http://dx.doi.org/10.1080/15230430.2022.2069204</v>
      </c>
      <c r="BG333" t="s">
        <v>74</v>
      </c>
      <c r="BH333" t="s">
        <v>74</v>
      </c>
      <c r="BI333">
        <v>2</v>
      </c>
      <c r="BJ333" t="s">
        <v>5818</v>
      </c>
      <c r="BK333" t="s">
        <v>104</v>
      </c>
      <c r="BL333" t="s">
        <v>5819</v>
      </c>
      <c r="BM333" t="s">
        <v>6324</v>
      </c>
      <c r="BN333" t="s">
        <v>74</v>
      </c>
      <c r="BO333" t="s">
        <v>192</v>
      </c>
      <c r="BP333" t="s">
        <v>74</v>
      </c>
      <c r="BQ333" t="s">
        <v>74</v>
      </c>
      <c r="BR333" t="s">
        <v>108</v>
      </c>
      <c r="BS333" t="s">
        <v>6325</v>
      </c>
      <c r="BT333" t="str">
        <f>HYPERLINK("https%3A%2F%2Fwww.webofscience.com%2Fwos%2Fwoscc%2Ffull-record%2FWOS:000819328800001","View Full Record in Web of Science")</f>
        <v>View Full Record in Web of Science</v>
      </c>
    </row>
    <row r="334" spans="1:72" x14ac:dyDescent="0.15">
      <c r="A334" t="s">
        <v>72</v>
      </c>
      <c r="B334" t="s">
        <v>6326</v>
      </c>
      <c r="C334" t="s">
        <v>74</v>
      </c>
      <c r="D334" t="s">
        <v>74</v>
      </c>
      <c r="E334" t="s">
        <v>74</v>
      </c>
      <c r="F334" t="s">
        <v>6327</v>
      </c>
      <c r="G334" t="s">
        <v>74</v>
      </c>
      <c r="H334" t="s">
        <v>74</v>
      </c>
      <c r="I334" t="s">
        <v>6328</v>
      </c>
      <c r="J334" t="s">
        <v>5802</v>
      </c>
      <c r="K334" t="s">
        <v>74</v>
      </c>
      <c r="L334" t="s">
        <v>74</v>
      </c>
      <c r="M334" t="s">
        <v>78</v>
      </c>
      <c r="N334" t="s">
        <v>79</v>
      </c>
      <c r="O334" t="s">
        <v>74</v>
      </c>
      <c r="P334" t="s">
        <v>74</v>
      </c>
      <c r="Q334" t="s">
        <v>74</v>
      </c>
      <c r="R334" t="s">
        <v>74</v>
      </c>
      <c r="S334" t="s">
        <v>74</v>
      </c>
      <c r="T334" t="s">
        <v>6329</v>
      </c>
      <c r="U334" t="s">
        <v>6330</v>
      </c>
      <c r="V334" t="s">
        <v>6331</v>
      </c>
      <c r="W334" t="s">
        <v>6332</v>
      </c>
      <c r="X334" t="s">
        <v>6333</v>
      </c>
      <c r="Y334" t="s">
        <v>6334</v>
      </c>
      <c r="Z334" t="s">
        <v>6335</v>
      </c>
      <c r="AA334" t="s">
        <v>74</v>
      </c>
      <c r="AB334" t="s">
        <v>6336</v>
      </c>
      <c r="AC334" t="s">
        <v>6337</v>
      </c>
      <c r="AD334" t="s">
        <v>6338</v>
      </c>
      <c r="AE334" t="s">
        <v>6339</v>
      </c>
      <c r="AF334" t="s">
        <v>74</v>
      </c>
      <c r="AG334">
        <v>49</v>
      </c>
      <c r="AH334">
        <v>1</v>
      </c>
      <c r="AI334">
        <v>1</v>
      </c>
      <c r="AJ334">
        <v>2</v>
      </c>
      <c r="AK334">
        <v>48</v>
      </c>
      <c r="AL334" t="s">
        <v>703</v>
      </c>
      <c r="AM334" t="s">
        <v>704</v>
      </c>
      <c r="AN334" t="s">
        <v>705</v>
      </c>
      <c r="AO334" t="s">
        <v>5812</v>
      </c>
      <c r="AP334" t="s">
        <v>5813</v>
      </c>
      <c r="AQ334" t="s">
        <v>74</v>
      </c>
      <c r="AR334" t="s">
        <v>5814</v>
      </c>
      <c r="AS334" t="s">
        <v>5815</v>
      </c>
      <c r="AT334" t="s">
        <v>5816</v>
      </c>
      <c r="AU334">
        <v>2022</v>
      </c>
      <c r="AV334">
        <v>54</v>
      </c>
      <c r="AW334">
        <v>1</v>
      </c>
      <c r="AX334" t="s">
        <v>74</v>
      </c>
      <c r="AY334" t="s">
        <v>74</v>
      </c>
      <c r="AZ334" t="s">
        <v>74</v>
      </c>
      <c r="BA334" t="s">
        <v>74</v>
      </c>
      <c r="BB334">
        <v>202</v>
      </c>
      <c r="BC334">
        <v>220</v>
      </c>
      <c r="BD334" t="s">
        <v>74</v>
      </c>
      <c r="BE334" t="s">
        <v>6340</v>
      </c>
      <c r="BF334" t="str">
        <f>HYPERLINK("http://dx.doi.org/10.1080/15230430.2022.2071793","http://dx.doi.org/10.1080/15230430.2022.2071793")</f>
        <v>http://dx.doi.org/10.1080/15230430.2022.2071793</v>
      </c>
      <c r="BG334" t="s">
        <v>74</v>
      </c>
      <c r="BH334" t="s">
        <v>74</v>
      </c>
      <c r="BI334">
        <v>19</v>
      </c>
      <c r="BJ334" t="s">
        <v>5818</v>
      </c>
      <c r="BK334" t="s">
        <v>104</v>
      </c>
      <c r="BL334" t="s">
        <v>5819</v>
      </c>
      <c r="BM334" t="s">
        <v>6341</v>
      </c>
      <c r="BN334" t="s">
        <v>74</v>
      </c>
      <c r="BO334" t="s">
        <v>165</v>
      </c>
      <c r="BP334" t="s">
        <v>74</v>
      </c>
      <c r="BQ334" t="s">
        <v>74</v>
      </c>
      <c r="BR334" t="s">
        <v>108</v>
      </c>
      <c r="BS334" t="s">
        <v>6342</v>
      </c>
      <c r="BT334" t="str">
        <f>HYPERLINK("https%3A%2F%2Fwww.webofscience.com%2Fwos%2Fwoscc%2Ffull-record%2FWOS:000821175300001","View Full Record in Web of Science")</f>
        <v>View Full Record in Web of Science</v>
      </c>
    </row>
    <row r="335" spans="1:72" x14ac:dyDescent="0.15">
      <c r="A335" t="s">
        <v>72</v>
      </c>
      <c r="B335" t="s">
        <v>6343</v>
      </c>
      <c r="C335" t="s">
        <v>74</v>
      </c>
      <c r="D335" t="s">
        <v>74</v>
      </c>
      <c r="E335" t="s">
        <v>74</v>
      </c>
      <c r="F335" t="s">
        <v>6344</v>
      </c>
      <c r="G335" t="s">
        <v>74</v>
      </c>
      <c r="H335" t="s">
        <v>74</v>
      </c>
      <c r="I335" t="s">
        <v>6345</v>
      </c>
      <c r="J335" t="s">
        <v>5802</v>
      </c>
      <c r="K335" t="s">
        <v>74</v>
      </c>
      <c r="L335" t="s">
        <v>74</v>
      </c>
      <c r="M335" t="s">
        <v>78</v>
      </c>
      <c r="N335" t="s">
        <v>79</v>
      </c>
      <c r="O335" t="s">
        <v>74</v>
      </c>
      <c r="P335" t="s">
        <v>74</v>
      </c>
      <c r="Q335" t="s">
        <v>74</v>
      </c>
      <c r="R335" t="s">
        <v>74</v>
      </c>
      <c r="S335" t="s">
        <v>74</v>
      </c>
      <c r="T335" t="s">
        <v>6346</v>
      </c>
      <c r="U335" t="s">
        <v>6347</v>
      </c>
      <c r="V335" t="s">
        <v>6348</v>
      </c>
      <c r="W335" t="s">
        <v>6349</v>
      </c>
      <c r="X335" t="s">
        <v>6350</v>
      </c>
      <c r="Y335" t="s">
        <v>6351</v>
      </c>
      <c r="Z335" t="s">
        <v>6352</v>
      </c>
      <c r="AA335" t="s">
        <v>74</v>
      </c>
      <c r="AB335" t="s">
        <v>6353</v>
      </c>
      <c r="AC335" t="s">
        <v>6354</v>
      </c>
      <c r="AD335" t="s">
        <v>6355</v>
      </c>
      <c r="AE335" t="s">
        <v>6356</v>
      </c>
      <c r="AF335" t="s">
        <v>74</v>
      </c>
      <c r="AG335">
        <v>51</v>
      </c>
      <c r="AH335">
        <v>0</v>
      </c>
      <c r="AI335">
        <v>0</v>
      </c>
      <c r="AJ335">
        <v>1</v>
      </c>
      <c r="AK335">
        <v>12</v>
      </c>
      <c r="AL335" t="s">
        <v>703</v>
      </c>
      <c r="AM335" t="s">
        <v>704</v>
      </c>
      <c r="AN335" t="s">
        <v>705</v>
      </c>
      <c r="AO335" t="s">
        <v>5812</v>
      </c>
      <c r="AP335" t="s">
        <v>5813</v>
      </c>
      <c r="AQ335" t="s">
        <v>74</v>
      </c>
      <c r="AR335" t="s">
        <v>5814</v>
      </c>
      <c r="AS335" t="s">
        <v>5815</v>
      </c>
      <c r="AT335" t="s">
        <v>5816</v>
      </c>
      <c r="AU335">
        <v>2022</v>
      </c>
      <c r="AV335">
        <v>54</v>
      </c>
      <c r="AW335">
        <v>1</v>
      </c>
      <c r="AX335" t="s">
        <v>74</v>
      </c>
      <c r="AY335" t="s">
        <v>74</v>
      </c>
      <c r="AZ335" t="s">
        <v>74</v>
      </c>
      <c r="BA335" t="s">
        <v>74</v>
      </c>
      <c r="BB335">
        <v>176</v>
      </c>
      <c r="BC335">
        <v>199</v>
      </c>
      <c r="BD335" t="s">
        <v>74</v>
      </c>
      <c r="BE335" t="s">
        <v>6357</v>
      </c>
      <c r="BF335" t="str">
        <f>HYPERLINK("http://dx.doi.org/10.1080/15230430.2022.2062102","http://dx.doi.org/10.1080/15230430.2022.2062102")</f>
        <v>http://dx.doi.org/10.1080/15230430.2022.2062102</v>
      </c>
      <c r="BG335" t="s">
        <v>74</v>
      </c>
      <c r="BH335" t="s">
        <v>74</v>
      </c>
      <c r="BI335">
        <v>24</v>
      </c>
      <c r="BJ335" t="s">
        <v>5818</v>
      </c>
      <c r="BK335" t="s">
        <v>104</v>
      </c>
      <c r="BL335" t="s">
        <v>5819</v>
      </c>
      <c r="BM335" t="s">
        <v>6358</v>
      </c>
      <c r="BN335" t="s">
        <v>74</v>
      </c>
      <c r="BO335" t="s">
        <v>165</v>
      </c>
      <c r="BP335" t="s">
        <v>74</v>
      </c>
      <c r="BQ335" t="s">
        <v>74</v>
      </c>
      <c r="BR335" t="s">
        <v>108</v>
      </c>
      <c r="BS335" t="s">
        <v>6359</v>
      </c>
      <c r="BT335" t="str">
        <f>HYPERLINK("https%3A%2F%2Fwww.webofscience.com%2Fwos%2Fwoscc%2Ffull-record%2FWOS:000817789300001","View Full Record in Web of Science")</f>
        <v>View Full Record in Web of Science</v>
      </c>
    </row>
    <row r="336" spans="1:72" x14ac:dyDescent="0.15">
      <c r="A336" t="s">
        <v>72</v>
      </c>
      <c r="B336" t="s">
        <v>6360</v>
      </c>
      <c r="C336" t="s">
        <v>74</v>
      </c>
      <c r="D336" t="s">
        <v>74</v>
      </c>
      <c r="E336" t="s">
        <v>74</v>
      </c>
      <c r="F336" t="s">
        <v>6361</v>
      </c>
      <c r="G336" t="s">
        <v>74</v>
      </c>
      <c r="H336" t="s">
        <v>74</v>
      </c>
      <c r="I336" t="s">
        <v>6362</v>
      </c>
      <c r="J336" t="s">
        <v>5802</v>
      </c>
      <c r="K336" t="s">
        <v>74</v>
      </c>
      <c r="L336" t="s">
        <v>74</v>
      </c>
      <c r="M336" t="s">
        <v>78</v>
      </c>
      <c r="N336" t="s">
        <v>79</v>
      </c>
      <c r="O336" t="s">
        <v>74</v>
      </c>
      <c r="P336" t="s">
        <v>74</v>
      </c>
      <c r="Q336" t="s">
        <v>74</v>
      </c>
      <c r="R336" t="s">
        <v>74</v>
      </c>
      <c r="S336" t="s">
        <v>74</v>
      </c>
      <c r="T336" t="s">
        <v>6363</v>
      </c>
      <c r="U336" t="s">
        <v>6364</v>
      </c>
      <c r="V336" t="s">
        <v>6365</v>
      </c>
      <c r="W336" t="s">
        <v>6366</v>
      </c>
      <c r="X336" t="s">
        <v>6367</v>
      </c>
      <c r="Y336" t="s">
        <v>6368</v>
      </c>
      <c r="Z336" t="s">
        <v>6369</v>
      </c>
      <c r="AA336" t="s">
        <v>74</v>
      </c>
      <c r="AB336" t="s">
        <v>74</v>
      </c>
      <c r="AC336" t="s">
        <v>74</v>
      </c>
      <c r="AD336" t="s">
        <v>74</v>
      </c>
      <c r="AE336" t="s">
        <v>74</v>
      </c>
      <c r="AF336" t="s">
        <v>74</v>
      </c>
      <c r="AG336">
        <v>63</v>
      </c>
      <c r="AH336">
        <v>5</v>
      </c>
      <c r="AI336">
        <v>5</v>
      </c>
      <c r="AJ336">
        <v>1</v>
      </c>
      <c r="AK336">
        <v>8</v>
      </c>
      <c r="AL336" t="s">
        <v>703</v>
      </c>
      <c r="AM336" t="s">
        <v>704</v>
      </c>
      <c r="AN336" t="s">
        <v>705</v>
      </c>
      <c r="AO336" t="s">
        <v>5812</v>
      </c>
      <c r="AP336" t="s">
        <v>5813</v>
      </c>
      <c r="AQ336" t="s">
        <v>74</v>
      </c>
      <c r="AR336" t="s">
        <v>5814</v>
      </c>
      <c r="AS336" t="s">
        <v>5815</v>
      </c>
      <c r="AT336" t="s">
        <v>5816</v>
      </c>
      <c r="AU336">
        <v>2022</v>
      </c>
      <c r="AV336">
        <v>54</v>
      </c>
      <c r="AW336">
        <v>1</v>
      </c>
      <c r="AX336" t="s">
        <v>74</v>
      </c>
      <c r="AY336" t="s">
        <v>74</v>
      </c>
      <c r="AZ336" t="s">
        <v>74</v>
      </c>
      <c r="BA336" t="s">
        <v>74</v>
      </c>
      <c r="BB336">
        <v>163</v>
      </c>
      <c r="BC336">
        <v>175</v>
      </c>
      <c r="BD336" t="s">
        <v>74</v>
      </c>
      <c r="BE336" t="s">
        <v>6370</v>
      </c>
      <c r="BF336" t="str">
        <f>HYPERLINK("http://dx.doi.org/10.1080/15230430.2022.2075120","http://dx.doi.org/10.1080/15230430.2022.2075120")</f>
        <v>http://dx.doi.org/10.1080/15230430.2022.2075120</v>
      </c>
      <c r="BG336" t="s">
        <v>74</v>
      </c>
      <c r="BH336" t="s">
        <v>74</v>
      </c>
      <c r="BI336">
        <v>13</v>
      </c>
      <c r="BJ336" t="s">
        <v>5818</v>
      </c>
      <c r="BK336" t="s">
        <v>104</v>
      </c>
      <c r="BL336" t="s">
        <v>5819</v>
      </c>
      <c r="BM336" t="s">
        <v>6371</v>
      </c>
      <c r="BN336" t="s">
        <v>74</v>
      </c>
      <c r="BO336" t="s">
        <v>165</v>
      </c>
      <c r="BP336" t="s">
        <v>74</v>
      </c>
      <c r="BQ336" t="s">
        <v>74</v>
      </c>
      <c r="BR336" t="s">
        <v>108</v>
      </c>
      <c r="BS336" t="s">
        <v>6372</v>
      </c>
      <c r="BT336" t="str">
        <f>HYPERLINK("https%3A%2F%2Fwww.webofscience.com%2Fwos%2Fwoscc%2Ffull-record%2FWOS:000808384400001","View Full Record in Web of Science")</f>
        <v>View Full Record in Web of Science</v>
      </c>
    </row>
    <row r="337" spans="1:72" x14ac:dyDescent="0.15">
      <c r="A337" t="s">
        <v>72</v>
      </c>
      <c r="B337" t="s">
        <v>6373</v>
      </c>
      <c r="C337" t="s">
        <v>74</v>
      </c>
      <c r="D337" t="s">
        <v>74</v>
      </c>
      <c r="E337" t="s">
        <v>74</v>
      </c>
      <c r="F337" t="s">
        <v>6374</v>
      </c>
      <c r="G337" t="s">
        <v>74</v>
      </c>
      <c r="H337" t="s">
        <v>74</v>
      </c>
      <c r="I337" t="s">
        <v>6375</v>
      </c>
      <c r="J337" t="s">
        <v>5802</v>
      </c>
      <c r="K337" t="s">
        <v>74</v>
      </c>
      <c r="L337" t="s">
        <v>74</v>
      </c>
      <c r="M337" t="s">
        <v>78</v>
      </c>
      <c r="N337" t="s">
        <v>79</v>
      </c>
      <c r="O337" t="s">
        <v>74</v>
      </c>
      <c r="P337" t="s">
        <v>74</v>
      </c>
      <c r="Q337" t="s">
        <v>74</v>
      </c>
      <c r="R337" t="s">
        <v>74</v>
      </c>
      <c r="S337" t="s">
        <v>74</v>
      </c>
      <c r="T337" t="s">
        <v>6376</v>
      </c>
      <c r="U337" t="s">
        <v>6377</v>
      </c>
      <c r="V337" t="s">
        <v>6378</v>
      </c>
      <c r="W337" t="s">
        <v>6379</v>
      </c>
      <c r="X337" t="s">
        <v>6380</v>
      </c>
      <c r="Y337" t="s">
        <v>6381</v>
      </c>
      <c r="Z337" t="s">
        <v>6382</v>
      </c>
      <c r="AA337" t="s">
        <v>6383</v>
      </c>
      <c r="AB337" t="s">
        <v>6384</v>
      </c>
      <c r="AC337" t="s">
        <v>6385</v>
      </c>
      <c r="AD337" t="s">
        <v>6385</v>
      </c>
      <c r="AE337" t="s">
        <v>6386</v>
      </c>
      <c r="AF337" t="s">
        <v>74</v>
      </c>
      <c r="AG337">
        <v>79</v>
      </c>
      <c r="AH337">
        <v>4</v>
      </c>
      <c r="AI337">
        <v>4</v>
      </c>
      <c r="AJ337">
        <v>0</v>
      </c>
      <c r="AK337">
        <v>13</v>
      </c>
      <c r="AL337" t="s">
        <v>703</v>
      </c>
      <c r="AM337" t="s">
        <v>704</v>
      </c>
      <c r="AN337" t="s">
        <v>705</v>
      </c>
      <c r="AO337" t="s">
        <v>5812</v>
      </c>
      <c r="AP337" t="s">
        <v>5813</v>
      </c>
      <c r="AQ337" t="s">
        <v>74</v>
      </c>
      <c r="AR337" t="s">
        <v>5814</v>
      </c>
      <c r="AS337" t="s">
        <v>5815</v>
      </c>
      <c r="AT337" t="s">
        <v>5816</v>
      </c>
      <c r="AU337">
        <v>2022</v>
      </c>
      <c r="AV337">
        <v>54</v>
      </c>
      <c r="AW337">
        <v>1</v>
      </c>
      <c r="AX337" t="s">
        <v>74</v>
      </c>
      <c r="AY337" t="s">
        <v>74</v>
      </c>
      <c r="AZ337" t="s">
        <v>74</v>
      </c>
      <c r="BA337" t="s">
        <v>74</v>
      </c>
      <c r="BB337">
        <v>147</v>
      </c>
      <c r="BC337">
        <v>162</v>
      </c>
      <c r="BD337" t="s">
        <v>74</v>
      </c>
      <c r="BE337" t="s">
        <v>6387</v>
      </c>
      <c r="BF337" t="str">
        <f>HYPERLINK("http://dx.doi.org/10.1080/15230430.2022.2071088","http://dx.doi.org/10.1080/15230430.2022.2071088")</f>
        <v>http://dx.doi.org/10.1080/15230430.2022.2071088</v>
      </c>
      <c r="BG337" t="s">
        <v>74</v>
      </c>
      <c r="BH337" t="s">
        <v>74</v>
      </c>
      <c r="BI337">
        <v>16</v>
      </c>
      <c r="BJ337" t="s">
        <v>5818</v>
      </c>
      <c r="BK337" t="s">
        <v>104</v>
      </c>
      <c r="BL337" t="s">
        <v>5819</v>
      </c>
      <c r="BM337" t="s">
        <v>6388</v>
      </c>
      <c r="BN337" t="s">
        <v>74</v>
      </c>
      <c r="BO337" t="s">
        <v>1464</v>
      </c>
      <c r="BP337" t="s">
        <v>74</v>
      </c>
      <c r="BQ337" t="s">
        <v>74</v>
      </c>
      <c r="BR337" t="s">
        <v>108</v>
      </c>
      <c r="BS337" t="s">
        <v>6389</v>
      </c>
      <c r="BT337" t="str">
        <f>HYPERLINK("https%3A%2F%2Fwww.webofscience.com%2Fwos%2Fwoscc%2Ffull-record%2FWOS:000800677100001","View Full Record in Web of Science")</f>
        <v>View Full Record in Web of Science</v>
      </c>
    </row>
    <row r="338" spans="1:72" x14ac:dyDescent="0.15">
      <c r="A338" t="s">
        <v>72</v>
      </c>
      <c r="B338" t="s">
        <v>6390</v>
      </c>
      <c r="C338" t="s">
        <v>74</v>
      </c>
      <c r="D338" t="s">
        <v>74</v>
      </c>
      <c r="E338" t="s">
        <v>74</v>
      </c>
      <c r="F338" t="s">
        <v>6391</v>
      </c>
      <c r="G338" t="s">
        <v>74</v>
      </c>
      <c r="H338" t="s">
        <v>74</v>
      </c>
      <c r="I338" t="s">
        <v>6392</v>
      </c>
      <c r="J338" t="s">
        <v>6393</v>
      </c>
      <c r="K338" t="s">
        <v>74</v>
      </c>
      <c r="L338" t="s">
        <v>74</v>
      </c>
      <c r="M338" t="s">
        <v>78</v>
      </c>
      <c r="N338" t="s">
        <v>79</v>
      </c>
      <c r="O338" t="s">
        <v>74</v>
      </c>
      <c r="P338" t="s">
        <v>74</v>
      </c>
      <c r="Q338" t="s">
        <v>74</v>
      </c>
      <c r="R338" t="s">
        <v>74</v>
      </c>
      <c r="S338" t="s">
        <v>74</v>
      </c>
      <c r="T338" t="s">
        <v>6394</v>
      </c>
      <c r="U338" t="s">
        <v>6395</v>
      </c>
      <c r="V338" t="s">
        <v>6396</v>
      </c>
      <c r="W338" t="s">
        <v>6397</v>
      </c>
      <c r="X338" t="s">
        <v>6398</v>
      </c>
      <c r="Y338" t="s">
        <v>6399</v>
      </c>
      <c r="Z338" t="s">
        <v>6400</v>
      </c>
      <c r="AA338" t="s">
        <v>6401</v>
      </c>
      <c r="AB338" t="s">
        <v>6402</v>
      </c>
      <c r="AC338" t="s">
        <v>6403</v>
      </c>
      <c r="AD338" t="s">
        <v>6404</v>
      </c>
      <c r="AE338" t="s">
        <v>6405</v>
      </c>
      <c r="AF338" t="s">
        <v>74</v>
      </c>
      <c r="AG338">
        <v>33</v>
      </c>
      <c r="AH338">
        <v>5</v>
      </c>
      <c r="AI338">
        <v>5</v>
      </c>
      <c r="AJ338">
        <v>2</v>
      </c>
      <c r="AK338">
        <v>15</v>
      </c>
      <c r="AL338" t="s">
        <v>703</v>
      </c>
      <c r="AM338" t="s">
        <v>704</v>
      </c>
      <c r="AN338" t="s">
        <v>705</v>
      </c>
      <c r="AO338" t="s">
        <v>6406</v>
      </c>
      <c r="AP338" t="s">
        <v>6407</v>
      </c>
      <c r="AQ338" t="s">
        <v>74</v>
      </c>
      <c r="AR338" t="s">
        <v>6408</v>
      </c>
      <c r="AS338" t="s">
        <v>6409</v>
      </c>
      <c r="AT338" t="s">
        <v>5816</v>
      </c>
      <c r="AU338">
        <v>2022</v>
      </c>
      <c r="AV338">
        <v>37</v>
      </c>
      <c r="AW338">
        <v>1</v>
      </c>
      <c r="AX338" t="s">
        <v>74</v>
      </c>
      <c r="AY338" t="s">
        <v>74</v>
      </c>
      <c r="AZ338" t="s">
        <v>74</v>
      </c>
      <c r="BA338" t="s">
        <v>74</v>
      </c>
      <c r="BB338">
        <v>1404</v>
      </c>
      <c r="BC338">
        <v>1410</v>
      </c>
      <c r="BD338" t="s">
        <v>74</v>
      </c>
      <c r="BE338" t="s">
        <v>6410</v>
      </c>
      <c r="BF338" t="str">
        <f>HYPERLINK("http://dx.doi.org/10.1080/14756366.2022.2078320","http://dx.doi.org/10.1080/14756366.2022.2078320")</f>
        <v>http://dx.doi.org/10.1080/14756366.2022.2078320</v>
      </c>
      <c r="BG338" t="s">
        <v>74</v>
      </c>
      <c r="BH338" t="s">
        <v>74</v>
      </c>
      <c r="BI338">
        <v>7</v>
      </c>
      <c r="BJ338" t="s">
        <v>6411</v>
      </c>
      <c r="BK338" t="s">
        <v>104</v>
      </c>
      <c r="BL338" t="s">
        <v>6412</v>
      </c>
      <c r="BM338" t="s">
        <v>6413</v>
      </c>
      <c r="BN338">
        <v>35603503</v>
      </c>
      <c r="BO338" t="s">
        <v>192</v>
      </c>
      <c r="BP338" t="s">
        <v>74</v>
      </c>
      <c r="BQ338" t="s">
        <v>74</v>
      </c>
      <c r="BR338" t="s">
        <v>108</v>
      </c>
      <c r="BS338" t="s">
        <v>6414</v>
      </c>
      <c r="BT338" t="str">
        <f>HYPERLINK("https%3A%2F%2Fwww.webofscience.com%2Fwos%2Fwoscc%2Ffull-record%2FWOS:000800954100001","View Full Record in Web of Science")</f>
        <v>View Full Record in Web of Science</v>
      </c>
    </row>
    <row r="339" spans="1:72" x14ac:dyDescent="0.15">
      <c r="A339" t="s">
        <v>72</v>
      </c>
      <c r="B339" t="s">
        <v>6415</v>
      </c>
      <c r="C339" t="s">
        <v>74</v>
      </c>
      <c r="D339" t="s">
        <v>74</v>
      </c>
      <c r="E339" t="s">
        <v>74</v>
      </c>
      <c r="F339" t="s">
        <v>6416</v>
      </c>
      <c r="G339" t="s">
        <v>74</v>
      </c>
      <c r="H339" t="s">
        <v>74</v>
      </c>
      <c r="I339" t="s">
        <v>6417</v>
      </c>
      <c r="J339" t="s">
        <v>5802</v>
      </c>
      <c r="K339" t="s">
        <v>74</v>
      </c>
      <c r="L339" t="s">
        <v>74</v>
      </c>
      <c r="M339" t="s">
        <v>78</v>
      </c>
      <c r="N339" t="s">
        <v>79</v>
      </c>
      <c r="O339" t="s">
        <v>74</v>
      </c>
      <c r="P339" t="s">
        <v>74</v>
      </c>
      <c r="Q339" t="s">
        <v>74</v>
      </c>
      <c r="R339" t="s">
        <v>74</v>
      </c>
      <c r="S339" t="s">
        <v>74</v>
      </c>
      <c r="T339" t="s">
        <v>6418</v>
      </c>
      <c r="U339" t="s">
        <v>6419</v>
      </c>
      <c r="V339" t="s">
        <v>6420</v>
      </c>
      <c r="W339" t="s">
        <v>6421</v>
      </c>
      <c r="X339" t="s">
        <v>6422</v>
      </c>
      <c r="Y339" t="s">
        <v>6423</v>
      </c>
      <c r="Z339" t="s">
        <v>6424</v>
      </c>
      <c r="AA339" t="s">
        <v>6425</v>
      </c>
      <c r="AB339" t="s">
        <v>6426</v>
      </c>
      <c r="AC339" t="s">
        <v>6427</v>
      </c>
      <c r="AD339" t="s">
        <v>6428</v>
      </c>
      <c r="AE339" t="s">
        <v>6429</v>
      </c>
      <c r="AF339" t="s">
        <v>74</v>
      </c>
      <c r="AG339">
        <v>78</v>
      </c>
      <c r="AH339">
        <v>2</v>
      </c>
      <c r="AI339">
        <v>3</v>
      </c>
      <c r="AJ339">
        <v>1</v>
      </c>
      <c r="AK339">
        <v>21</v>
      </c>
      <c r="AL339" t="s">
        <v>703</v>
      </c>
      <c r="AM339" t="s">
        <v>704</v>
      </c>
      <c r="AN339" t="s">
        <v>705</v>
      </c>
      <c r="AO339" t="s">
        <v>5812</v>
      </c>
      <c r="AP339" t="s">
        <v>5813</v>
      </c>
      <c r="AQ339" t="s">
        <v>74</v>
      </c>
      <c r="AR339" t="s">
        <v>5814</v>
      </c>
      <c r="AS339" t="s">
        <v>5815</v>
      </c>
      <c r="AT339" t="s">
        <v>5816</v>
      </c>
      <c r="AU339">
        <v>2022</v>
      </c>
      <c r="AV339">
        <v>54</v>
      </c>
      <c r="AW339">
        <v>1</v>
      </c>
      <c r="AX339" t="s">
        <v>74</v>
      </c>
      <c r="AY339" t="s">
        <v>74</v>
      </c>
      <c r="AZ339" t="s">
        <v>74</v>
      </c>
      <c r="BA339" t="s">
        <v>74</v>
      </c>
      <c r="BB339">
        <v>125</v>
      </c>
      <c r="BC339">
        <v>146</v>
      </c>
      <c r="BD339" t="s">
        <v>74</v>
      </c>
      <c r="BE339" t="s">
        <v>6430</v>
      </c>
      <c r="BF339" t="str">
        <f>HYPERLINK("http://dx.doi.org/10.1080/15230430.2022.2059957","http://dx.doi.org/10.1080/15230430.2022.2059957")</f>
        <v>http://dx.doi.org/10.1080/15230430.2022.2059957</v>
      </c>
      <c r="BG339" t="s">
        <v>74</v>
      </c>
      <c r="BH339" t="s">
        <v>74</v>
      </c>
      <c r="BI339">
        <v>22</v>
      </c>
      <c r="BJ339" t="s">
        <v>5818</v>
      </c>
      <c r="BK339" t="s">
        <v>104</v>
      </c>
      <c r="BL339" t="s">
        <v>5819</v>
      </c>
      <c r="BM339" t="s">
        <v>6431</v>
      </c>
      <c r="BN339" t="s">
        <v>74</v>
      </c>
      <c r="BO339" t="s">
        <v>165</v>
      </c>
      <c r="BP339" t="s">
        <v>74</v>
      </c>
      <c r="BQ339" t="s">
        <v>74</v>
      </c>
      <c r="BR339" t="s">
        <v>108</v>
      </c>
      <c r="BS339" t="s">
        <v>6432</v>
      </c>
      <c r="BT339" t="str">
        <f>HYPERLINK("https%3A%2F%2Fwww.webofscience.com%2Fwos%2Fwoscc%2Ffull-record%2FWOS:000792933400001","View Full Record in Web of Science")</f>
        <v>View Full Record in Web of Science</v>
      </c>
    </row>
    <row r="340" spans="1:72" x14ac:dyDescent="0.15">
      <c r="A340" t="s">
        <v>72</v>
      </c>
      <c r="B340" t="s">
        <v>6433</v>
      </c>
      <c r="C340" t="s">
        <v>74</v>
      </c>
      <c r="D340" t="s">
        <v>74</v>
      </c>
      <c r="E340" t="s">
        <v>74</v>
      </c>
      <c r="F340" t="s">
        <v>6434</v>
      </c>
      <c r="G340" t="s">
        <v>74</v>
      </c>
      <c r="H340" t="s">
        <v>74</v>
      </c>
      <c r="I340" t="s">
        <v>6435</v>
      </c>
      <c r="J340" t="s">
        <v>5802</v>
      </c>
      <c r="K340" t="s">
        <v>74</v>
      </c>
      <c r="L340" t="s">
        <v>74</v>
      </c>
      <c r="M340" t="s">
        <v>78</v>
      </c>
      <c r="N340" t="s">
        <v>743</v>
      </c>
      <c r="O340" t="s">
        <v>74</v>
      </c>
      <c r="P340" t="s">
        <v>74</v>
      </c>
      <c r="Q340" t="s">
        <v>74</v>
      </c>
      <c r="R340" t="s">
        <v>74</v>
      </c>
      <c r="S340" t="s">
        <v>74</v>
      </c>
      <c r="T340" t="s">
        <v>74</v>
      </c>
      <c r="U340" t="s">
        <v>74</v>
      </c>
      <c r="V340" t="s">
        <v>74</v>
      </c>
      <c r="W340" t="s">
        <v>6436</v>
      </c>
      <c r="X340" t="s">
        <v>6272</v>
      </c>
      <c r="Y340" t="s">
        <v>6437</v>
      </c>
      <c r="Z340" t="s">
        <v>6438</v>
      </c>
      <c r="AA340" t="s">
        <v>74</v>
      </c>
      <c r="AB340" t="s">
        <v>1312</v>
      </c>
      <c r="AC340" t="s">
        <v>6439</v>
      </c>
      <c r="AD340" t="s">
        <v>6440</v>
      </c>
      <c r="AE340" t="s">
        <v>6441</v>
      </c>
      <c r="AF340" t="s">
        <v>74</v>
      </c>
      <c r="AG340">
        <v>6</v>
      </c>
      <c r="AH340">
        <v>0</v>
      </c>
      <c r="AI340">
        <v>0</v>
      </c>
      <c r="AJ340">
        <v>0</v>
      </c>
      <c r="AK340">
        <v>4</v>
      </c>
      <c r="AL340" t="s">
        <v>703</v>
      </c>
      <c r="AM340" t="s">
        <v>704</v>
      </c>
      <c r="AN340" t="s">
        <v>705</v>
      </c>
      <c r="AO340" t="s">
        <v>5812</v>
      </c>
      <c r="AP340" t="s">
        <v>5813</v>
      </c>
      <c r="AQ340" t="s">
        <v>74</v>
      </c>
      <c r="AR340" t="s">
        <v>5814</v>
      </c>
      <c r="AS340" t="s">
        <v>5815</v>
      </c>
      <c r="AT340" t="s">
        <v>5816</v>
      </c>
      <c r="AU340">
        <v>2022</v>
      </c>
      <c r="AV340">
        <v>54</v>
      </c>
      <c r="AW340">
        <v>1</v>
      </c>
      <c r="AX340" t="s">
        <v>74</v>
      </c>
      <c r="AY340" t="s">
        <v>74</v>
      </c>
      <c r="AZ340" t="s">
        <v>74</v>
      </c>
      <c r="BA340" t="s">
        <v>74</v>
      </c>
      <c r="BB340">
        <v>111</v>
      </c>
      <c r="BC340">
        <v>112</v>
      </c>
      <c r="BD340">
        <v>2047247</v>
      </c>
      <c r="BE340" t="s">
        <v>6442</v>
      </c>
      <c r="BF340" t="str">
        <f>HYPERLINK("http://dx.doi.org/10.1080/15230430.2022.2047247","http://dx.doi.org/10.1080/15230430.2022.2047247")</f>
        <v>http://dx.doi.org/10.1080/15230430.2022.2047247</v>
      </c>
      <c r="BG340" t="s">
        <v>74</v>
      </c>
      <c r="BH340" t="s">
        <v>74</v>
      </c>
      <c r="BI340">
        <v>2</v>
      </c>
      <c r="BJ340" t="s">
        <v>5818</v>
      </c>
      <c r="BK340" t="s">
        <v>104</v>
      </c>
      <c r="BL340" t="s">
        <v>5819</v>
      </c>
      <c r="BM340" t="s">
        <v>6443</v>
      </c>
      <c r="BN340" t="s">
        <v>74</v>
      </c>
      <c r="BO340" t="s">
        <v>3181</v>
      </c>
      <c r="BP340" t="s">
        <v>74</v>
      </c>
      <c r="BQ340" t="s">
        <v>74</v>
      </c>
      <c r="BR340" t="s">
        <v>108</v>
      </c>
      <c r="BS340" t="s">
        <v>6444</v>
      </c>
      <c r="BT340" t="str">
        <f>HYPERLINK("https%3A%2F%2Fwww.webofscience.com%2Fwos%2Fwoscc%2Ffull-record%2FWOS:000787565700001","View Full Record in Web of Science")</f>
        <v>View Full Record in Web of Science</v>
      </c>
    </row>
    <row r="341" spans="1:72" x14ac:dyDescent="0.15">
      <c r="A341" t="s">
        <v>72</v>
      </c>
      <c r="B341" t="s">
        <v>6445</v>
      </c>
      <c r="C341" t="s">
        <v>74</v>
      </c>
      <c r="D341" t="s">
        <v>74</v>
      </c>
      <c r="E341" t="s">
        <v>74</v>
      </c>
      <c r="F341" t="s">
        <v>6446</v>
      </c>
      <c r="G341" t="s">
        <v>74</v>
      </c>
      <c r="H341" t="s">
        <v>74</v>
      </c>
      <c r="I341" t="s">
        <v>6447</v>
      </c>
      <c r="J341" t="s">
        <v>5802</v>
      </c>
      <c r="K341" t="s">
        <v>74</v>
      </c>
      <c r="L341" t="s">
        <v>74</v>
      </c>
      <c r="M341" t="s">
        <v>78</v>
      </c>
      <c r="N341" t="s">
        <v>79</v>
      </c>
      <c r="O341" t="s">
        <v>74</v>
      </c>
      <c r="P341" t="s">
        <v>74</v>
      </c>
      <c r="Q341" t="s">
        <v>74</v>
      </c>
      <c r="R341" t="s">
        <v>74</v>
      </c>
      <c r="S341" t="s">
        <v>74</v>
      </c>
      <c r="T341" t="s">
        <v>6448</v>
      </c>
      <c r="U341" t="s">
        <v>6449</v>
      </c>
      <c r="V341" t="s">
        <v>6450</v>
      </c>
      <c r="W341" t="s">
        <v>6451</v>
      </c>
      <c r="X341" t="s">
        <v>6452</v>
      </c>
      <c r="Y341" t="s">
        <v>6453</v>
      </c>
      <c r="Z341" t="s">
        <v>6454</v>
      </c>
      <c r="AA341" t="s">
        <v>74</v>
      </c>
      <c r="AB341" t="s">
        <v>74</v>
      </c>
      <c r="AC341" t="s">
        <v>6455</v>
      </c>
      <c r="AD341" t="s">
        <v>6456</v>
      </c>
      <c r="AE341" t="s">
        <v>6457</v>
      </c>
      <c r="AF341" t="s">
        <v>74</v>
      </c>
      <c r="AG341">
        <v>141</v>
      </c>
      <c r="AH341">
        <v>2</v>
      </c>
      <c r="AI341">
        <v>2</v>
      </c>
      <c r="AJ341">
        <v>5</v>
      </c>
      <c r="AK341">
        <v>14</v>
      </c>
      <c r="AL341" t="s">
        <v>703</v>
      </c>
      <c r="AM341" t="s">
        <v>704</v>
      </c>
      <c r="AN341" t="s">
        <v>705</v>
      </c>
      <c r="AO341" t="s">
        <v>5812</v>
      </c>
      <c r="AP341" t="s">
        <v>5813</v>
      </c>
      <c r="AQ341" t="s">
        <v>74</v>
      </c>
      <c r="AR341" t="s">
        <v>5814</v>
      </c>
      <c r="AS341" t="s">
        <v>5815</v>
      </c>
      <c r="AT341" t="s">
        <v>5816</v>
      </c>
      <c r="AU341">
        <v>2022</v>
      </c>
      <c r="AV341">
        <v>54</v>
      </c>
      <c r="AW341">
        <v>1</v>
      </c>
      <c r="AX341" t="s">
        <v>74</v>
      </c>
      <c r="AY341" t="s">
        <v>74</v>
      </c>
      <c r="AZ341" t="s">
        <v>74</v>
      </c>
      <c r="BA341" t="s">
        <v>74</v>
      </c>
      <c r="BB341">
        <v>96</v>
      </c>
      <c r="BC341">
        <v>110</v>
      </c>
      <c r="BD341" t="s">
        <v>74</v>
      </c>
      <c r="BE341" t="s">
        <v>6458</v>
      </c>
      <c r="BF341" t="str">
        <f>HYPERLINK("http://dx.doi.org/10.1080/15230430.2022.2049957","http://dx.doi.org/10.1080/15230430.2022.2049957")</f>
        <v>http://dx.doi.org/10.1080/15230430.2022.2049957</v>
      </c>
      <c r="BG341" t="s">
        <v>74</v>
      </c>
      <c r="BH341" t="s">
        <v>74</v>
      </c>
      <c r="BI341">
        <v>15</v>
      </c>
      <c r="BJ341" t="s">
        <v>5818</v>
      </c>
      <c r="BK341" t="s">
        <v>354</v>
      </c>
      <c r="BL341" t="s">
        <v>5819</v>
      </c>
      <c r="BM341" t="s">
        <v>6459</v>
      </c>
      <c r="BN341" t="s">
        <v>74</v>
      </c>
      <c r="BO341" t="s">
        <v>165</v>
      </c>
      <c r="BP341" t="s">
        <v>74</v>
      </c>
      <c r="BQ341" t="s">
        <v>74</v>
      </c>
      <c r="BR341" t="s">
        <v>108</v>
      </c>
      <c r="BS341" t="s">
        <v>6460</v>
      </c>
      <c r="BT341" t="str">
        <f>HYPERLINK("https%3A%2F%2Fwww.webofscience.com%2Fwos%2Fwoscc%2Ffull-record%2FWOS:000781601300001","View Full Record in Web of Science")</f>
        <v>View Full Record in Web of Science</v>
      </c>
    </row>
    <row r="342" spans="1:72" x14ac:dyDescent="0.15">
      <c r="A342" t="s">
        <v>72</v>
      </c>
      <c r="B342" t="s">
        <v>6461</v>
      </c>
      <c r="C342" t="s">
        <v>74</v>
      </c>
      <c r="D342" t="s">
        <v>74</v>
      </c>
      <c r="E342" t="s">
        <v>74</v>
      </c>
      <c r="F342" t="s">
        <v>6462</v>
      </c>
      <c r="G342" t="s">
        <v>74</v>
      </c>
      <c r="H342" t="s">
        <v>74</v>
      </c>
      <c r="I342" t="s">
        <v>6463</v>
      </c>
      <c r="J342" t="s">
        <v>5802</v>
      </c>
      <c r="K342" t="s">
        <v>74</v>
      </c>
      <c r="L342" t="s">
        <v>74</v>
      </c>
      <c r="M342" t="s">
        <v>78</v>
      </c>
      <c r="N342" t="s">
        <v>79</v>
      </c>
      <c r="O342" t="s">
        <v>74</v>
      </c>
      <c r="P342" t="s">
        <v>74</v>
      </c>
      <c r="Q342" t="s">
        <v>74</v>
      </c>
      <c r="R342" t="s">
        <v>74</v>
      </c>
      <c r="S342" t="s">
        <v>74</v>
      </c>
      <c r="T342" t="s">
        <v>6464</v>
      </c>
      <c r="U342" t="s">
        <v>6465</v>
      </c>
      <c r="V342" t="s">
        <v>6466</v>
      </c>
      <c r="W342" t="s">
        <v>6467</v>
      </c>
      <c r="X342" t="s">
        <v>6468</v>
      </c>
      <c r="Y342" t="s">
        <v>6469</v>
      </c>
      <c r="Z342" t="s">
        <v>6470</v>
      </c>
      <c r="AA342" t="s">
        <v>6471</v>
      </c>
      <c r="AB342" t="s">
        <v>6472</v>
      </c>
      <c r="AC342" t="s">
        <v>6473</v>
      </c>
      <c r="AD342" t="s">
        <v>6474</v>
      </c>
      <c r="AE342" t="s">
        <v>6475</v>
      </c>
      <c r="AF342" t="s">
        <v>74</v>
      </c>
      <c r="AG342">
        <v>93</v>
      </c>
      <c r="AH342">
        <v>9</v>
      </c>
      <c r="AI342">
        <v>9</v>
      </c>
      <c r="AJ342">
        <v>6</v>
      </c>
      <c r="AK342">
        <v>12</v>
      </c>
      <c r="AL342" t="s">
        <v>703</v>
      </c>
      <c r="AM342" t="s">
        <v>704</v>
      </c>
      <c r="AN342" t="s">
        <v>705</v>
      </c>
      <c r="AO342" t="s">
        <v>5812</v>
      </c>
      <c r="AP342" t="s">
        <v>5813</v>
      </c>
      <c r="AQ342" t="s">
        <v>74</v>
      </c>
      <c r="AR342" t="s">
        <v>5814</v>
      </c>
      <c r="AS342" t="s">
        <v>5815</v>
      </c>
      <c r="AT342" t="s">
        <v>5816</v>
      </c>
      <c r="AU342">
        <v>2022</v>
      </c>
      <c r="AV342">
        <v>54</v>
      </c>
      <c r="AW342">
        <v>1</v>
      </c>
      <c r="AX342" t="s">
        <v>74</v>
      </c>
      <c r="AY342" t="s">
        <v>74</v>
      </c>
      <c r="AZ342" t="s">
        <v>74</v>
      </c>
      <c r="BA342" t="s">
        <v>74</v>
      </c>
      <c r="BB342">
        <v>78</v>
      </c>
      <c r="BC342">
        <v>95</v>
      </c>
      <c r="BD342" t="s">
        <v>74</v>
      </c>
      <c r="BE342" t="s">
        <v>6476</v>
      </c>
      <c r="BF342" t="str">
        <f>HYPERLINK("http://dx.doi.org/10.1080/15230430.2022.2046897","http://dx.doi.org/10.1080/15230430.2022.2046897")</f>
        <v>http://dx.doi.org/10.1080/15230430.2022.2046897</v>
      </c>
      <c r="BG342" t="s">
        <v>74</v>
      </c>
      <c r="BH342" t="s">
        <v>74</v>
      </c>
      <c r="BI342">
        <v>18</v>
      </c>
      <c r="BJ342" t="s">
        <v>5818</v>
      </c>
      <c r="BK342" t="s">
        <v>104</v>
      </c>
      <c r="BL342" t="s">
        <v>5819</v>
      </c>
      <c r="BM342" t="s">
        <v>6477</v>
      </c>
      <c r="BN342" t="s">
        <v>74</v>
      </c>
      <c r="BO342" t="s">
        <v>3181</v>
      </c>
      <c r="BP342" t="s">
        <v>74</v>
      </c>
      <c r="BQ342" t="s">
        <v>74</v>
      </c>
      <c r="BR342" t="s">
        <v>108</v>
      </c>
      <c r="BS342" t="s">
        <v>6478</v>
      </c>
      <c r="BT342" t="str">
        <f>HYPERLINK("https%3A%2F%2Fwww.webofscience.com%2Fwos%2Fwoscc%2Ffull-record%2FWOS:000777196100001","View Full Record in Web of Science")</f>
        <v>View Full Record in Web of Science</v>
      </c>
    </row>
    <row r="343" spans="1:72" x14ac:dyDescent="0.15">
      <c r="A343" t="s">
        <v>72</v>
      </c>
      <c r="B343" t="s">
        <v>6479</v>
      </c>
      <c r="C343" t="s">
        <v>74</v>
      </c>
      <c r="D343" t="s">
        <v>74</v>
      </c>
      <c r="E343" t="s">
        <v>74</v>
      </c>
      <c r="F343" t="s">
        <v>6480</v>
      </c>
      <c r="G343" t="s">
        <v>74</v>
      </c>
      <c r="H343" t="s">
        <v>74</v>
      </c>
      <c r="I343" t="s">
        <v>6481</v>
      </c>
      <c r="J343" t="s">
        <v>5802</v>
      </c>
      <c r="K343" t="s">
        <v>74</v>
      </c>
      <c r="L343" t="s">
        <v>74</v>
      </c>
      <c r="M343" t="s">
        <v>78</v>
      </c>
      <c r="N343" t="s">
        <v>79</v>
      </c>
      <c r="O343" t="s">
        <v>74</v>
      </c>
      <c r="P343" t="s">
        <v>74</v>
      </c>
      <c r="Q343" t="s">
        <v>74</v>
      </c>
      <c r="R343" t="s">
        <v>74</v>
      </c>
      <c r="S343" t="s">
        <v>74</v>
      </c>
      <c r="T343" t="s">
        <v>6482</v>
      </c>
      <c r="U343" t="s">
        <v>6483</v>
      </c>
      <c r="V343" t="s">
        <v>6484</v>
      </c>
      <c r="W343" t="s">
        <v>6485</v>
      </c>
      <c r="X343" t="s">
        <v>6486</v>
      </c>
      <c r="Y343" t="s">
        <v>6487</v>
      </c>
      <c r="Z343" t="s">
        <v>6488</v>
      </c>
      <c r="AA343" t="s">
        <v>74</v>
      </c>
      <c r="AB343" t="s">
        <v>6489</v>
      </c>
      <c r="AC343" t="s">
        <v>6490</v>
      </c>
      <c r="AD343" t="s">
        <v>6491</v>
      </c>
      <c r="AE343" t="s">
        <v>6492</v>
      </c>
      <c r="AF343" t="s">
        <v>74</v>
      </c>
      <c r="AG343">
        <v>90</v>
      </c>
      <c r="AH343">
        <v>1</v>
      </c>
      <c r="AI343">
        <v>1</v>
      </c>
      <c r="AJ343">
        <v>2</v>
      </c>
      <c r="AK343">
        <v>35</v>
      </c>
      <c r="AL343" t="s">
        <v>703</v>
      </c>
      <c r="AM343" t="s">
        <v>704</v>
      </c>
      <c r="AN343" t="s">
        <v>705</v>
      </c>
      <c r="AO343" t="s">
        <v>5812</v>
      </c>
      <c r="AP343" t="s">
        <v>5813</v>
      </c>
      <c r="AQ343" t="s">
        <v>74</v>
      </c>
      <c r="AR343" t="s">
        <v>5814</v>
      </c>
      <c r="AS343" t="s">
        <v>5815</v>
      </c>
      <c r="AT343" t="s">
        <v>5816</v>
      </c>
      <c r="AU343">
        <v>2022</v>
      </c>
      <c r="AV343">
        <v>54</v>
      </c>
      <c r="AW343">
        <v>1</v>
      </c>
      <c r="AX343" t="s">
        <v>74</v>
      </c>
      <c r="AY343" t="s">
        <v>74</v>
      </c>
      <c r="AZ343" t="s">
        <v>74</v>
      </c>
      <c r="BA343" t="s">
        <v>74</v>
      </c>
      <c r="BB343">
        <v>62</v>
      </c>
      <c r="BC343">
        <v>77</v>
      </c>
      <c r="BD343" t="s">
        <v>74</v>
      </c>
      <c r="BE343" t="s">
        <v>6493</v>
      </c>
      <c r="BF343" t="str">
        <f>HYPERLINK("http://dx.doi.org/10.1080/15230430.2022.2042946","http://dx.doi.org/10.1080/15230430.2022.2042946")</f>
        <v>http://dx.doi.org/10.1080/15230430.2022.2042946</v>
      </c>
      <c r="BG343" t="s">
        <v>74</v>
      </c>
      <c r="BH343" t="s">
        <v>74</v>
      </c>
      <c r="BI343">
        <v>16</v>
      </c>
      <c r="BJ343" t="s">
        <v>5818</v>
      </c>
      <c r="BK343" t="s">
        <v>104</v>
      </c>
      <c r="BL343" t="s">
        <v>5819</v>
      </c>
      <c r="BM343" t="s">
        <v>6494</v>
      </c>
      <c r="BN343" t="s">
        <v>74</v>
      </c>
      <c r="BO343" t="s">
        <v>737</v>
      </c>
      <c r="BP343" t="s">
        <v>74</v>
      </c>
      <c r="BQ343" t="s">
        <v>74</v>
      </c>
      <c r="BR343" t="s">
        <v>108</v>
      </c>
      <c r="BS343" t="s">
        <v>6495</v>
      </c>
      <c r="BT343" t="str">
        <f>HYPERLINK("https%3A%2F%2Fwww.webofscience.com%2Fwos%2Fwoscc%2Ffull-record%2FWOS:000771760500001","View Full Record in Web of Science")</f>
        <v>View Full Record in Web of Science</v>
      </c>
    </row>
    <row r="344" spans="1:72" x14ac:dyDescent="0.15">
      <c r="A344" t="s">
        <v>72</v>
      </c>
      <c r="B344" t="s">
        <v>6496</v>
      </c>
      <c r="C344" t="s">
        <v>74</v>
      </c>
      <c r="D344" t="s">
        <v>74</v>
      </c>
      <c r="E344" t="s">
        <v>74</v>
      </c>
      <c r="F344" t="s">
        <v>6497</v>
      </c>
      <c r="G344" t="s">
        <v>74</v>
      </c>
      <c r="H344" t="s">
        <v>74</v>
      </c>
      <c r="I344" t="s">
        <v>6498</v>
      </c>
      <c r="J344" t="s">
        <v>5802</v>
      </c>
      <c r="K344" t="s">
        <v>74</v>
      </c>
      <c r="L344" t="s">
        <v>74</v>
      </c>
      <c r="M344" t="s">
        <v>78</v>
      </c>
      <c r="N344" t="s">
        <v>79</v>
      </c>
      <c r="O344" t="s">
        <v>74</v>
      </c>
      <c r="P344" t="s">
        <v>74</v>
      </c>
      <c r="Q344" t="s">
        <v>74</v>
      </c>
      <c r="R344" t="s">
        <v>74</v>
      </c>
      <c r="S344" t="s">
        <v>74</v>
      </c>
      <c r="T344" t="s">
        <v>6499</v>
      </c>
      <c r="U344" t="s">
        <v>6500</v>
      </c>
      <c r="V344" t="s">
        <v>6501</v>
      </c>
      <c r="W344" t="s">
        <v>6502</v>
      </c>
      <c r="X344" t="s">
        <v>6503</v>
      </c>
      <c r="Y344" t="s">
        <v>6504</v>
      </c>
      <c r="Z344" t="s">
        <v>6505</v>
      </c>
      <c r="AA344" t="s">
        <v>74</v>
      </c>
      <c r="AB344" t="s">
        <v>6506</v>
      </c>
      <c r="AC344" t="s">
        <v>74</v>
      </c>
      <c r="AD344" t="s">
        <v>74</v>
      </c>
      <c r="AE344" t="s">
        <v>74</v>
      </c>
      <c r="AF344" t="s">
        <v>74</v>
      </c>
      <c r="AG344">
        <v>109</v>
      </c>
      <c r="AH344">
        <v>1</v>
      </c>
      <c r="AI344">
        <v>1</v>
      </c>
      <c r="AJ344">
        <v>1</v>
      </c>
      <c r="AK344">
        <v>16</v>
      </c>
      <c r="AL344" t="s">
        <v>703</v>
      </c>
      <c r="AM344" t="s">
        <v>704</v>
      </c>
      <c r="AN344" t="s">
        <v>705</v>
      </c>
      <c r="AO344" t="s">
        <v>5812</v>
      </c>
      <c r="AP344" t="s">
        <v>5813</v>
      </c>
      <c r="AQ344" t="s">
        <v>74</v>
      </c>
      <c r="AR344" t="s">
        <v>5814</v>
      </c>
      <c r="AS344" t="s">
        <v>5815</v>
      </c>
      <c r="AT344" t="s">
        <v>5816</v>
      </c>
      <c r="AU344">
        <v>2022</v>
      </c>
      <c r="AV344">
        <v>54</v>
      </c>
      <c r="AW344">
        <v>1</v>
      </c>
      <c r="AX344" t="s">
        <v>74</v>
      </c>
      <c r="AY344" t="s">
        <v>74</v>
      </c>
      <c r="AZ344" t="s">
        <v>74</v>
      </c>
      <c r="BA344" t="s">
        <v>74</v>
      </c>
      <c r="BB344">
        <v>41</v>
      </c>
      <c r="BC344">
        <v>61</v>
      </c>
      <c r="BD344" t="s">
        <v>74</v>
      </c>
      <c r="BE344" t="s">
        <v>6507</v>
      </c>
      <c r="BF344" t="str">
        <f>HYPERLINK("http://dx.doi.org/10.1080/15230430.2022.2027591","http://dx.doi.org/10.1080/15230430.2022.2027591")</f>
        <v>http://dx.doi.org/10.1080/15230430.2022.2027591</v>
      </c>
      <c r="BG344" t="s">
        <v>74</v>
      </c>
      <c r="BH344" t="s">
        <v>74</v>
      </c>
      <c r="BI344">
        <v>21</v>
      </c>
      <c r="BJ344" t="s">
        <v>5818</v>
      </c>
      <c r="BK344" t="s">
        <v>104</v>
      </c>
      <c r="BL344" t="s">
        <v>5819</v>
      </c>
      <c r="BM344" t="s">
        <v>6508</v>
      </c>
      <c r="BN344" t="s">
        <v>74</v>
      </c>
      <c r="BO344" t="s">
        <v>165</v>
      </c>
      <c r="BP344" t="s">
        <v>74</v>
      </c>
      <c r="BQ344" t="s">
        <v>74</v>
      </c>
      <c r="BR344" t="s">
        <v>108</v>
      </c>
      <c r="BS344" t="s">
        <v>6509</v>
      </c>
      <c r="BT344" t="str">
        <f>HYPERLINK("https%3A%2F%2Fwww.webofscience.com%2Fwos%2Fwoscc%2Ffull-record%2FWOS:000771410100001","View Full Record in Web of Science")</f>
        <v>View Full Record in Web of Science</v>
      </c>
    </row>
    <row r="345" spans="1:72" x14ac:dyDescent="0.15">
      <c r="A345" t="s">
        <v>72</v>
      </c>
      <c r="B345" t="s">
        <v>6510</v>
      </c>
      <c r="C345" t="s">
        <v>74</v>
      </c>
      <c r="D345" t="s">
        <v>74</v>
      </c>
      <c r="E345" t="s">
        <v>74</v>
      </c>
      <c r="F345" t="s">
        <v>6511</v>
      </c>
      <c r="G345" t="s">
        <v>74</v>
      </c>
      <c r="H345" t="s">
        <v>74</v>
      </c>
      <c r="I345" t="s">
        <v>6512</v>
      </c>
      <c r="J345" t="s">
        <v>5802</v>
      </c>
      <c r="K345" t="s">
        <v>74</v>
      </c>
      <c r="L345" t="s">
        <v>74</v>
      </c>
      <c r="M345" t="s">
        <v>78</v>
      </c>
      <c r="N345" t="s">
        <v>79</v>
      </c>
      <c r="O345" t="s">
        <v>74</v>
      </c>
      <c r="P345" t="s">
        <v>74</v>
      </c>
      <c r="Q345" t="s">
        <v>74</v>
      </c>
      <c r="R345" t="s">
        <v>74</v>
      </c>
      <c r="S345" t="s">
        <v>74</v>
      </c>
      <c r="T345" t="s">
        <v>6513</v>
      </c>
      <c r="U345" t="s">
        <v>6514</v>
      </c>
      <c r="V345" t="s">
        <v>6515</v>
      </c>
      <c r="W345" t="s">
        <v>6516</v>
      </c>
      <c r="X345" t="s">
        <v>6517</v>
      </c>
      <c r="Y345" t="s">
        <v>6518</v>
      </c>
      <c r="Z345" t="s">
        <v>6519</v>
      </c>
      <c r="AA345" t="s">
        <v>74</v>
      </c>
      <c r="AB345" t="s">
        <v>6520</v>
      </c>
      <c r="AC345" t="s">
        <v>6521</v>
      </c>
      <c r="AD345" t="s">
        <v>6521</v>
      </c>
      <c r="AE345" t="s">
        <v>6522</v>
      </c>
      <c r="AF345" t="s">
        <v>74</v>
      </c>
      <c r="AG345">
        <v>67</v>
      </c>
      <c r="AH345">
        <v>2</v>
      </c>
      <c r="AI345">
        <v>2</v>
      </c>
      <c r="AJ345">
        <v>1</v>
      </c>
      <c r="AK345">
        <v>13</v>
      </c>
      <c r="AL345" t="s">
        <v>703</v>
      </c>
      <c r="AM345" t="s">
        <v>704</v>
      </c>
      <c r="AN345" t="s">
        <v>705</v>
      </c>
      <c r="AO345" t="s">
        <v>5812</v>
      </c>
      <c r="AP345" t="s">
        <v>5813</v>
      </c>
      <c r="AQ345" t="s">
        <v>74</v>
      </c>
      <c r="AR345" t="s">
        <v>5814</v>
      </c>
      <c r="AS345" t="s">
        <v>5815</v>
      </c>
      <c r="AT345" t="s">
        <v>5816</v>
      </c>
      <c r="AU345">
        <v>2022</v>
      </c>
      <c r="AV345">
        <v>54</v>
      </c>
      <c r="AW345">
        <v>1</v>
      </c>
      <c r="AX345" t="s">
        <v>74</v>
      </c>
      <c r="AY345" t="s">
        <v>74</v>
      </c>
      <c r="AZ345" t="s">
        <v>74</v>
      </c>
      <c r="BA345" t="s">
        <v>74</v>
      </c>
      <c r="BB345">
        <v>25</v>
      </c>
      <c r="BC345">
        <v>39</v>
      </c>
      <c r="BD345" t="s">
        <v>74</v>
      </c>
      <c r="BE345" t="s">
        <v>6523</v>
      </c>
      <c r="BF345" t="str">
        <f>HYPERLINK("http://dx.doi.org/10.1080/15230430.2022.2034373","http://dx.doi.org/10.1080/15230430.2022.2034373")</f>
        <v>http://dx.doi.org/10.1080/15230430.2022.2034373</v>
      </c>
      <c r="BG345" t="s">
        <v>74</v>
      </c>
      <c r="BH345" t="s">
        <v>74</v>
      </c>
      <c r="BI345">
        <v>15</v>
      </c>
      <c r="BJ345" t="s">
        <v>5818</v>
      </c>
      <c r="BK345" t="s">
        <v>104</v>
      </c>
      <c r="BL345" t="s">
        <v>5819</v>
      </c>
      <c r="BM345" t="s">
        <v>6524</v>
      </c>
      <c r="BN345" t="s">
        <v>74</v>
      </c>
      <c r="BO345" t="s">
        <v>1464</v>
      </c>
      <c r="BP345" t="s">
        <v>74</v>
      </c>
      <c r="BQ345" t="s">
        <v>74</v>
      </c>
      <c r="BR345" t="s">
        <v>108</v>
      </c>
      <c r="BS345" t="s">
        <v>6525</v>
      </c>
      <c r="BT345" t="str">
        <f>HYPERLINK("https%3A%2F%2Fwww.webofscience.com%2Fwos%2Fwoscc%2Ffull-record%2FWOS:000769582300001","View Full Record in Web of Science")</f>
        <v>View Full Record in Web of Science</v>
      </c>
    </row>
    <row r="346" spans="1:72" x14ac:dyDescent="0.15">
      <c r="A346" t="s">
        <v>72</v>
      </c>
      <c r="B346" t="s">
        <v>6526</v>
      </c>
      <c r="C346" t="s">
        <v>74</v>
      </c>
      <c r="D346" t="s">
        <v>74</v>
      </c>
      <c r="E346" t="s">
        <v>74</v>
      </c>
      <c r="F346" t="s">
        <v>6527</v>
      </c>
      <c r="G346" t="s">
        <v>74</v>
      </c>
      <c r="H346" t="s">
        <v>74</v>
      </c>
      <c r="I346" t="s">
        <v>6528</v>
      </c>
      <c r="J346" t="s">
        <v>5802</v>
      </c>
      <c r="K346" t="s">
        <v>74</v>
      </c>
      <c r="L346" t="s">
        <v>74</v>
      </c>
      <c r="M346" t="s">
        <v>78</v>
      </c>
      <c r="N346" t="s">
        <v>79</v>
      </c>
      <c r="O346" t="s">
        <v>74</v>
      </c>
      <c r="P346" t="s">
        <v>74</v>
      </c>
      <c r="Q346" t="s">
        <v>74</v>
      </c>
      <c r="R346" t="s">
        <v>74</v>
      </c>
      <c r="S346" t="s">
        <v>74</v>
      </c>
      <c r="T346" t="s">
        <v>6529</v>
      </c>
      <c r="U346" t="s">
        <v>6530</v>
      </c>
      <c r="V346" t="s">
        <v>6531</v>
      </c>
      <c r="W346" t="s">
        <v>6532</v>
      </c>
      <c r="X346" t="s">
        <v>6533</v>
      </c>
      <c r="Y346" t="s">
        <v>6534</v>
      </c>
      <c r="Z346" t="s">
        <v>6535</v>
      </c>
      <c r="AA346" t="s">
        <v>74</v>
      </c>
      <c r="AB346" t="s">
        <v>74</v>
      </c>
      <c r="AC346" t="s">
        <v>6536</v>
      </c>
      <c r="AD346" t="s">
        <v>6537</v>
      </c>
      <c r="AE346" t="s">
        <v>6538</v>
      </c>
      <c r="AF346" t="s">
        <v>74</v>
      </c>
      <c r="AG346">
        <v>50</v>
      </c>
      <c r="AH346">
        <v>3</v>
      </c>
      <c r="AI346">
        <v>4</v>
      </c>
      <c r="AJ346">
        <v>6</v>
      </c>
      <c r="AK346">
        <v>40</v>
      </c>
      <c r="AL346" t="s">
        <v>703</v>
      </c>
      <c r="AM346" t="s">
        <v>704</v>
      </c>
      <c r="AN346" t="s">
        <v>705</v>
      </c>
      <c r="AO346" t="s">
        <v>5812</v>
      </c>
      <c r="AP346" t="s">
        <v>5813</v>
      </c>
      <c r="AQ346" t="s">
        <v>74</v>
      </c>
      <c r="AR346" t="s">
        <v>5814</v>
      </c>
      <c r="AS346" t="s">
        <v>5815</v>
      </c>
      <c r="AT346" t="s">
        <v>5816</v>
      </c>
      <c r="AU346">
        <v>2022</v>
      </c>
      <c r="AV346">
        <v>54</v>
      </c>
      <c r="AW346">
        <v>1</v>
      </c>
      <c r="AX346" t="s">
        <v>74</v>
      </c>
      <c r="AY346" t="s">
        <v>74</v>
      </c>
      <c r="AZ346" t="s">
        <v>74</v>
      </c>
      <c r="BA346" t="s">
        <v>74</v>
      </c>
      <c r="BB346">
        <v>13</v>
      </c>
      <c r="BC346">
        <v>24</v>
      </c>
      <c r="BD346" t="s">
        <v>74</v>
      </c>
      <c r="BE346" t="s">
        <v>6539</v>
      </c>
      <c r="BF346" t="str">
        <f>HYPERLINK("http://dx.doi.org/10.1080/15230430.2022.2028475","http://dx.doi.org/10.1080/15230430.2022.2028475")</f>
        <v>http://dx.doi.org/10.1080/15230430.2022.2028475</v>
      </c>
      <c r="BG346" t="s">
        <v>74</v>
      </c>
      <c r="BH346" t="s">
        <v>74</v>
      </c>
      <c r="BI346">
        <v>12</v>
      </c>
      <c r="BJ346" t="s">
        <v>5818</v>
      </c>
      <c r="BK346" t="s">
        <v>104</v>
      </c>
      <c r="BL346" t="s">
        <v>5819</v>
      </c>
      <c r="BM346" t="s">
        <v>6540</v>
      </c>
      <c r="BN346" t="s">
        <v>74</v>
      </c>
      <c r="BO346" t="s">
        <v>737</v>
      </c>
      <c r="BP346" t="s">
        <v>74</v>
      </c>
      <c r="BQ346" t="s">
        <v>74</v>
      </c>
      <c r="BR346" t="s">
        <v>108</v>
      </c>
      <c r="BS346" t="s">
        <v>6541</v>
      </c>
      <c r="BT346" t="str">
        <f>HYPERLINK("https%3A%2F%2Fwww.webofscience.com%2Fwos%2Fwoscc%2Ffull-record%2FWOS:000759164200001","View Full Record in Web of Science")</f>
        <v>View Full Record in Web of Science</v>
      </c>
    </row>
    <row r="347" spans="1:72" x14ac:dyDescent="0.15">
      <c r="A347" t="s">
        <v>72</v>
      </c>
      <c r="B347" t="s">
        <v>6542</v>
      </c>
      <c r="C347" t="s">
        <v>74</v>
      </c>
      <c r="D347" t="s">
        <v>74</v>
      </c>
      <c r="E347" t="s">
        <v>74</v>
      </c>
      <c r="F347" t="s">
        <v>6543</v>
      </c>
      <c r="G347" t="s">
        <v>74</v>
      </c>
      <c r="H347" t="s">
        <v>74</v>
      </c>
      <c r="I347" t="s">
        <v>6544</v>
      </c>
      <c r="J347" t="s">
        <v>5841</v>
      </c>
      <c r="K347" t="s">
        <v>74</v>
      </c>
      <c r="L347" t="s">
        <v>74</v>
      </c>
      <c r="M347" t="s">
        <v>78</v>
      </c>
      <c r="N347" t="s">
        <v>79</v>
      </c>
      <c r="O347" t="s">
        <v>74</v>
      </c>
      <c r="P347" t="s">
        <v>74</v>
      </c>
      <c r="Q347" t="s">
        <v>74</v>
      </c>
      <c r="R347" t="s">
        <v>74</v>
      </c>
      <c r="S347" t="s">
        <v>74</v>
      </c>
      <c r="T347" t="s">
        <v>6545</v>
      </c>
      <c r="U347" t="s">
        <v>6546</v>
      </c>
      <c r="V347" t="s">
        <v>6547</v>
      </c>
      <c r="W347" t="s">
        <v>6548</v>
      </c>
      <c r="X347" t="s">
        <v>6549</v>
      </c>
      <c r="Y347" t="s">
        <v>6550</v>
      </c>
      <c r="Z347" t="s">
        <v>6551</v>
      </c>
      <c r="AA347" t="s">
        <v>74</v>
      </c>
      <c r="AB347" t="s">
        <v>74</v>
      </c>
      <c r="AC347" t="s">
        <v>6552</v>
      </c>
      <c r="AD347" t="s">
        <v>6553</v>
      </c>
      <c r="AE347" t="s">
        <v>6554</v>
      </c>
      <c r="AF347" t="s">
        <v>74</v>
      </c>
      <c r="AG347">
        <v>39</v>
      </c>
      <c r="AH347">
        <v>2</v>
      </c>
      <c r="AI347">
        <v>3</v>
      </c>
      <c r="AJ347">
        <v>5</v>
      </c>
      <c r="AK347">
        <v>65</v>
      </c>
      <c r="AL347" t="s">
        <v>703</v>
      </c>
      <c r="AM347" t="s">
        <v>704</v>
      </c>
      <c r="AN347" t="s">
        <v>705</v>
      </c>
      <c r="AO347" t="s">
        <v>5853</v>
      </c>
      <c r="AP347" t="s">
        <v>5854</v>
      </c>
      <c r="AQ347" t="s">
        <v>74</v>
      </c>
      <c r="AR347" t="s">
        <v>5855</v>
      </c>
      <c r="AS347" t="s">
        <v>5856</v>
      </c>
      <c r="AT347" t="s">
        <v>5816</v>
      </c>
      <c r="AU347">
        <v>2022</v>
      </c>
      <c r="AV347">
        <v>15</v>
      </c>
      <c r="AW347">
        <v>1</v>
      </c>
      <c r="AX347" t="s">
        <v>74</v>
      </c>
      <c r="AY347" t="s">
        <v>74</v>
      </c>
      <c r="AZ347" t="s">
        <v>74</v>
      </c>
      <c r="BA347" t="s">
        <v>74</v>
      </c>
      <c r="BB347">
        <v>397</v>
      </c>
      <c r="BC347">
        <v>415</v>
      </c>
      <c r="BD347" t="s">
        <v>74</v>
      </c>
      <c r="BE347" t="s">
        <v>6555</v>
      </c>
      <c r="BF347" t="str">
        <f>HYPERLINK("http://dx.doi.org/10.1080/17538947.2022.2032851","http://dx.doi.org/10.1080/17538947.2022.2032851")</f>
        <v>http://dx.doi.org/10.1080/17538947.2022.2032851</v>
      </c>
      <c r="BG347" t="s">
        <v>74</v>
      </c>
      <c r="BH347" t="s">
        <v>74</v>
      </c>
      <c r="BI347">
        <v>19</v>
      </c>
      <c r="BJ347" t="s">
        <v>5858</v>
      </c>
      <c r="BK347" t="s">
        <v>104</v>
      </c>
      <c r="BL347" t="s">
        <v>5859</v>
      </c>
      <c r="BM347" t="s">
        <v>6556</v>
      </c>
      <c r="BN347" t="s">
        <v>74</v>
      </c>
      <c r="BO347" t="s">
        <v>165</v>
      </c>
      <c r="BP347" t="s">
        <v>74</v>
      </c>
      <c r="BQ347" t="s">
        <v>74</v>
      </c>
      <c r="BR347" t="s">
        <v>108</v>
      </c>
      <c r="BS347" t="s">
        <v>6557</v>
      </c>
      <c r="BT347" t="str">
        <f>HYPERLINK("https%3A%2F%2Fwww.webofscience.com%2Fwos%2Fwoscc%2Ffull-record%2FWOS:000753758700001","View Full Record in Web of Science")</f>
        <v>View Full Record in Web of Science</v>
      </c>
    </row>
    <row r="348" spans="1:72" x14ac:dyDescent="0.15">
      <c r="A348" t="s">
        <v>72</v>
      </c>
      <c r="B348" t="s">
        <v>6558</v>
      </c>
      <c r="C348" t="s">
        <v>74</v>
      </c>
      <c r="D348" t="s">
        <v>74</v>
      </c>
      <c r="E348" t="s">
        <v>74</v>
      </c>
      <c r="F348" t="s">
        <v>6559</v>
      </c>
      <c r="G348" t="s">
        <v>74</v>
      </c>
      <c r="H348" t="s">
        <v>74</v>
      </c>
      <c r="I348" t="s">
        <v>6560</v>
      </c>
      <c r="J348" t="s">
        <v>5802</v>
      </c>
      <c r="K348" t="s">
        <v>74</v>
      </c>
      <c r="L348" t="s">
        <v>74</v>
      </c>
      <c r="M348" t="s">
        <v>78</v>
      </c>
      <c r="N348" t="s">
        <v>79</v>
      </c>
      <c r="O348" t="s">
        <v>74</v>
      </c>
      <c r="P348" t="s">
        <v>74</v>
      </c>
      <c r="Q348" t="s">
        <v>74</v>
      </c>
      <c r="R348" t="s">
        <v>74</v>
      </c>
      <c r="S348" t="s">
        <v>74</v>
      </c>
      <c r="T348" t="s">
        <v>6561</v>
      </c>
      <c r="U348" t="s">
        <v>6562</v>
      </c>
      <c r="V348" t="s">
        <v>6563</v>
      </c>
      <c r="W348" t="s">
        <v>6564</v>
      </c>
      <c r="X348" t="s">
        <v>6565</v>
      </c>
      <c r="Y348" t="s">
        <v>6566</v>
      </c>
      <c r="Z348" t="s">
        <v>6567</v>
      </c>
      <c r="AA348" t="s">
        <v>74</v>
      </c>
      <c r="AB348" t="s">
        <v>74</v>
      </c>
      <c r="AC348" t="s">
        <v>6568</v>
      </c>
      <c r="AD348" t="s">
        <v>6569</v>
      </c>
      <c r="AE348" t="s">
        <v>6570</v>
      </c>
      <c r="AF348" t="s">
        <v>74</v>
      </c>
      <c r="AG348">
        <v>61</v>
      </c>
      <c r="AH348">
        <v>5</v>
      </c>
      <c r="AI348">
        <v>5</v>
      </c>
      <c r="AJ348">
        <v>10</v>
      </c>
      <c r="AK348">
        <v>46</v>
      </c>
      <c r="AL348" t="s">
        <v>703</v>
      </c>
      <c r="AM348" t="s">
        <v>704</v>
      </c>
      <c r="AN348" t="s">
        <v>705</v>
      </c>
      <c r="AO348" t="s">
        <v>5812</v>
      </c>
      <c r="AP348" t="s">
        <v>5813</v>
      </c>
      <c r="AQ348" t="s">
        <v>74</v>
      </c>
      <c r="AR348" t="s">
        <v>5814</v>
      </c>
      <c r="AS348" t="s">
        <v>5815</v>
      </c>
      <c r="AT348" t="s">
        <v>5816</v>
      </c>
      <c r="AU348">
        <v>2022</v>
      </c>
      <c r="AV348">
        <v>54</v>
      </c>
      <c r="AW348">
        <v>1</v>
      </c>
      <c r="AX348" t="s">
        <v>74</v>
      </c>
      <c r="AY348" t="s">
        <v>74</v>
      </c>
      <c r="AZ348" t="s">
        <v>74</v>
      </c>
      <c r="BA348" t="s">
        <v>74</v>
      </c>
      <c r="BB348">
        <v>1</v>
      </c>
      <c r="BC348">
        <v>12</v>
      </c>
      <c r="BD348" t="s">
        <v>74</v>
      </c>
      <c r="BE348" t="s">
        <v>6571</v>
      </c>
      <c r="BF348" t="str">
        <f>HYPERLINK("http://dx.doi.org/10.1080/15230430.2021.2022995","http://dx.doi.org/10.1080/15230430.2021.2022995")</f>
        <v>http://dx.doi.org/10.1080/15230430.2021.2022995</v>
      </c>
      <c r="BG348" t="s">
        <v>74</v>
      </c>
      <c r="BH348" t="s">
        <v>74</v>
      </c>
      <c r="BI348">
        <v>12</v>
      </c>
      <c r="BJ348" t="s">
        <v>5818</v>
      </c>
      <c r="BK348" t="s">
        <v>104</v>
      </c>
      <c r="BL348" t="s">
        <v>5819</v>
      </c>
      <c r="BM348" t="s">
        <v>6572</v>
      </c>
      <c r="BN348" t="s">
        <v>74</v>
      </c>
      <c r="BO348" t="s">
        <v>1464</v>
      </c>
      <c r="BP348" t="s">
        <v>74</v>
      </c>
      <c r="BQ348" t="s">
        <v>74</v>
      </c>
      <c r="BR348" t="s">
        <v>108</v>
      </c>
      <c r="BS348" t="s">
        <v>6573</v>
      </c>
      <c r="BT348" t="str">
        <f>HYPERLINK("https%3A%2F%2Fwww.webofscience.com%2Fwos%2Fwoscc%2Ffull-record%2FWOS:000746982100001","View Full Record in Web of Science")</f>
        <v>View Full Record in Web of Science</v>
      </c>
    </row>
    <row r="349" spans="1:72" x14ac:dyDescent="0.15">
      <c r="A349" t="s">
        <v>72</v>
      </c>
      <c r="B349" t="s">
        <v>6574</v>
      </c>
      <c r="C349" t="s">
        <v>74</v>
      </c>
      <c r="D349" t="s">
        <v>74</v>
      </c>
      <c r="E349" t="s">
        <v>74</v>
      </c>
      <c r="F349" t="s">
        <v>6575</v>
      </c>
      <c r="G349" t="s">
        <v>74</v>
      </c>
      <c r="H349" t="s">
        <v>74</v>
      </c>
      <c r="I349" t="s">
        <v>6576</v>
      </c>
      <c r="J349" t="s">
        <v>6577</v>
      </c>
      <c r="K349" t="s">
        <v>74</v>
      </c>
      <c r="L349" t="s">
        <v>74</v>
      </c>
      <c r="M349" t="s">
        <v>78</v>
      </c>
      <c r="N349" t="s">
        <v>79</v>
      </c>
      <c r="O349" t="s">
        <v>74</v>
      </c>
      <c r="P349" t="s">
        <v>74</v>
      </c>
      <c r="Q349" t="s">
        <v>74</v>
      </c>
      <c r="R349" t="s">
        <v>74</v>
      </c>
      <c r="S349" t="s">
        <v>74</v>
      </c>
      <c r="T349" t="s">
        <v>6578</v>
      </c>
      <c r="U349" t="s">
        <v>6579</v>
      </c>
      <c r="V349" t="s">
        <v>6580</v>
      </c>
      <c r="W349" t="s">
        <v>6581</v>
      </c>
      <c r="X349" t="s">
        <v>6582</v>
      </c>
      <c r="Y349" t="s">
        <v>6583</v>
      </c>
      <c r="Z349" t="s">
        <v>6584</v>
      </c>
      <c r="AA349" t="s">
        <v>74</v>
      </c>
      <c r="AB349" t="s">
        <v>74</v>
      </c>
      <c r="AC349" t="s">
        <v>6585</v>
      </c>
      <c r="AD349" t="s">
        <v>6586</v>
      </c>
      <c r="AE349" t="s">
        <v>6587</v>
      </c>
      <c r="AF349" t="s">
        <v>74</v>
      </c>
      <c r="AG349">
        <v>36</v>
      </c>
      <c r="AH349">
        <v>3</v>
      </c>
      <c r="AI349">
        <v>3</v>
      </c>
      <c r="AJ349">
        <v>2</v>
      </c>
      <c r="AK349">
        <v>32</v>
      </c>
      <c r="AL349" t="s">
        <v>603</v>
      </c>
      <c r="AM349" t="s">
        <v>208</v>
      </c>
      <c r="AN349" t="s">
        <v>604</v>
      </c>
      <c r="AO349" t="s">
        <v>6588</v>
      </c>
      <c r="AP349" t="s">
        <v>6589</v>
      </c>
      <c r="AQ349" t="s">
        <v>74</v>
      </c>
      <c r="AR349" t="s">
        <v>6590</v>
      </c>
      <c r="AS349" t="s">
        <v>6591</v>
      </c>
      <c r="AT349" t="s">
        <v>99</v>
      </c>
      <c r="AU349">
        <v>2023</v>
      </c>
      <c r="AV349">
        <v>106</v>
      </c>
      <c r="AW349" t="s">
        <v>74</v>
      </c>
      <c r="AX349" t="s">
        <v>74</v>
      </c>
      <c r="AY349" t="s">
        <v>74</v>
      </c>
      <c r="AZ349" t="s">
        <v>74</v>
      </c>
      <c r="BA349" t="s">
        <v>74</v>
      </c>
      <c r="BB349" t="s">
        <v>74</v>
      </c>
      <c r="BC349" t="s">
        <v>74</v>
      </c>
      <c r="BD349">
        <v>104581</v>
      </c>
      <c r="BE349" t="s">
        <v>6592</v>
      </c>
      <c r="BF349" t="str">
        <f>HYPERLINK("http://dx.doi.org/10.1016/j.bse.2022.104581","http://dx.doi.org/10.1016/j.bse.2022.104581")</f>
        <v>http://dx.doi.org/10.1016/j.bse.2022.104581</v>
      </c>
      <c r="BG349" t="s">
        <v>74</v>
      </c>
      <c r="BH349" t="s">
        <v>5796</v>
      </c>
      <c r="BI349">
        <v>4</v>
      </c>
      <c r="BJ349" t="s">
        <v>6593</v>
      </c>
      <c r="BK349" t="s">
        <v>104</v>
      </c>
      <c r="BL349" t="s">
        <v>6594</v>
      </c>
      <c r="BM349" t="s">
        <v>6595</v>
      </c>
      <c r="BN349" t="s">
        <v>74</v>
      </c>
      <c r="BO349" t="s">
        <v>74</v>
      </c>
      <c r="BP349" t="s">
        <v>74</v>
      </c>
      <c r="BQ349" t="s">
        <v>74</v>
      </c>
      <c r="BR349" t="s">
        <v>108</v>
      </c>
      <c r="BS349" t="s">
        <v>6596</v>
      </c>
      <c r="BT349" t="str">
        <f>HYPERLINK("https%3A%2F%2Fwww.webofscience.com%2Fwos%2Fwoscc%2Ffull-record%2FWOS:000917315700001","View Full Record in Web of Science")</f>
        <v>View Full Record in Web of Science</v>
      </c>
    </row>
    <row r="350" spans="1:72" x14ac:dyDescent="0.15">
      <c r="A350" t="s">
        <v>72</v>
      </c>
      <c r="B350" t="s">
        <v>6597</v>
      </c>
      <c r="C350" t="s">
        <v>74</v>
      </c>
      <c r="D350" t="s">
        <v>74</v>
      </c>
      <c r="E350" t="s">
        <v>74</v>
      </c>
      <c r="F350" t="s">
        <v>6598</v>
      </c>
      <c r="G350" t="s">
        <v>74</v>
      </c>
      <c r="H350" t="s">
        <v>74</v>
      </c>
      <c r="I350" t="s">
        <v>6599</v>
      </c>
      <c r="J350" t="s">
        <v>6600</v>
      </c>
      <c r="K350" t="s">
        <v>74</v>
      </c>
      <c r="L350" t="s">
        <v>74</v>
      </c>
      <c r="M350" t="s">
        <v>78</v>
      </c>
      <c r="N350" t="s">
        <v>6601</v>
      </c>
      <c r="O350" t="s">
        <v>74</v>
      </c>
      <c r="P350" t="s">
        <v>74</v>
      </c>
      <c r="Q350" t="s">
        <v>74</v>
      </c>
      <c r="R350" t="s">
        <v>74</v>
      </c>
      <c r="S350" t="s">
        <v>74</v>
      </c>
      <c r="T350" t="s">
        <v>6602</v>
      </c>
      <c r="U350" t="s">
        <v>6603</v>
      </c>
      <c r="V350" t="s">
        <v>6604</v>
      </c>
      <c r="W350" t="s">
        <v>6605</v>
      </c>
      <c r="X350" t="s">
        <v>6606</v>
      </c>
      <c r="Y350" t="s">
        <v>6607</v>
      </c>
      <c r="Z350" t="s">
        <v>6608</v>
      </c>
      <c r="AA350" t="s">
        <v>74</v>
      </c>
      <c r="AB350" t="s">
        <v>6609</v>
      </c>
      <c r="AC350" t="s">
        <v>74</v>
      </c>
      <c r="AD350" t="s">
        <v>74</v>
      </c>
      <c r="AE350" t="s">
        <v>74</v>
      </c>
      <c r="AF350" t="s">
        <v>74</v>
      </c>
      <c r="AG350">
        <v>25</v>
      </c>
      <c r="AH350">
        <v>3</v>
      </c>
      <c r="AI350">
        <v>3</v>
      </c>
      <c r="AJ350">
        <v>2</v>
      </c>
      <c r="AK350">
        <v>9</v>
      </c>
      <c r="AL350" t="s">
        <v>6610</v>
      </c>
      <c r="AM350" t="s">
        <v>1372</v>
      </c>
      <c r="AN350" t="s">
        <v>6611</v>
      </c>
      <c r="AO350" t="s">
        <v>6612</v>
      </c>
      <c r="AP350" t="s">
        <v>6613</v>
      </c>
      <c r="AQ350" t="s">
        <v>74</v>
      </c>
      <c r="AR350" t="s">
        <v>6614</v>
      </c>
      <c r="AS350" t="s">
        <v>6615</v>
      </c>
      <c r="AT350" t="s">
        <v>6616</v>
      </c>
      <c r="AU350">
        <v>2022</v>
      </c>
      <c r="AV350">
        <v>10</v>
      </c>
      <c r="AW350" t="s">
        <v>74</v>
      </c>
      <c r="AX350" t="s">
        <v>74</v>
      </c>
      <c r="AY350" t="s">
        <v>74</v>
      </c>
      <c r="AZ350" t="s">
        <v>74</v>
      </c>
      <c r="BA350" t="s">
        <v>74</v>
      </c>
      <c r="BB350" t="s">
        <v>74</v>
      </c>
      <c r="BC350" t="s">
        <v>74</v>
      </c>
      <c r="BD350" t="s">
        <v>6617</v>
      </c>
      <c r="BE350" t="s">
        <v>6618</v>
      </c>
      <c r="BF350" t="str">
        <f>HYPERLINK("http://dx.doi.org/10.3897/BDJ.10.e94228","http://dx.doi.org/10.3897/BDJ.10.e94228")</f>
        <v>http://dx.doi.org/10.3897/BDJ.10.e94228</v>
      </c>
      <c r="BG350" t="s">
        <v>74</v>
      </c>
      <c r="BH350" t="s">
        <v>74</v>
      </c>
      <c r="BI350">
        <v>15</v>
      </c>
      <c r="BJ350" t="s">
        <v>6619</v>
      </c>
      <c r="BK350" t="s">
        <v>104</v>
      </c>
      <c r="BL350" t="s">
        <v>6620</v>
      </c>
      <c r="BM350" t="s">
        <v>6621</v>
      </c>
      <c r="BN350">
        <v>36761560</v>
      </c>
      <c r="BO350" t="s">
        <v>3181</v>
      </c>
      <c r="BP350" t="s">
        <v>74</v>
      </c>
      <c r="BQ350" t="s">
        <v>74</v>
      </c>
      <c r="BR350" t="s">
        <v>108</v>
      </c>
      <c r="BS350" t="s">
        <v>6622</v>
      </c>
      <c r="BT350" t="str">
        <f>HYPERLINK("https%3A%2F%2Fwww.webofscience.com%2Fwos%2Fwoscc%2Ffull-record%2FWOS:000914373100002","View Full Record in Web of Science")</f>
        <v>View Full Record in Web of Science</v>
      </c>
    </row>
    <row r="351" spans="1:72" x14ac:dyDescent="0.15">
      <c r="A351" t="s">
        <v>72</v>
      </c>
      <c r="B351" t="s">
        <v>6623</v>
      </c>
      <c r="C351" t="s">
        <v>74</v>
      </c>
      <c r="D351" t="s">
        <v>74</v>
      </c>
      <c r="E351" t="s">
        <v>74</v>
      </c>
      <c r="F351" t="s">
        <v>6624</v>
      </c>
      <c r="G351" t="s">
        <v>74</v>
      </c>
      <c r="H351" t="s">
        <v>74</v>
      </c>
      <c r="I351" t="s">
        <v>6625</v>
      </c>
      <c r="J351" t="s">
        <v>6626</v>
      </c>
      <c r="K351" t="s">
        <v>74</v>
      </c>
      <c r="L351" t="s">
        <v>74</v>
      </c>
      <c r="M351" t="s">
        <v>78</v>
      </c>
      <c r="N351" t="s">
        <v>79</v>
      </c>
      <c r="O351" t="s">
        <v>74</v>
      </c>
      <c r="P351" t="s">
        <v>74</v>
      </c>
      <c r="Q351" t="s">
        <v>74</v>
      </c>
      <c r="R351" t="s">
        <v>74</v>
      </c>
      <c r="S351" t="s">
        <v>74</v>
      </c>
      <c r="T351" t="s">
        <v>6627</v>
      </c>
      <c r="U351" t="s">
        <v>6628</v>
      </c>
      <c r="V351" t="s">
        <v>6629</v>
      </c>
      <c r="W351" t="s">
        <v>6630</v>
      </c>
      <c r="X351" t="s">
        <v>6631</v>
      </c>
      <c r="Y351" t="s">
        <v>6632</v>
      </c>
      <c r="Z351" t="s">
        <v>6633</v>
      </c>
      <c r="AA351" t="s">
        <v>6634</v>
      </c>
      <c r="AB351" t="s">
        <v>74</v>
      </c>
      <c r="AC351" t="s">
        <v>6635</v>
      </c>
      <c r="AD351" t="s">
        <v>6636</v>
      </c>
      <c r="AE351" t="s">
        <v>6637</v>
      </c>
      <c r="AF351" t="s">
        <v>74</v>
      </c>
      <c r="AG351">
        <v>36</v>
      </c>
      <c r="AH351">
        <v>2</v>
      </c>
      <c r="AI351">
        <v>2</v>
      </c>
      <c r="AJ351">
        <v>1</v>
      </c>
      <c r="AK351">
        <v>3</v>
      </c>
      <c r="AL351" t="s">
        <v>6638</v>
      </c>
      <c r="AM351" t="s">
        <v>6639</v>
      </c>
      <c r="AN351" t="s">
        <v>6640</v>
      </c>
      <c r="AO351" t="s">
        <v>6641</v>
      </c>
      <c r="AP351" t="s">
        <v>6642</v>
      </c>
      <c r="AQ351" t="s">
        <v>74</v>
      </c>
      <c r="AR351" t="s">
        <v>6643</v>
      </c>
      <c r="AS351" t="s">
        <v>6644</v>
      </c>
      <c r="AT351" t="s">
        <v>6645</v>
      </c>
      <c r="AU351">
        <v>2023</v>
      </c>
      <c r="AV351">
        <v>41</v>
      </c>
      <c r="AW351">
        <v>21</v>
      </c>
      <c r="AX351" t="s">
        <v>74</v>
      </c>
      <c r="AY351" t="s">
        <v>74</v>
      </c>
      <c r="AZ351" t="s">
        <v>74</v>
      </c>
      <c r="BA351" t="s">
        <v>74</v>
      </c>
      <c r="BB351">
        <v>11498</v>
      </c>
      <c r="BC351">
        <v>11509</v>
      </c>
      <c r="BD351" t="s">
        <v>74</v>
      </c>
      <c r="BE351" t="s">
        <v>6646</v>
      </c>
      <c r="BF351" t="str">
        <f>HYPERLINK("http://dx.doi.org/10.1080/07391102.2022.2164519","http://dx.doi.org/10.1080/07391102.2022.2164519")</f>
        <v>http://dx.doi.org/10.1080/07391102.2022.2164519</v>
      </c>
      <c r="BG351" t="s">
        <v>74</v>
      </c>
      <c r="BH351" t="s">
        <v>5796</v>
      </c>
      <c r="BI351">
        <v>12</v>
      </c>
      <c r="BJ351" t="s">
        <v>6647</v>
      </c>
      <c r="BK351" t="s">
        <v>104</v>
      </c>
      <c r="BL351" t="s">
        <v>6647</v>
      </c>
      <c r="BM351" t="s">
        <v>6648</v>
      </c>
      <c r="BN351">
        <v>36598349</v>
      </c>
      <c r="BO351" t="s">
        <v>74</v>
      </c>
      <c r="BP351" t="s">
        <v>74</v>
      </c>
      <c r="BQ351" t="s">
        <v>74</v>
      </c>
      <c r="BR351" t="s">
        <v>108</v>
      </c>
      <c r="BS351" t="s">
        <v>6649</v>
      </c>
      <c r="BT351" t="str">
        <f>HYPERLINK("https%3A%2F%2Fwww.webofscience.com%2Fwos%2Fwoscc%2Ffull-record%2FWOS:000907247000001","View Full Record in Web of Science")</f>
        <v>View Full Record in Web of Science</v>
      </c>
    </row>
    <row r="352" spans="1:72" x14ac:dyDescent="0.15">
      <c r="A352" t="s">
        <v>72</v>
      </c>
      <c r="B352" t="s">
        <v>6650</v>
      </c>
      <c r="C352" t="s">
        <v>74</v>
      </c>
      <c r="D352" t="s">
        <v>74</v>
      </c>
      <c r="E352" t="s">
        <v>74</v>
      </c>
      <c r="F352" t="s">
        <v>6651</v>
      </c>
      <c r="G352" t="s">
        <v>74</v>
      </c>
      <c r="H352" t="s">
        <v>74</v>
      </c>
      <c r="I352" t="s">
        <v>6652</v>
      </c>
      <c r="J352" t="s">
        <v>6653</v>
      </c>
      <c r="K352" t="s">
        <v>74</v>
      </c>
      <c r="L352" t="s">
        <v>74</v>
      </c>
      <c r="M352" t="s">
        <v>78</v>
      </c>
      <c r="N352" t="s">
        <v>79</v>
      </c>
      <c r="O352" t="s">
        <v>74</v>
      </c>
      <c r="P352" t="s">
        <v>74</v>
      </c>
      <c r="Q352" t="s">
        <v>74</v>
      </c>
      <c r="R352" t="s">
        <v>74</v>
      </c>
      <c r="S352" t="s">
        <v>74</v>
      </c>
      <c r="T352" t="s">
        <v>6654</v>
      </c>
      <c r="U352" t="s">
        <v>6655</v>
      </c>
      <c r="V352" t="s">
        <v>6656</v>
      </c>
      <c r="W352" t="s">
        <v>6657</v>
      </c>
      <c r="X352" t="s">
        <v>6658</v>
      </c>
      <c r="Y352" t="s">
        <v>6659</v>
      </c>
      <c r="Z352" t="s">
        <v>6660</v>
      </c>
      <c r="AA352" t="s">
        <v>74</v>
      </c>
      <c r="AB352" t="s">
        <v>74</v>
      </c>
      <c r="AC352" t="s">
        <v>6661</v>
      </c>
      <c r="AD352" t="s">
        <v>6662</v>
      </c>
      <c r="AE352" t="s">
        <v>6663</v>
      </c>
      <c r="AF352" t="s">
        <v>74</v>
      </c>
      <c r="AG352">
        <v>67</v>
      </c>
      <c r="AH352">
        <v>0</v>
      </c>
      <c r="AI352">
        <v>0</v>
      </c>
      <c r="AJ352">
        <v>2</v>
      </c>
      <c r="AK352">
        <v>3</v>
      </c>
      <c r="AL352" t="s">
        <v>603</v>
      </c>
      <c r="AM352" t="s">
        <v>208</v>
      </c>
      <c r="AN352" t="s">
        <v>604</v>
      </c>
      <c r="AO352" t="s">
        <v>6664</v>
      </c>
      <c r="AP352" t="s">
        <v>6665</v>
      </c>
      <c r="AQ352" t="s">
        <v>74</v>
      </c>
      <c r="AR352" t="s">
        <v>6666</v>
      </c>
      <c r="AS352" t="s">
        <v>6667</v>
      </c>
      <c r="AT352" t="s">
        <v>99</v>
      </c>
      <c r="AU352">
        <v>2023</v>
      </c>
      <c r="AV352">
        <v>122</v>
      </c>
      <c r="AW352" t="s">
        <v>74</v>
      </c>
      <c r="AX352" t="s">
        <v>74</v>
      </c>
      <c r="AY352" t="s">
        <v>74</v>
      </c>
      <c r="AZ352" t="s">
        <v>74</v>
      </c>
      <c r="BA352" t="s">
        <v>74</v>
      </c>
      <c r="BB352" t="s">
        <v>74</v>
      </c>
      <c r="BC352" t="s">
        <v>74</v>
      </c>
      <c r="BD352">
        <v>104174</v>
      </c>
      <c r="BE352" t="s">
        <v>6668</v>
      </c>
      <c r="BF352" t="str">
        <f>HYPERLINK("http://dx.doi.org/10.1016/j.jsames.2022.104174","http://dx.doi.org/10.1016/j.jsames.2022.104174")</f>
        <v>http://dx.doi.org/10.1016/j.jsames.2022.104174</v>
      </c>
      <c r="BG352" t="s">
        <v>74</v>
      </c>
      <c r="BH352" t="s">
        <v>5796</v>
      </c>
      <c r="BI352">
        <v>11</v>
      </c>
      <c r="BJ352" t="s">
        <v>455</v>
      </c>
      <c r="BK352" t="s">
        <v>104</v>
      </c>
      <c r="BL352" t="s">
        <v>456</v>
      </c>
      <c r="BM352" t="s">
        <v>6669</v>
      </c>
      <c r="BN352" t="s">
        <v>74</v>
      </c>
      <c r="BO352" t="s">
        <v>74</v>
      </c>
      <c r="BP352" t="s">
        <v>74</v>
      </c>
      <c r="BQ352" t="s">
        <v>74</v>
      </c>
      <c r="BR352" t="s">
        <v>108</v>
      </c>
      <c r="BS352" t="s">
        <v>6670</v>
      </c>
      <c r="BT352" t="str">
        <f>HYPERLINK("https%3A%2F%2Fwww.webofscience.com%2Fwos%2Fwoscc%2Ffull-record%2FWOS:000994330600001","View Full Record in Web of Science")</f>
        <v>View Full Record in Web of Science</v>
      </c>
    </row>
    <row r="353" spans="1:72" x14ac:dyDescent="0.15">
      <c r="A353" t="s">
        <v>72</v>
      </c>
      <c r="B353" t="s">
        <v>6671</v>
      </c>
      <c r="C353" t="s">
        <v>74</v>
      </c>
      <c r="D353" t="s">
        <v>74</v>
      </c>
      <c r="E353" t="s">
        <v>74</v>
      </c>
      <c r="F353" t="s">
        <v>6672</v>
      </c>
      <c r="G353" t="s">
        <v>74</v>
      </c>
      <c r="H353" t="s">
        <v>74</v>
      </c>
      <c r="I353" t="s">
        <v>6673</v>
      </c>
      <c r="J353" t="s">
        <v>6674</v>
      </c>
      <c r="K353" t="s">
        <v>74</v>
      </c>
      <c r="L353" t="s">
        <v>74</v>
      </c>
      <c r="M353" t="s">
        <v>78</v>
      </c>
      <c r="N353" t="s">
        <v>79</v>
      </c>
      <c r="O353" t="s">
        <v>74</v>
      </c>
      <c r="P353" t="s">
        <v>74</v>
      </c>
      <c r="Q353" t="s">
        <v>74</v>
      </c>
      <c r="R353" t="s">
        <v>74</v>
      </c>
      <c r="S353" t="s">
        <v>74</v>
      </c>
      <c r="T353" t="s">
        <v>6675</v>
      </c>
      <c r="U353" t="s">
        <v>6676</v>
      </c>
      <c r="V353" t="s">
        <v>6677</v>
      </c>
      <c r="W353" t="s">
        <v>6678</v>
      </c>
      <c r="X353" t="s">
        <v>6679</v>
      </c>
      <c r="Y353" t="s">
        <v>6680</v>
      </c>
      <c r="Z353" t="s">
        <v>6681</v>
      </c>
      <c r="AA353" t="s">
        <v>6682</v>
      </c>
      <c r="AB353" t="s">
        <v>6683</v>
      </c>
      <c r="AC353" t="s">
        <v>6684</v>
      </c>
      <c r="AD353" t="s">
        <v>6685</v>
      </c>
      <c r="AE353" t="s">
        <v>6686</v>
      </c>
      <c r="AF353" t="s">
        <v>74</v>
      </c>
      <c r="AG353">
        <v>116</v>
      </c>
      <c r="AH353">
        <v>3</v>
      </c>
      <c r="AI353">
        <v>3</v>
      </c>
      <c r="AJ353">
        <v>1</v>
      </c>
      <c r="AK353">
        <v>7</v>
      </c>
      <c r="AL353" t="s">
        <v>603</v>
      </c>
      <c r="AM353" t="s">
        <v>208</v>
      </c>
      <c r="AN353" t="s">
        <v>604</v>
      </c>
      <c r="AO353" t="s">
        <v>6687</v>
      </c>
      <c r="AP353" t="s">
        <v>6688</v>
      </c>
      <c r="AQ353" t="s">
        <v>74</v>
      </c>
      <c r="AR353" t="s">
        <v>6689</v>
      </c>
      <c r="AS353" t="s">
        <v>6690</v>
      </c>
      <c r="AT353" t="s">
        <v>609</v>
      </c>
      <c r="AU353">
        <v>2023</v>
      </c>
      <c r="AV353">
        <v>342</v>
      </c>
      <c r="AW353" t="s">
        <v>74</v>
      </c>
      <c r="AX353" t="s">
        <v>74</v>
      </c>
      <c r="AY353" t="s">
        <v>74</v>
      </c>
      <c r="AZ353" t="s">
        <v>74</v>
      </c>
      <c r="BA353" t="s">
        <v>74</v>
      </c>
      <c r="BB353">
        <v>156</v>
      </c>
      <c r="BC353">
        <v>168</v>
      </c>
      <c r="BD353" t="s">
        <v>74</v>
      </c>
      <c r="BE353" t="s">
        <v>6691</v>
      </c>
      <c r="BF353" t="str">
        <f>HYPERLINK("http://dx.doi.org/10.1016/j.gca.2022.12.014","http://dx.doi.org/10.1016/j.gca.2022.12.014")</f>
        <v>http://dx.doi.org/10.1016/j.gca.2022.12.014</v>
      </c>
      <c r="BG353" t="s">
        <v>74</v>
      </c>
      <c r="BH353" t="s">
        <v>5796</v>
      </c>
      <c r="BI353">
        <v>13</v>
      </c>
      <c r="BJ353" t="s">
        <v>430</v>
      </c>
      <c r="BK353" t="s">
        <v>104</v>
      </c>
      <c r="BL353" t="s">
        <v>430</v>
      </c>
      <c r="BM353" t="s">
        <v>6692</v>
      </c>
      <c r="BN353" t="s">
        <v>74</v>
      </c>
      <c r="BO353" t="s">
        <v>107</v>
      </c>
      <c r="BP353" t="s">
        <v>74</v>
      </c>
      <c r="BQ353" t="s">
        <v>74</v>
      </c>
      <c r="BR353" t="s">
        <v>108</v>
      </c>
      <c r="BS353" t="s">
        <v>6693</v>
      </c>
      <c r="BT353" t="str">
        <f>HYPERLINK("https%3A%2F%2Fwww.webofscience.com%2Fwos%2Fwoscc%2Ffull-record%2FWOS:000923168700001","View Full Record in Web of Science")</f>
        <v>View Full Record in Web of Science</v>
      </c>
    </row>
    <row r="354" spans="1:72" x14ac:dyDescent="0.15">
      <c r="A354" t="s">
        <v>72</v>
      </c>
      <c r="B354" t="s">
        <v>6694</v>
      </c>
      <c r="C354" t="s">
        <v>74</v>
      </c>
      <c r="D354" t="s">
        <v>74</v>
      </c>
      <c r="E354" t="s">
        <v>74</v>
      </c>
      <c r="F354" t="s">
        <v>6695</v>
      </c>
      <c r="G354" t="s">
        <v>74</v>
      </c>
      <c r="H354" t="s">
        <v>74</v>
      </c>
      <c r="I354" t="s">
        <v>6696</v>
      </c>
      <c r="J354" t="s">
        <v>618</v>
      </c>
      <c r="K354" t="s">
        <v>74</v>
      </c>
      <c r="L354" t="s">
        <v>74</v>
      </c>
      <c r="M354" t="s">
        <v>78</v>
      </c>
      <c r="N354" t="s">
        <v>79</v>
      </c>
      <c r="O354" t="s">
        <v>74</v>
      </c>
      <c r="P354" t="s">
        <v>74</v>
      </c>
      <c r="Q354" t="s">
        <v>74</v>
      </c>
      <c r="R354" t="s">
        <v>74</v>
      </c>
      <c r="S354" t="s">
        <v>74</v>
      </c>
      <c r="T354" t="s">
        <v>6697</v>
      </c>
      <c r="U354" t="s">
        <v>6698</v>
      </c>
      <c r="V354" t="s">
        <v>6699</v>
      </c>
      <c r="W354" t="s">
        <v>6700</v>
      </c>
      <c r="X354" t="s">
        <v>6701</v>
      </c>
      <c r="Y354" t="s">
        <v>6702</v>
      </c>
      <c r="Z354" t="s">
        <v>6703</v>
      </c>
      <c r="AA354" t="s">
        <v>74</v>
      </c>
      <c r="AB354" t="s">
        <v>6704</v>
      </c>
      <c r="AC354" t="s">
        <v>74</v>
      </c>
      <c r="AD354" t="s">
        <v>74</v>
      </c>
      <c r="AE354" t="s">
        <v>74</v>
      </c>
      <c r="AF354" t="s">
        <v>74</v>
      </c>
      <c r="AG354">
        <v>72</v>
      </c>
      <c r="AH354">
        <v>0</v>
      </c>
      <c r="AI354">
        <v>1</v>
      </c>
      <c r="AJ354">
        <v>2</v>
      </c>
      <c r="AK354">
        <v>7</v>
      </c>
      <c r="AL354" t="s">
        <v>269</v>
      </c>
      <c r="AM354" t="s">
        <v>93</v>
      </c>
      <c r="AN354" t="s">
        <v>397</v>
      </c>
      <c r="AO354" t="s">
        <v>630</v>
      </c>
      <c r="AP354" t="s">
        <v>631</v>
      </c>
      <c r="AQ354" t="s">
        <v>74</v>
      </c>
      <c r="AR354" t="s">
        <v>632</v>
      </c>
      <c r="AS354" t="s">
        <v>633</v>
      </c>
      <c r="AT354" t="s">
        <v>276</v>
      </c>
      <c r="AU354">
        <v>2023</v>
      </c>
      <c r="AV354">
        <v>46</v>
      </c>
      <c r="AW354">
        <v>1</v>
      </c>
      <c r="AX354" t="s">
        <v>74</v>
      </c>
      <c r="AY354" t="s">
        <v>74</v>
      </c>
      <c r="AZ354" t="s">
        <v>74</v>
      </c>
      <c r="BA354" t="s">
        <v>74</v>
      </c>
      <c r="BB354">
        <v>87</v>
      </c>
      <c r="BC354">
        <v>102</v>
      </c>
      <c r="BD354" t="s">
        <v>74</v>
      </c>
      <c r="BE354" t="s">
        <v>6705</v>
      </c>
      <c r="BF354" t="str">
        <f>HYPERLINK("http://dx.doi.org/10.1007/s00300-022-03106-4","http://dx.doi.org/10.1007/s00300-022-03106-4")</f>
        <v>http://dx.doi.org/10.1007/s00300-022-03106-4</v>
      </c>
      <c r="BG354" t="s">
        <v>74</v>
      </c>
      <c r="BH354" t="s">
        <v>5796</v>
      </c>
      <c r="BI354">
        <v>16</v>
      </c>
      <c r="BJ354" t="s">
        <v>305</v>
      </c>
      <c r="BK354" t="s">
        <v>104</v>
      </c>
      <c r="BL354" t="s">
        <v>306</v>
      </c>
      <c r="BM354" t="s">
        <v>6706</v>
      </c>
      <c r="BN354" t="s">
        <v>74</v>
      </c>
      <c r="BO354" t="s">
        <v>219</v>
      </c>
      <c r="BP354" t="s">
        <v>74</v>
      </c>
      <c r="BQ354" t="s">
        <v>74</v>
      </c>
      <c r="BR354" t="s">
        <v>108</v>
      </c>
      <c r="BS354" t="s">
        <v>6707</v>
      </c>
      <c r="BT354" t="str">
        <f>HYPERLINK("https%3A%2F%2Fwww.webofscience.com%2Fwos%2Fwoscc%2Ffull-record%2FWOS:000905884900001","View Full Record in Web of Science")</f>
        <v>View Full Record in Web of Science</v>
      </c>
    </row>
    <row r="355" spans="1:72" x14ac:dyDescent="0.15">
      <c r="A355" t="s">
        <v>72</v>
      </c>
      <c r="B355" t="s">
        <v>6708</v>
      </c>
      <c r="C355" t="s">
        <v>74</v>
      </c>
      <c r="D355" t="s">
        <v>74</v>
      </c>
      <c r="E355" t="s">
        <v>74</v>
      </c>
      <c r="F355" t="s">
        <v>6709</v>
      </c>
      <c r="G355" t="s">
        <v>74</v>
      </c>
      <c r="H355" t="s">
        <v>74</v>
      </c>
      <c r="I355" t="s">
        <v>6710</v>
      </c>
      <c r="J355" t="s">
        <v>6711</v>
      </c>
      <c r="K355" t="s">
        <v>74</v>
      </c>
      <c r="L355" t="s">
        <v>74</v>
      </c>
      <c r="M355" t="s">
        <v>78</v>
      </c>
      <c r="N355" t="s">
        <v>79</v>
      </c>
      <c r="O355" t="s">
        <v>74</v>
      </c>
      <c r="P355" t="s">
        <v>74</v>
      </c>
      <c r="Q355" t="s">
        <v>74</v>
      </c>
      <c r="R355" t="s">
        <v>74</v>
      </c>
      <c r="S355" t="s">
        <v>74</v>
      </c>
      <c r="T355" t="s">
        <v>6712</v>
      </c>
      <c r="U355" t="s">
        <v>6713</v>
      </c>
      <c r="V355" t="s">
        <v>6714</v>
      </c>
      <c r="W355" t="s">
        <v>6715</v>
      </c>
      <c r="X355" t="s">
        <v>6716</v>
      </c>
      <c r="Y355" t="s">
        <v>6717</v>
      </c>
      <c r="Z355" t="s">
        <v>6718</v>
      </c>
      <c r="AA355" t="s">
        <v>74</v>
      </c>
      <c r="AB355" t="s">
        <v>6719</v>
      </c>
      <c r="AC355" t="s">
        <v>6720</v>
      </c>
      <c r="AD355" t="s">
        <v>6721</v>
      </c>
      <c r="AE355" t="s">
        <v>6722</v>
      </c>
      <c r="AF355" t="s">
        <v>74</v>
      </c>
      <c r="AG355">
        <v>60</v>
      </c>
      <c r="AH355">
        <v>4</v>
      </c>
      <c r="AI355">
        <v>4</v>
      </c>
      <c r="AJ355">
        <v>1</v>
      </c>
      <c r="AK355">
        <v>5</v>
      </c>
      <c r="AL355" t="s">
        <v>603</v>
      </c>
      <c r="AM355" t="s">
        <v>208</v>
      </c>
      <c r="AN355" t="s">
        <v>604</v>
      </c>
      <c r="AO355" t="s">
        <v>6723</v>
      </c>
      <c r="AP355" t="s">
        <v>6724</v>
      </c>
      <c r="AQ355" t="s">
        <v>74</v>
      </c>
      <c r="AR355" t="s">
        <v>6725</v>
      </c>
      <c r="AS355" t="s">
        <v>6726</v>
      </c>
      <c r="AT355" t="s">
        <v>99</v>
      </c>
      <c r="AU355">
        <v>2023</v>
      </c>
      <c r="AV355">
        <v>187</v>
      </c>
      <c r="AW355" t="s">
        <v>74</v>
      </c>
      <c r="AX355" t="s">
        <v>74</v>
      </c>
      <c r="AY355" t="s">
        <v>74</v>
      </c>
      <c r="AZ355" t="s">
        <v>74</v>
      </c>
      <c r="BA355" t="s">
        <v>74</v>
      </c>
      <c r="BB355" t="s">
        <v>74</v>
      </c>
      <c r="BC355" t="s">
        <v>74</v>
      </c>
      <c r="BD355">
        <v>114501</v>
      </c>
      <c r="BE355" t="s">
        <v>6727</v>
      </c>
      <c r="BF355" t="str">
        <f>HYPERLINK("http://dx.doi.org/10.1016/j.marpolbul.2022.114501","http://dx.doi.org/10.1016/j.marpolbul.2022.114501")</f>
        <v>http://dx.doi.org/10.1016/j.marpolbul.2022.114501</v>
      </c>
      <c r="BG355" t="s">
        <v>74</v>
      </c>
      <c r="BH355" t="s">
        <v>5796</v>
      </c>
      <c r="BI355">
        <v>11</v>
      </c>
      <c r="BJ355" t="s">
        <v>6728</v>
      </c>
      <c r="BK355" t="s">
        <v>104</v>
      </c>
      <c r="BL355" t="s">
        <v>6729</v>
      </c>
      <c r="BM355" t="s">
        <v>6730</v>
      </c>
      <c r="BN355">
        <v>36584434</v>
      </c>
      <c r="BO355" t="s">
        <v>6731</v>
      </c>
      <c r="BP355" t="s">
        <v>74</v>
      </c>
      <c r="BQ355" t="s">
        <v>74</v>
      </c>
      <c r="BR355" t="s">
        <v>108</v>
      </c>
      <c r="BS355" t="s">
        <v>6732</v>
      </c>
      <c r="BT355" t="str">
        <f>HYPERLINK("https%3A%2F%2Fwww.webofscience.com%2Fwos%2Fwoscc%2Ffull-record%2FWOS:000964707800001","View Full Record in Web of Science")</f>
        <v>View Full Record in Web of Science</v>
      </c>
    </row>
    <row r="356" spans="1:72" x14ac:dyDescent="0.15">
      <c r="A356" t="s">
        <v>72</v>
      </c>
      <c r="B356" t="s">
        <v>6733</v>
      </c>
      <c r="C356" t="s">
        <v>74</v>
      </c>
      <c r="D356" t="s">
        <v>74</v>
      </c>
      <c r="E356" t="s">
        <v>74</v>
      </c>
      <c r="F356" t="s">
        <v>6734</v>
      </c>
      <c r="G356" t="s">
        <v>74</v>
      </c>
      <c r="H356" t="s">
        <v>74</v>
      </c>
      <c r="I356" t="s">
        <v>6735</v>
      </c>
      <c r="J356" t="s">
        <v>6736</v>
      </c>
      <c r="K356" t="s">
        <v>74</v>
      </c>
      <c r="L356" t="s">
        <v>74</v>
      </c>
      <c r="M356" t="s">
        <v>78</v>
      </c>
      <c r="N356" t="s">
        <v>79</v>
      </c>
      <c r="O356" t="s">
        <v>74</v>
      </c>
      <c r="P356" t="s">
        <v>74</v>
      </c>
      <c r="Q356" t="s">
        <v>74</v>
      </c>
      <c r="R356" t="s">
        <v>74</v>
      </c>
      <c r="S356" t="s">
        <v>74</v>
      </c>
      <c r="T356" t="s">
        <v>74</v>
      </c>
      <c r="U356" t="s">
        <v>6737</v>
      </c>
      <c r="V356" t="s">
        <v>6738</v>
      </c>
      <c r="W356" t="s">
        <v>6739</v>
      </c>
      <c r="X356" t="s">
        <v>6740</v>
      </c>
      <c r="Y356" t="s">
        <v>6741</v>
      </c>
      <c r="Z356" t="s">
        <v>6742</v>
      </c>
      <c r="AA356" t="s">
        <v>74</v>
      </c>
      <c r="AB356" t="s">
        <v>6743</v>
      </c>
      <c r="AC356" t="s">
        <v>6744</v>
      </c>
      <c r="AD356" t="s">
        <v>6745</v>
      </c>
      <c r="AE356" t="s">
        <v>6746</v>
      </c>
      <c r="AF356" t="s">
        <v>74</v>
      </c>
      <c r="AG356">
        <v>66</v>
      </c>
      <c r="AH356">
        <v>9</v>
      </c>
      <c r="AI356">
        <v>9</v>
      </c>
      <c r="AJ356">
        <v>4</v>
      </c>
      <c r="AK356">
        <v>7</v>
      </c>
      <c r="AL356" t="s">
        <v>1791</v>
      </c>
      <c r="AM356" t="s">
        <v>576</v>
      </c>
      <c r="AN356" t="s">
        <v>1792</v>
      </c>
      <c r="AO356" t="s">
        <v>6747</v>
      </c>
      <c r="AP356" t="s">
        <v>6748</v>
      </c>
      <c r="AQ356" t="s">
        <v>74</v>
      </c>
      <c r="AR356" t="s">
        <v>6749</v>
      </c>
      <c r="AS356" t="s">
        <v>6750</v>
      </c>
      <c r="AT356" t="s">
        <v>6751</v>
      </c>
      <c r="AU356">
        <v>2022</v>
      </c>
      <c r="AV356">
        <v>49</v>
      </c>
      <c r="AW356">
        <v>24</v>
      </c>
      <c r="AX356" t="s">
        <v>74</v>
      </c>
      <c r="AY356" t="s">
        <v>74</v>
      </c>
      <c r="AZ356" t="s">
        <v>74</v>
      </c>
      <c r="BA356" t="s">
        <v>74</v>
      </c>
      <c r="BB356" t="s">
        <v>74</v>
      </c>
      <c r="BC356" t="s">
        <v>74</v>
      </c>
      <c r="BD356" t="s">
        <v>6752</v>
      </c>
      <c r="BE356" t="s">
        <v>6753</v>
      </c>
      <c r="BF356" t="str">
        <f>HYPERLINK("http://dx.doi.org/10.1029/2022GL101249","http://dx.doi.org/10.1029/2022GL101249")</f>
        <v>http://dx.doi.org/10.1029/2022GL101249</v>
      </c>
      <c r="BG356" t="s">
        <v>74</v>
      </c>
      <c r="BH356" t="s">
        <v>74</v>
      </c>
      <c r="BI356">
        <v>11</v>
      </c>
      <c r="BJ356" t="s">
        <v>455</v>
      </c>
      <c r="BK356" t="s">
        <v>104</v>
      </c>
      <c r="BL356" t="s">
        <v>456</v>
      </c>
      <c r="BM356" t="s">
        <v>6754</v>
      </c>
      <c r="BN356" t="s">
        <v>74</v>
      </c>
      <c r="BO356" t="s">
        <v>219</v>
      </c>
      <c r="BP356" t="s">
        <v>250</v>
      </c>
      <c r="BQ356" t="s">
        <v>249</v>
      </c>
      <c r="BR356" t="s">
        <v>108</v>
      </c>
      <c r="BS356" t="s">
        <v>6755</v>
      </c>
      <c r="BT356" t="str">
        <f>HYPERLINK("https%3A%2F%2Fwww.webofscience.com%2Fwos%2Fwoscc%2Ffull-record%2FWOS:000924604600025","View Full Record in Web of Science")</f>
        <v>View Full Record in Web of Science</v>
      </c>
    </row>
    <row r="357" spans="1:72" x14ac:dyDescent="0.15">
      <c r="A357" t="s">
        <v>72</v>
      </c>
      <c r="B357" t="s">
        <v>6756</v>
      </c>
      <c r="C357" t="s">
        <v>74</v>
      </c>
      <c r="D357" t="s">
        <v>74</v>
      </c>
      <c r="E357" t="s">
        <v>74</v>
      </c>
      <c r="F357" t="s">
        <v>6757</v>
      </c>
      <c r="G357" t="s">
        <v>74</v>
      </c>
      <c r="H357" t="s">
        <v>74</v>
      </c>
      <c r="I357" t="s">
        <v>6758</v>
      </c>
      <c r="J357" t="s">
        <v>6736</v>
      </c>
      <c r="K357" t="s">
        <v>74</v>
      </c>
      <c r="L357" t="s">
        <v>74</v>
      </c>
      <c r="M357" t="s">
        <v>78</v>
      </c>
      <c r="N357" t="s">
        <v>79</v>
      </c>
      <c r="O357" t="s">
        <v>74</v>
      </c>
      <c r="P357" t="s">
        <v>74</v>
      </c>
      <c r="Q357" t="s">
        <v>74</v>
      </c>
      <c r="R357" t="s">
        <v>74</v>
      </c>
      <c r="S357" t="s">
        <v>74</v>
      </c>
      <c r="T357" t="s">
        <v>74</v>
      </c>
      <c r="U357" t="s">
        <v>6759</v>
      </c>
      <c r="V357" t="s">
        <v>6760</v>
      </c>
      <c r="W357" t="s">
        <v>6761</v>
      </c>
      <c r="X357" t="s">
        <v>6762</v>
      </c>
      <c r="Y357" t="s">
        <v>6763</v>
      </c>
      <c r="Z357" t="s">
        <v>6764</v>
      </c>
      <c r="AA357" t="s">
        <v>6765</v>
      </c>
      <c r="AB357" t="s">
        <v>6766</v>
      </c>
      <c r="AC357" t="s">
        <v>6767</v>
      </c>
      <c r="AD357" t="s">
        <v>6768</v>
      </c>
      <c r="AE357" t="s">
        <v>6769</v>
      </c>
      <c r="AF357" t="s">
        <v>74</v>
      </c>
      <c r="AG357">
        <v>44</v>
      </c>
      <c r="AH357">
        <v>9</v>
      </c>
      <c r="AI357">
        <v>10</v>
      </c>
      <c r="AJ357">
        <v>0</v>
      </c>
      <c r="AK357">
        <v>3</v>
      </c>
      <c r="AL357" t="s">
        <v>1791</v>
      </c>
      <c r="AM357" t="s">
        <v>576</v>
      </c>
      <c r="AN357" t="s">
        <v>1792</v>
      </c>
      <c r="AO357" t="s">
        <v>6747</v>
      </c>
      <c r="AP357" t="s">
        <v>6748</v>
      </c>
      <c r="AQ357" t="s">
        <v>74</v>
      </c>
      <c r="AR357" t="s">
        <v>6749</v>
      </c>
      <c r="AS357" t="s">
        <v>6750</v>
      </c>
      <c r="AT357" t="s">
        <v>6751</v>
      </c>
      <c r="AU357">
        <v>2022</v>
      </c>
      <c r="AV357">
        <v>49</v>
      </c>
      <c r="AW357">
        <v>24</v>
      </c>
      <c r="AX357" t="s">
        <v>74</v>
      </c>
      <c r="AY357" t="s">
        <v>74</v>
      </c>
      <c r="AZ357" t="s">
        <v>74</v>
      </c>
      <c r="BA357" t="s">
        <v>74</v>
      </c>
      <c r="BB357" t="s">
        <v>74</v>
      </c>
      <c r="BC357" t="s">
        <v>74</v>
      </c>
      <c r="BD357" t="s">
        <v>6770</v>
      </c>
      <c r="BE357" t="s">
        <v>6771</v>
      </c>
      <c r="BF357" t="str">
        <f>HYPERLINK("http://dx.doi.org/10.1029/2022GL100646","http://dx.doi.org/10.1029/2022GL100646")</f>
        <v>http://dx.doi.org/10.1029/2022GL100646</v>
      </c>
      <c r="BG357" t="s">
        <v>74</v>
      </c>
      <c r="BH357" t="s">
        <v>74</v>
      </c>
      <c r="BI357">
        <v>10</v>
      </c>
      <c r="BJ357" t="s">
        <v>455</v>
      </c>
      <c r="BK357" t="s">
        <v>104</v>
      </c>
      <c r="BL357" t="s">
        <v>456</v>
      </c>
      <c r="BM357" t="s">
        <v>6754</v>
      </c>
      <c r="BN357" t="s">
        <v>74</v>
      </c>
      <c r="BO357" t="s">
        <v>5191</v>
      </c>
      <c r="BP357" t="s">
        <v>74</v>
      </c>
      <c r="BQ357" t="s">
        <v>74</v>
      </c>
      <c r="BR357" t="s">
        <v>108</v>
      </c>
      <c r="BS357" t="s">
        <v>6772</v>
      </c>
      <c r="BT357" t="str">
        <f>HYPERLINK("https%3A%2F%2Fwww.webofscience.com%2Fwos%2Fwoscc%2Ffull-record%2FWOS:000924604600012","View Full Record in Web of Science")</f>
        <v>View Full Record in Web of Science</v>
      </c>
    </row>
    <row r="358" spans="1:72" x14ac:dyDescent="0.15">
      <c r="A358" t="s">
        <v>72</v>
      </c>
      <c r="B358" t="s">
        <v>6773</v>
      </c>
      <c r="C358" t="s">
        <v>74</v>
      </c>
      <c r="D358" t="s">
        <v>74</v>
      </c>
      <c r="E358" t="s">
        <v>74</v>
      </c>
      <c r="F358" t="s">
        <v>6774</v>
      </c>
      <c r="G358" t="s">
        <v>74</v>
      </c>
      <c r="H358" t="s">
        <v>74</v>
      </c>
      <c r="I358" t="s">
        <v>6775</v>
      </c>
      <c r="J358" t="s">
        <v>6776</v>
      </c>
      <c r="K358" t="s">
        <v>74</v>
      </c>
      <c r="L358" t="s">
        <v>74</v>
      </c>
      <c r="M358" t="s">
        <v>78</v>
      </c>
      <c r="N358" t="s">
        <v>79</v>
      </c>
      <c r="O358" t="s">
        <v>74</v>
      </c>
      <c r="P358" t="s">
        <v>74</v>
      </c>
      <c r="Q358" t="s">
        <v>74</v>
      </c>
      <c r="R358" t="s">
        <v>74</v>
      </c>
      <c r="S358" t="s">
        <v>74</v>
      </c>
      <c r="T358" t="s">
        <v>6777</v>
      </c>
      <c r="U358" t="s">
        <v>6778</v>
      </c>
      <c r="V358" t="s">
        <v>6779</v>
      </c>
      <c r="W358" t="s">
        <v>6780</v>
      </c>
      <c r="X358" t="s">
        <v>6781</v>
      </c>
      <c r="Y358" t="s">
        <v>6782</v>
      </c>
      <c r="Z358" t="s">
        <v>6783</v>
      </c>
      <c r="AA358" t="s">
        <v>6784</v>
      </c>
      <c r="AB358" t="s">
        <v>6785</v>
      </c>
      <c r="AC358" t="s">
        <v>6786</v>
      </c>
      <c r="AD358" t="s">
        <v>6787</v>
      </c>
      <c r="AE358" t="s">
        <v>6788</v>
      </c>
      <c r="AF358" t="s">
        <v>74</v>
      </c>
      <c r="AG358">
        <v>46</v>
      </c>
      <c r="AH358">
        <v>1</v>
      </c>
      <c r="AI358">
        <v>1</v>
      </c>
      <c r="AJ358">
        <v>2</v>
      </c>
      <c r="AK358">
        <v>9</v>
      </c>
      <c r="AL358" t="s">
        <v>237</v>
      </c>
      <c r="AM358" t="s">
        <v>238</v>
      </c>
      <c r="AN358" t="s">
        <v>239</v>
      </c>
      <c r="AO358" t="s">
        <v>6789</v>
      </c>
      <c r="AP358" t="s">
        <v>74</v>
      </c>
      <c r="AQ358" t="s">
        <v>74</v>
      </c>
      <c r="AR358" t="s">
        <v>6790</v>
      </c>
      <c r="AS358" t="s">
        <v>6791</v>
      </c>
      <c r="AT358" t="s">
        <v>99</v>
      </c>
      <c r="AU358">
        <v>2023</v>
      </c>
      <c r="AV358">
        <v>58</v>
      </c>
      <c r="AW358" t="s">
        <v>74</v>
      </c>
      <c r="AX358" t="s">
        <v>74</v>
      </c>
      <c r="AY358" t="s">
        <v>74</v>
      </c>
      <c r="AZ358" t="s">
        <v>74</v>
      </c>
      <c r="BA358" t="s">
        <v>74</v>
      </c>
      <c r="BB358" t="s">
        <v>74</v>
      </c>
      <c r="BC358" t="s">
        <v>74</v>
      </c>
      <c r="BD358">
        <v>102795</v>
      </c>
      <c r="BE358" t="s">
        <v>6792</v>
      </c>
      <c r="BF358" t="str">
        <f>HYPERLINK("http://dx.doi.org/10.1016/j.rsma.2022.102795","http://dx.doi.org/10.1016/j.rsma.2022.102795")</f>
        <v>http://dx.doi.org/10.1016/j.rsma.2022.102795</v>
      </c>
      <c r="BG358" t="s">
        <v>74</v>
      </c>
      <c r="BH358" t="s">
        <v>5796</v>
      </c>
      <c r="BI358">
        <v>11</v>
      </c>
      <c r="BJ358" t="s">
        <v>6793</v>
      </c>
      <c r="BK358" t="s">
        <v>104</v>
      </c>
      <c r="BL358" t="s">
        <v>6729</v>
      </c>
      <c r="BM358" t="s">
        <v>6794</v>
      </c>
      <c r="BN358" t="s">
        <v>74</v>
      </c>
      <c r="BO358" t="s">
        <v>74</v>
      </c>
      <c r="BP358" t="s">
        <v>74</v>
      </c>
      <c r="BQ358" t="s">
        <v>74</v>
      </c>
      <c r="BR358" t="s">
        <v>108</v>
      </c>
      <c r="BS358" t="s">
        <v>6795</v>
      </c>
      <c r="BT358" t="str">
        <f>HYPERLINK("https%3A%2F%2Fwww.webofscience.com%2Fwos%2Fwoscc%2Ffull-record%2FWOS:000915032100001","View Full Record in Web of Science")</f>
        <v>View Full Record in Web of Science</v>
      </c>
    </row>
    <row r="359" spans="1:72" x14ac:dyDescent="0.15">
      <c r="A359" t="s">
        <v>72</v>
      </c>
      <c r="B359" t="s">
        <v>6796</v>
      </c>
      <c r="C359" t="s">
        <v>74</v>
      </c>
      <c r="D359" t="s">
        <v>74</v>
      </c>
      <c r="E359" t="s">
        <v>74</v>
      </c>
      <c r="F359" t="s">
        <v>6797</v>
      </c>
      <c r="G359" t="s">
        <v>74</v>
      </c>
      <c r="H359" t="s">
        <v>74</v>
      </c>
      <c r="I359" t="s">
        <v>6798</v>
      </c>
      <c r="J359" t="s">
        <v>6799</v>
      </c>
      <c r="K359" t="s">
        <v>74</v>
      </c>
      <c r="L359" t="s">
        <v>74</v>
      </c>
      <c r="M359" t="s">
        <v>78</v>
      </c>
      <c r="N359" t="s">
        <v>79</v>
      </c>
      <c r="O359" t="s">
        <v>74</v>
      </c>
      <c r="P359" t="s">
        <v>74</v>
      </c>
      <c r="Q359" t="s">
        <v>74</v>
      </c>
      <c r="R359" t="s">
        <v>74</v>
      </c>
      <c r="S359" t="s">
        <v>74</v>
      </c>
      <c r="T359" t="s">
        <v>6800</v>
      </c>
      <c r="U359" t="s">
        <v>6801</v>
      </c>
      <c r="V359" t="s">
        <v>6802</v>
      </c>
      <c r="W359" t="s">
        <v>6803</v>
      </c>
      <c r="X359" t="s">
        <v>6804</v>
      </c>
      <c r="Y359" t="s">
        <v>6805</v>
      </c>
      <c r="Z359" t="s">
        <v>6806</v>
      </c>
      <c r="AA359" t="s">
        <v>6807</v>
      </c>
      <c r="AB359" t="s">
        <v>6808</v>
      </c>
      <c r="AC359" t="s">
        <v>74</v>
      </c>
      <c r="AD359" t="s">
        <v>74</v>
      </c>
      <c r="AE359" t="s">
        <v>74</v>
      </c>
      <c r="AF359" t="s">
        <v>74</v>
      </c>
      <c r="AG359">
        <v>109</v>
      </c>
      <c r="AH359">
        <v>1</v>
      </c>
      <c r="AI359">
        <v>2</v>
      </c>
      <c r="AJ359">
        <v>11</v>
      </c>
      <c r="AK359">
        <v>20</v>
      </c>
      <c r="AL359" t="s">
        <v>237</v>
      </c>
      <c r="AM359" t="s">
        <v>238</v>
      </c>
      <c r="AN359" t="s">
        <v>239</v>
      </c>
      <c r="AO359" t="s">
        <v>74</v>
      </c>
      <c r="AP359" t="s">
        <v>6809</v>
      </c>
      <c r="AQ359" t="s">
        <v>74</v>
      </c>
      <c r="AR359" t="s">
        <v>6810</v>
      </c>
      <c r="AS359" t="s">
        <v>6811</v>
      </c>
      <c r="AT359" t="s">
        <v>276</v>
      </c>
      <c r="AU359">
        <v>2023</v>
      </c>
      <c r="AV359">
        <v>41</v>
      </c>
      <c r="AW359" t="s">
        <v>74</v>
      </c>
      <c r="AX359" t="s">
        <v>74</v>
      </c>
      <c r="AY359" t="s">
        <v>74</v>
      </c>
      <c r="AZ359" t="s">
        <v>74</v>
      </c>
      <c r="BA359" t="s">
        <v>74</v>
      </c>
      <c r="BB359" t="s">
        <v>74</v>
      </c>
      <c r="BC359" t="s">
        <v>74</v>
      </c>
      <c r="BD359" t="s">
        <v>6812</v>
      </c>
      <c r="BE359" t="s">
        <v>6813</v>
      </c>
      <c r="BF359" t="str">
        <f>HYPERLINK("http://dx.doi.org/10.1016/j.gecco.2022.e02360","http://dx.doi.org/10.1016/j.gecco.2022.e02360")</f>
        <v>http://dx.doi.org/10.1016/j.gecco.2022.e02360</v>
      </c>
      <c r="BG359" t="s">
        <v>74</v>
      </c>
      <c r="BH359" t="s">
        <v>5796</v>
      </c>
      <c r="BI359">
        <v>15</v>
      </c>
      <c r="BJ359" t="s">
        <v>305</v>
      </c>
      <c r="BK359" t="s">
        <v>104</v>
      </c>
      <c r="BL359" t="s">
        <v>306</v>
      </c>
      <c r="BM359" t="s">
        <v>6814</v>
      </c>
      <c r="BN359" t="s">
        <v>74</v>
      </c>
      <c r="BO359" t="s">
        <v>2832</v>
      </c>
      <c r="BP359" t="s">
        <v>74</v>
      </c>
      <c r="BQ359" t="s">
        <v>74</v>
      </c>
      <c r="BR359" t="s">
        <v>108</v>
      </c>
      <c r="BS359" t="s">
        <v>6815</v>
      </c>
      <c r="BT359" t="str">
        <f>HYPERLINK("https%3A%2F%2Fwww.webofscience.com%2Fwos%2Fwoscc%2Ffull-record%2FWOS:000975812000001","View Full Record in Web of Science")</f>
        <v>View Full Record in Web of Science</v>
      </c>
    </row>
    <row r="360" spans="1:72" x14ac:dyDescent="0.15">
      <c r="A360" t="s">
        <v>72</v>
      </c>
      <c r="B360" t="s">
        <v>6816</v>
      </c>
      <c r="C360" t="s">
        <v>74</v>
      </c>
      <c r="D360" t="s">
        <v>74</v>
      </c>
      <c r="E360" t="s">
        <v>74</v>
      </c>
      <c r="F360" t="s">
        <v>6817</v>
      </c>
      <c r="G360" t="s">
        <v>74</v>
      </c>
      <c r="H360" t="s">
        <v>74</v>
      </c>
      <c r="I360" t="s">
        <v>6818</v>
      </c>
      <c r="J360" t="s">
        <v>6776</v>
      </c>
      <c r="K360" t="s">
        <v>74</v>
      </c>
      <c r="L360" t="s">
        <v>74</v>
      </c>
      <c r="M360" t="s">
        <v>78</v>
      </c>
      <c r="N360" t="s">
        <v>79</v>
      </c>
      <c r="O360" t="s">
        <v>74</v>
      </c>
      <c r="P360" t="s">
        <v>74</v>
      </c>
      <c r="Q360" t="s">
        <v>74</v>
      </c>
      <c r="R360" t="s">
        <v>74</v>
      </c>
      <c r="S360" t="s">
        <v>74</v>
      </c>
      <c r="T360" t="s">
        <v>6819</v>
      </c>
      <c r="U360" t="s">
        <v>6820</v>
      </c>
      <c r="V360" t="s">
        <v>6821</v>
      </c>
      <c r="W360" t="s">
        <v>6822</v>
      </c>
      <c r="X360" t="s">
        <v>6823</v>
      </c>
      <c r="Y360" t="s">
        <v>6824</v>
      </c>
      <c r="Z360" t="s">
        <v>6825</v>
      </c>
      <c r="AA360" t="s">
        <v>74</v>
      </c>
      <c r="AB360" t="s">
        <v>74</v>
      </c>
      <c r="AC360" t="s">
        <v>6826</v>
      </c>
      <c r="AD360" t="s">
        <v>6827</v>
      </c>
      <c r="AE360" t="s">
        <v>6828</v>
      </c>
      <c r="AF360" t="s">
        <v>74</v>
      </c>
      <c r="AG360">
        <v>28</v>
      </c>
      <c r="AH360">
        <v>1</v>
      </c>
      <c r="AI360">
        <v>1</v>
      </c>
      <c r="AJ360">
        <v>2</v>
      </c>
      <c r="AK360">
        <v>5</v>
      </c>
      <c r="AL360" t="s">
        <v>237</v>
      </c>
      <c r="AM360" t="s">
        <v>238</v>
      </c>
      <c r="AN360" t="s">
        <v>239</v>
      </c>
      <c r="AO360" t="s">
        <v>6789</v>
      </c>
      <c r="AP360" t="s">
        <v>74</v>
      </c>
      <c r="AQ360" t="s">
        <v>74</v>
      </c>
      <c r="AR360" t="s">
        <v>6790</v>
      </c>
      <c r="AS360" t="s">
        <v>6791</v>
      </c>
      <c r="AT360" t="s">
        <v>99</v>
      </c>
      <c r="AU360">
        <v>2023</v>
      </c>
      <c r="AV360">
        <v>58</v>
      </c>
      <c r="AW360" t="s">
        <v>74</v>
      </c>
      <c r="AX360" t="s">
        <v>74</v>
      </c>
      <c r="AY360" t="s">
        <v>74</v>
      </c>
      <c r="AZ360" t="s">
        <v>74</v>
      </c>
      <c r="BA360" t="s">
        <v>74</v>
      </c>
      <c r="BB360" t="s">
        <v>74</v>
      </c>
      <c r="BC360" t="s">
        <v>74</v>
      </c>
      <c r="BD360">
        <v>102798</v>
      </c>
      <c r="BE360" t="s">
        <v>6829</v>
      </c>
      <c r="BF360" t="str">
        <f>HYPERLINK("http://dx.doi.org/10.1016/j.rsma.2022.102798","http://dx.doi.org/10.1016/j.rsma.2022.102798")</f>
        <v>http://dx.doi.org/10.1016/j.rsma.2022.102798</v>
      </c>
      <c r="BG360" t="s">
        <v>74</v>
      </c>
      <c r="BH360" t="s">
        <v>5796</v>
      </c>
      <c r="BI360">
        <v>11</v>
      </c>
      <c r="BJ360" t="s">
        <v>6793</v>
      </c>
      <c r="BK360" t="s">
        <v>104</v>
      </c>
      <c r="BL360" t="s">
        <v>6729</v>
      </c>
      <c r="BM360" t="s">
        <v>6830</v>
      </c>
      <c r="BN360" t="s">
        <v>74</v>
      </c>
      <c r="BO360" t="s">
        <v>74</v>
      </c>
      <c r="BP360" t="s">
        <v>74</v>
      </c>
      <c r="BQ360" t="s">
        <v>74</v>
      </c>
      <c r="BR360" t="s">
        <v>108</v>
      </c>
      <c r="BS360" t="s">
        <v>6831</v>
      </c>
      <c r="BT360" t="str">
        <f>HYPERLINK("https%3A%2F%2Fwww.webofscience.com%2Fwos%2Fwoscc%2Ffull-record%2FWOS:000916102800001","View Full Record in Web of Science")</f>
        <v>View Full Record in Web of Science</v>
      </c>
    </row>
    <row r="361" spans="1:72" x14ac:dyDescent="0.15">
      <c r="A361" t="s">
        <v>72</v>
      </c>
      <c r="B361" t="s">
        <v>6832</v>
      </c>
      <c r="C361" t="s">
        <v>74</v>
      </c>
      <c r="D361" t="s">
        <v>74</v>
      </c>
      <c r="E361" t="s">
        <v>74</v>
      </c>
      <c r="F361" t="s">
        <v>6833</v>
      </c>
      <c r="G361" t="s">
        <v>74</v>
      </c>
      <c r="H361" t="s">
        <v>74</v>
      </c>
      <c r="I361" t="s">
        <v>6834</v>
      </c>
      <c r="J361" t="s">
        <v>6711</v>
      </c>
      <c r="K361" t="s">
        <v>74</v>
      </c>
      <c r="L361" t="s">
        <v>74</v>
      </c>
      <c r="M361" t="s">
        <v>78</v>
      </c>
      <c r="N361" t="s">
        <v>79</v>
      </c>
      <c r="O361" t="s">
        <v>74</v>
      </c>
      <c r="P361" t="s">
        <v>74</v>
      </c>
      <c r="Q361" t="s">
        <v>74</v>
      </c>
      <c r="R361" t="s">
        <v>74</v>
      </c>
      <c r="S361" t="s">
        <v>74</v>
      </c>
      <c r="T361" t="s">
        <v>6835</v>
      </c>
      <c r="U361" t="s">
        <v>6836</v>
      </c>
      <c r="V361" t="s">
        <v>6837</v>
      </c>
      <c r="W361" t="s">
        <v>6838</v>
      </c>
      <c r="X361" t="s">
        <v>6839</v>
      </c>
      <c r="Y361" t="s">
        <v>6840</v>
      </c>
      <c r="Z361" t="s">
        <v>6841</v>
      </c>
      <c r="AA361" t="s">
        <v>6842</v>
      </c>
      <c r="AB361" t="s">
        <v>6843</v>
      </c>
      <c r="AC361" t="s">
        <v>6844</v>
      </c>
      <c r="AD361" t="s">
        <v>6845</v>
      </c>
      <c r="AE361" t="s">
        <v>6846</v>
      </c>
      <c r="AF361" t="s">
        <v>74</v>
      </c>
      <c r="AG361">
        <v>86</v>
      </c>
      <c r="AH361">
        <v>4</v>
      </c>
      <c r="AI361">
        <v>4</v>
      </c>
      <c r="AJ361">
        <v>5</v>
      </c>
      <c r="AK361">
        <v>28</v>
      </c>
      <c r="AL361" t="s">
        <v>603</v>
      </c>
      <c r="AM361" t="s">
        <v>208</v>
      </c>
      <c r="AN361" t="s">
        <v>604</v>
      </c>
      <c r="AO361" t="s">
        <v>6723</v>
      </c>
      <c r="AP361" t="s">
        <v>6724</v>
      </c>
      <c r="AQ361" t="s">
        <v>74</v>
      </c>
      <c r="AR361" t="s">
        <v>6725</v>
      </c>
      <c r="AS361" t="s">
        <v>6726</v>
      </c>
      <c r="AT361" t="s">
        <v>99</v>
      </c>
      <c r="AU361">
        <v>2023</v>
      </c>
      <c r="AV361">
        <v>187</v>
      </c>
      <c r="AW361" t="s">
        <v>74</v>
      </c>
      <c r="AX361" t="s">
        <v>74</v>
      </c>
      <c r="AY361" t="s">
        <v>74</v>
      </c>
      <c r="AZ361" t="s">
        <v>74</v>
      </c>
      <c r="BA361" t="s">
        <v>74</v>
      </c>
      <c r="BB361" t="s">
        <v>74</v>
      </c>
      <c r="BC361" t="s">
        <v>74</v>
      </c>
      <c r="BD361">
        <v>114511</v>
      </c>
      <c r="BE361" t="s">
        <v>6847</v>
      </c>
      <c r="BF361" t="str">
        <f>HYPERLINK("http://dx.doi.org/10.1016/j.marpolbul.2022.114511","http://dx.doi.org/10.1016/j.marpolbul.2022.114511")</f>
        <v>http://dx.doi.org/10.1016/j.marpolbul.2022.114511</v>
      </c>
      <c r="BG361" t="s">
        <v>74</v>
      </c>
      <c r="BH361" t="s">
        <v>5796</v>
      </c>
      <c r="BI361">
        <v>9</v>
      </c>
      <c r="BJ361" t="s">
        <v>6728</v>
      </c>
      <c r="BK361" t="s">
        <v>104</v>
      </c>
      <c r="BL361" t="s">
        <v>6729</v>
      </c>
      <c r="BM361" t="s">
        <v>6848</v>
      </c>
      <c r="BN361">
        <v>36580836</v>
      </c>
      <c r="BO361" t="s">
        <v>74</v>
      </c>
      <c r="BP361" t="s">
        <v>74</v>
      </c>
      <c r="BQ361" t="s">
        <v>74</v>
      </c>
      <c r="BR361" t="s">
        <v>108</v>
      </c>
      <c r="BS361" t="s">
        <v>6849</v>
      </c>
      <c r="BT361" t="str">
        <f>HYPERLINK("https%3A%2F%2Fwww.webofscience.com%2Fwos%2Fwoscc%2Ffull-record%2FWOS:000916501300001","View Full Record in Web of Science")</f>
        <v>View Full Record in Web of Science</v>
      </c>
    </row>
    <row r="362" spans="1:72" x14ac:dyDescent="0.15">
      <c r="A362" t="s">
        <v>72</v>
      </c>
      <c r="B362" t="s">
        <v>6850</v>
      </c>
      <c r="C362" t="s">
        <v>74</v>
      </c>
      <c r="D362" t="s">
        <v>74</v>
      </c>
      <c r="E362" t="s">
        <v>74</v>
      </c>
      <c r="F362" t="s">
        <v>6851</v>
      </c>
      <c r="G362" t="s">
        <v>74</v>
      </c>
      <c r="H362" t="s">
        <v>74</v>
      </c>
      <c r="I362" t="s">
        <v>6852</v>
      </c>
      <c r="J362" t="s">
        <v>618</v>
      </c>
      <c r="K362" t="s">
        <v>74</v>
      </c>
      <c r="L362" t="s">
        <v>74</v>
      </c>
      <c r="M362" t="s">
        <v>78</v>
      </c>
      <c r="N362" t="s">
        <v>79</v>
      </c>
      <c r="O362" t="s">
        <v>74</v>
      </c>
      <c r="P362" t="s">
        <v>74</v>
      </c>
      <c r="Q362" t="s">
        <v>74</v>
      </c>
      <c r="R362" t="s">
        <v>74</v>
      </c>
      <c r="S362" t="s">
        <v>74</v>
      </c>
      <c r="T362" t="s">
        <v>6853</v>
      </c>
      <c r="U362" t="s">
        <v>6854</v>
      </c>
      <c r="V362" t="s">
        <v>6855</v>
      </c>
      <c r="W362" t="s">
        <v>6856</v>
      </c>
      <c r="X362" t="s">
        <v>6857</v>
      </c>
      <c r="Y362" t="s">
        <v>6858</v>
      </c>
      <c r="Z362" t="s">
        <v>6859</v>
      </c>
      <c r="AA362" t="s">
        <v>6860</v>
      </c>
      <c r="AB362" t="s">
        <v>6861</v>
      </c>
      <c r="AC362" t="s">
        <v>74</v>
      </c>
      <c r="AD362" t="s">
        <v>74</v>
      </c>
      <c r="AE362" t="s">
        <v>74</v>
      </c>
      <c r="AF362" t="s">
        <v>74</v>
      </c>
      <c r="AG362">
        <v>36</v>
      </c>
      <c r="AH362">
        <v>0</v>
      </c>
      <c r="AI362">
        <v>0</v>
      </c>
      <c r="AJ362">
        <v>0</v>
      </c>
      <c r="AK362">
        <v>3</v>
      </c>
      <c r="AL362" t="s">
        <v>269</v>
      </c>
      <c r="AM362" t="s">
        <v>93</v>
      </c>
      <c r="AN362" t="s">
        <v>397</v>
      </c>
      <c r="AO362" t="s">
        <v>630</v>
      </c>
      <c r="AP362" t="s">
        <v>631</v>
      </c>
      <c r="AQ362" t="s">
        <v>74</v>
      </c>
      <c r="AR362" t="s">
        <v>632</v>
      </c>
      <c r="AS362" t="s">
        <v>633</v>
      </c>
      <c r="AT362" t="s">
        <v>276</v>
      </c>
      <c r="AU362">
        <v>2023</v>
      </c>
      <c r="AV362">
        <v>46</v>
      </c>
      <c r="AW362">
        <v>1</v>
      </c>
      <c r="AX362" t="s">
        <v>74</v>
      </c>
      <c r="AY362" t="s">
        <v>74</v>
      </c>
      <c r="AZ362" t="s">
        <v>74</v>
      </c>
      <c r="BA362" t="s">
        <v>74</v>
      </c>
      <c r="BB362">
        <v>77</v>
      </c>
      <c r="BC362">
        <v>85</v>
      </c>
      <c r="BD362" t="s">
        <v>74</v>
      </c>
      <c r="BE362" t="s">
        <v>6862</v>
      </c>
      <c r="BF362" t="str">
        <f>HYPERLINK("http://dx.doi.org/10.1007/s00300-022-03107-3","http://dx.doi.org/10.1007/s00300-022-03107-3")</f>
        <v>http://dx.doi.org/10.1007/s00300-022-03107-3</v>
      </c>
      <c r="BG362" t="s">
        <v>74</v>
      </c>
      <c r="BH362" t="s">
        <v>5796</v>
      </c>
      <c r="BI362">
        <v>9</v>
      </c>
      <c r="BJ362" t="s">
        <v>305</v>
      </c>
      <c r="BK362" t="s">
        <v>104</v>
      </c>
      <c r="BL362" t="s">
        <v>306</v>
      </c>
      <c r="BM362" t="s">
        <v>6706</v>
      </c>
      <c r="BN362" t="s">
        <v>74</v>
      </c>
      <c r="BO362" t="s">
        <v>74</v>
      </c>
      <c r="BP362" t="s">
        <v>74</v>
      </c>
      <c r="BQ362" t="s">
        <v>74</v>
      </c>
      <c r="BR362" t="s">
        <v>108</v>
      </c>
      <c r="BS362" t="s">
        <v>6863</v>
      </c>
      <c r="BT362" t="str">
        <f>HYPERLINK("https%3A%2F%2Fwww.webofscience.com%2Fwos%2Fwoscc%2Ffull-record%2FWOS:000904005900001","View Full Record in Web of Science")</f>
        <v>View Full Record in Web of Science</v>
      </c>
    </row>
    <row r="363" spans="1:72" x14ac:dyDescent="0.15">
      <c r="A363" t="s">
        <v>72</v>
      </c>
      <c r="B363" t="s">
        <v>6864</v>
      </c>
      <c r="C363" t="s">
        <v>74</v>
      </c>
      <c r="D363" t="s">
        <v>74</v>
      </c>
      <c r="E363" t="s">
        <v>74</v>
      </c>
      <c r="F363" t="s">
        <v>6865</v>
      </c>
      <c r="G363" t="s">
        <v>74</v>
      </c>
      <c r="H363" t="s">
        <v>74</v>
      </c>
      <c r="I363" t="s">
        <v>6866</v>
      </c>
      <c r="J363" t="s">
        <v>6867</v>
      </c>
      <c r="K363" t="s">
        <v>74</v>
      </c>
      <c r="L363" t="s">
        <v>74</v>
      </c>
      <c r="M363" t="s">
        <v>78</v>
      </c>
      <c r="N363" t="s">
        <v>79</v>
      </c>
      <c r="O363" t="s">
        <v>74</v>
      </c>
      <c r="P363" t="s">
        <v>74</v>
      </c>
      <c r="Q363" t="s">
        <v>74</v>
      </c>
      <c r="R363" t="s">
        <v>74</v>
      </c>
      <c r="S363" t="s">
        <v>74</v>
      </c>
      <c r="T363" t="s">
        <v>6868</v>
      </c>
      <c r="U363" t="s">
        <v>6869</v>
      </c>
      <c r="V363" t="s">
        <v>6870</v>
      </c>
      <c r="W363" t="s">
        <v>6871</v>
      </c>
      <c r="X363" t="s">
        <v>6872</v>
      </c>
      <c r="Y363" t="s">
        <v>6873</v>
      </c>
      <c r="Z363" t="s">
        <v>6874</v>
      </c>
      <c r="AA363" t="s">
        <v>74</v>
      </c>
      <c r="AB363" t="s">
        <v>74</v>
      </c>
      <c r="AC363" t="s">
        <v>6875</v>
      </c>
      <c r="AD363" t="s">
        <v>6876</v>
      </c>
      <c r="AE363" t="s">
        <v>6877</v>
      </c>
      <c r="AF363" t="s">
        <v>74</v>
      </c>
      <c r="AG363">
        <v>127</v>
      </c>
      <c r="AH363">
        <v>3</v>
      </c>
      <c r="AI363">
        <v>3</v>
      </c>
      <c r="AJ363">
        <v>3</v>
      </c>
      <c r="AK363">
        <v>4</v>
      </c>
      <c r="AL363" t="s">
        <v>237</v>
      </c>
      <c r="AM363" t="s">
        <v>238</v>
      </c>
      <c r="AN363" t="s">
        <v>239</v>
      </c>
      <c r="AO363" t="s">
        <v>6878</v>
      </c>
      <c r="AP363" t="s">
        <v>6879</v>
      </c>
      <c r="AQ363" t="s">
        <v>74</v>
      </c>
      <c r="AR363" t="s">
        <v>6880</v>
      </c>
      <c r="AS363" t="s">
        <v>6881</v>
      </c>
      <c r="AT363" t="s">
        <v>276</v>
      </c>
      <c r="AU363">
        <v>2023</v>
      </c>
      <c r="AV363">
        <v>220</v>
      </c>
      <c r="AW363" t="s">
        <v>74</v>
      </c>
      <c r="AX363" t="s">
        <v>74</v>
      </c>
      <c r="AY363" t="s">
        <v>74</v>
      </c>
      <c r="AZ363" t="s">
        <v>74</v>
      </c>
      <c r="BA363" t="s">
        <v>74</v>
      </c>
      <c r="BB363" t="s">
        <v>74</v>
      </c>
      <c r="BC363" t="s">
        <v>74</v>
      </c>
      <c r="BD363">
        <v>104019</v>
      </c>
      <c r="BE363" t="s">
        <v>6882</v>
      </c>
      <c r="BF363" t="str">
        <f>HYPERLINK("http://dx.doi.org/10.1016/j.gloplacha.2022.104019","http://dx.doi.org/10.1016/j.gloplacha.2022.104019")</f>
        <v>http://dx.doi.org/10.1016/j.gloplacha.2022.104019</v>
      </c>
      <c r="BG363" t="s">
        <v>74</v>
      </c>
      <c r="BH363" t="s">
        <v>5796</v>
      </c>
      <c r="BI363">
        <v>16</v>
      </c>
      <c r="BJ363" t="s">
        <v>611</v>
      </c>
      <c r="BK363" t="s">
        <v>104</v>
      </c>
      <c r="BL363" t="s">
        <v>612</v>
      </c>
      <c r="BM363" t="s">
        <v>6883</v>
      </c>
      <c r="BN363" t="s">
        <v>74</v>
      </c>
      <c r="BO363" t="s">
        <v>74</v>
      </c>
      <c r="BP363" t="s">
        <v>74</v>
      </c>
      <c r="BQ363" t="s">
        <v>74</v>
      </c>
      <c r="BR363" t="s">
        <v>108</v>
      </c>
      <c r="BS363" t="s">
        <v>6884</v>
      </c>
      <c r="BT363" t="str">
        <f>HYPERLINK("https%3A%2F%2Fwww.webofscience.com%2Fwos%2Fwoscc%2Ffull-record%2FWOS:000915869400001","View Full Record in Web of Science")</f>
        <v>View Full Record in Web of Science</v>
      </c>
    </row>
    <row r="364" spans="1:72" x14ac:dyDescent="0.15">
      <c r="A364" t="s">
        <v>72</v>
      </c>
      <c r="B364" t="s">
        <v>6885</v>
      </c>
      <c r="C364" t="s">
        <v>74</v>
      </c>
      <c r="D364" t="s">
        <v>74</v>
      </c>
      <c r="E364" t="s">
        <v>74</v>
      </c>
      <c r="F364" t="s">
        <v>6886</v>
      </c>
      <c r="G364" t="s">
        <v>74</v>
      </c>
      <c r="H364" t="s">
        <v>74</v>
      </c>
      <c r="I364" t="s">
        <v>6887</v>
      </c>
      <c r="J364" t="s">
        <v>6888</v>
      </c>
      <c r="K364" t="s">
        <v>74</v>
      </c>
      <c r="L364" t="s">
        <v>74</v>
      </c>
      <c r="M364" t="s">
        <v>78</v>
      </c>
      <c r="N364" t="s">
        <v>79</v>
      </c>
      <c r="O364" t="s">
        <v>74</v>
      </c>
      <c r="P364" t="s">
        <v>74</v>
      </c>
      <c r="Q364" t="s">
        <v>74</v>
      </c>
      <c r="R364" t="s">
        <v>74</v>
      </c>
      <c r="S364" t="s">
        <v>74</v>
      </c>
      <c r="T364" t="s">
        <v>6889</v>
      </c>
      <c r="U364" t="s">
        <v>6890</v>
      </c>
      <c r="V364" t="s">
        <v>6891</v>
      </c>
      <c r="W364" t="s">
        <v>6892</v>
      </c>
      <c r="X364" t="s">
        <v>6893</v>
      </c>
      <c r="Y364" t="s">
        <v>6894</v>
      </c>
      <c r="Z364" t="s">
        <v>6895</v>
      </c>
      <c r="AA364" t="s">
        <v>6896</v>
      </c>
      <c r="AB364" t="s">
        <v>6897</v>
      </c>
      <c r="AC364" t="s">
        <v>6898</v>
      </c>
      <c r="AD364" t="s">
        <v>6899</v>
      </c>
      <c r="AE364" t="s">
        <v>6900</v>
      </c>
      <c r="AF364" t="s">
        <v>74</v>
      </c>
      <c r="AG364">
        <v>107</v>
      </c>
      <c r="AH364">
        <v>3</v>
      </c>
      <c r="AI364">
        <v>3</v>
      </c>
      <c r="AJ364">
        <v>4</v>
      </c>
      <c r="AK364">
        <v>17</v>
      </c>
      <c r="AL364" t="s">
        <v>297</v>
      </c>
      <c r="AM364" t="s">
        <v>298</v>
      </c>
      <c r="AN364" t="s">
        <v>299</v>
      </c>
      <c r="AO364" t="s">
        <v>6901</v>
      </c>
      <c r="AP364" t="s">
        <v>6902</v>
      </c>
      <c r="AQ364" t="s">
        <v>74</v>
      </c>
      <c r="AR364" t="s">
        <v>6903</v>
      </c>
      <c r="AS364" t="s">
        <v>6904</v>
      </c>
      <c r="AT364" t="s">
        <v>276</v>
      </c>
      <c r="AU364">
        <v>2024</v>
      </c>
      <c r="AV364">
        <v>34</v>
      </c>
      <c r="AW364">
        <v>1</v>
      </c>
      <c r="AX364" t="s">
        <v>74</v>
      </c>
      <c r="AY364" t="s">
        <v>74</v>
      </c>
      <c r="AZ364" t="s">
        <v>74</v>
      </c>
      <c r="BA364" t="s">
        <v>74</v>
      </c>
      <c r="BB364" t="s">
        <v>74</v>
      </c>
      <c r="BC364" t="s">
        <v>74</v>
      </c>
      <c r="BD364" t="s">
        <v>6905</v>
      </c>
      <c r="BE364" t="s">
        <v>6906</v>
      </c>
      <c r="BF364" t="str">
        <f>HYPERLINK("http://dx.doi.org/10.1002/eap.2772","http://dx.doi.org/10.1002/eap.2772")</f>
        <v>http://dx.doi.org/10.1002/eap.2772</v>
      </c>
      <c r="BG364" t="s">
        <v>74</v>
      </c>
      <c r="BH364" t="s">
        <v>5796</v>
      </c>
      <c r="BI364">
        <v>21</v>
      </c>
      <c r="BJ364" t="s">
        <v>6907</v>
      </c>
      <c r="BK364" t="s">
        <v>104</v>
      </c>
      <c r="BL364" t="s">
        <v>217</v>
      </c>
      <c r="BM364" t="s">
        <v>6908</v>
      </c>
      <c r="BN364">
        <v>36316814</v>
      </c>
      <c r="BO364" t="s">
        <v>74</v>
      </c>
      <c r="BP364" t="s">
        <v>74</v>
      </c>
      <c r="BQ364" t="s">
        <v>74</v>
      </c>
      <c r="BR364" t="s">
        <v>108</v>
      </c>
      <c r="BS364" t="s">
        <v>6909</v>
      </c>
      <c r="BT364" t="str">
        <f>HYPERLINK("https%3A%2F%2Fwww.webofscience.com%2Fwos%2Fwoscc%2Ffull-record%2FWOS:000904032800001","View Full Record in Web of Science")</f>
        <v>View Full Record in Web of Science</v>
      </c>
    </row>
    <row r="365" spans="1:72" x14ac:dyDescent="0.15">
      <c r="A365" t="s">
        <v>72</v>
      </c>
      <c r="B365" t="s">
        <v>6910</v>
      </c>
      <c r="C365" t="s">
        <v>74</v>
      </c>
      <c r="D365" t="s">
        <v>74</v>
      </c>
      <c r="E365" t="s">
        <v>74</v>
      </c>
      <c r="F365" t="s">
        <v>6911</v>
      </c>
      <c r="G365" t="s">
        <v>74</v>
      </c>
      <c r="H365" t="s">
        <v>74</v>
      </c>
      <c r="I365" t="s">
        <v>6912</v>
      </c>
      <c r="J365" t="s">
        <v>6913</v>
      </c>
      <c r="K365" t="s">
        <v>74</v>
      </c>
      <c r="L365" t="s">
        <v>74</v>
      </c>
      <c r="M365" t="s">
        <v>78</v>
      </c>
      <c r="N365" t="s">
        <v>79</v>
      </c>
      <c r="O365" t="s">
        <v>74</v>
      </c>
      <c r="P365" t="s">
        <v>74</v>
      </c>
      <c r="Q365" t="s">
        <v>74</v>
      </c>
      <c r="R365" t="s">
        <v>74</v>
      </c>
      <c r="S365" t="s">
        <v>74</v>
      </c>
      <c r="T365" t="s">
        <v>6914</v>
      </c>
      <c r="U365" t="s">
        <v>6915</v>
      </c>
      <c r="V365" t="s">
        <v>6916</v>
      </c>
      <c r="W365" t="s">
        <v>6917</v>
      </c>
      <c r="X365" t="s">
        <v>6918</v>
      </c>
      <c r="Y365" t="s">
        <v>6919</v>
      </c>
      <c r="Z365" t="s">
        <v>6920</v>
      </c>
      <c r="AA365" t="s">
        <v>6921</v>
      </c>
      <c r="AB365" t="s">
        <v>6922</v>
      </c>
      <c r="AC365" t="s">
        <v>6923</v>
      </c>
      <c r="AD365" t="s">
        <v>6924</v>
      </c>
      <c r="AE365" t="s">
        <v>6925</v>
      </c>
      <c r="AF365" t="s">
        <v>74</v>
      </c>
      <c r="AG365">
        <v>113</v>
      </c>
      <c r="AH365">
        <v>1</v>
      </c>
      <c r="AI365">
        <v>1</v>
      </c>
      <c r="AJ365">
        <v>8</v>
      </c>
      <c r="AK365">
        <v>23</v>
      </c>
      <c r="AL365" t="s">
        <v>297</v>
      </c>
      <c r="AM365" t="s">
        <v>298</v>
      </c>
      <c r="AN365" t="s">
        <v>299</v>
      </c>
      <c r="AO365" t="s">
        <v>6926</v>
      </c>
      <c r="AP365" t="s">
        <v>74</v>
      </c>
      <c r="AQ365" t="s">
        <v>74</v>
      </c>
      <c r="AR365" t="s">
        <v>6927</v>
      </c>
      <c r="AS365" t="s">
        <v>6928</v>
      </c>
      <c r="AT365" t="s">
        <v>214</v>
      </c>
      <c r="AU365">
        <v>2023</v>
      </c>
      <c r="AV365">
        <v>16</v>
      </c>
      <c r="AW365">
        <v>3</v>
      </c>
      <c r="AX365" t="s">
        <v>74</v>
      </c>
      <c r="AY365" t="s">
        <v>74</v>
      </c>
      <c r="AZ365" t="s">
        <v>74</v>
      </c>
      <c r="BA365" t="s">
        <v>74</v>
      </c>
      <c r="BB365">
        <v>625</v>
      </c>
      <c r="BC365">
        <v>637</v>
      </c>
      <c r="BD365" t="s">
        <v>74</v>
      </c>
      <c r="BE365" t="s">
        <v>6929</v>
      </c>
      <c r="BF365" t="str">
        <f>HYPERLINK("http://dx.doi.org/10.1111/eva.13521","http://dx.doi.org/10.1111/eva.13521")</f>
        <v>http://dx.doi.org/10.1111/eva.13521</v>
      </c>
      <c r="BG365" t="s">
        <v>74</v>
      </c>
      <c r="BH365" t="s">
        <v>5796</v>
      </c>
      <c r="BI365">
        <v>13</v>
      </c>
      <c r="BJ365" t="s">
        <v>6930</v>
      </c>
      <c r="BK365" t="s">
        <v>104</v>
      </c>
      <c r="BL365" t="s">
        <v>6930</v>
      </c>
      <c r="BM365" t="s">
        <v>6931</v>
      </c>
      <c r="BN365">
        <v>36969146</v>
      </c>
      <c r="BO365" t="s">
        <v>6932</v>
      </c>
      <c r="BP365" t="s">
        <v>74</v>
      </c>
      <c r="BQ365" t="s">
        <v>74</v>
      </c>
      <c r="BR365" t="s">
        <v>108</v>
      </c>
      <c r="BS365" t="s">
        <v>6933</v>
      </c>
      <c r="BT365" t="str">
        <f>HYPERLINK("https%3A%2F%2Fwww.webofscience.com%2Fwos%2Fwoscc%2Ffull-record%2FWOS:000903890800001","View Full Record in Web of Science")</f>
        <v>View Full Record in Web of Science</v>
      </c>
    </row>
    <row r="366" spans="1:72" x14ac:dyDescent="0.15">
      <c r="A366" t="s">
        <v>72</v>
      </c>
      <c r="B366" t="s">
        <v>6934</v>
      </c>
      <c r="C366" t="s">
        <v>74</v>
      </c>
      <c r="D366" t="s">
        <v>74</v>
      </c>
      <c r="E366" t="s">
        <v>74</v>
      </c>
      <c r="F366" t="s">
        <v>6935</v>
      </c>
      <c r="G366" t="s">
        <v>74</v>
      </c>
      <c r="H366" t="s">
        <v>74</v>
      </c>
      <c r="I366" t="s">
        <v>6936</v>
      </c>
      <c r="J366" t="s">
        <v>6937</v>
      </c>
      <c r="K366" t="s">
        <v>74</v>
      </c>
      <c r="L366" t="s">
        <v>74</v>
      </c>
      <c r="M366" t="s">
        <v>78</v>
      </c>
      <c r="N366" t="s">
        <v>79</v>
      </c>
      <c r="O366" t="s">
        <v>74</v>
      </c>
      <c r="P366" t="s">
        <v>74</v>
      </c>
      <c r="Q366" t="s">
        <v>74</v>
      </c>
      <c r="R366" t="s">
        <v>74</v>
      </c>
      <c r="S366" t="s">
        <v>74</v>
      </c>
      <c r="T366" t="s">
        <v>6938</v>
      </c>
      <c r="U366" t="s">
        <v>6939</v>
      </c>
      <c r="V366" t="s">
        <v>6940</v>
      </c>
      <c r="W366" t="s">
        <v>6941</v>
      </c>
      <c r="X366" t="s">
        <v>6942</v>
      </c>
      <c r="Y366" t="s">
        <v>6943</v>
      </c>
      <c r="Z366" t="s">
        <v>6944</v>
      </c>
      <c r="AA366" t="s">
        <v>74</v>
      </c>
      <c r="AB366" t="s">
        <v>6945</v>
      </c>
      <c r="AC366" t="s">
        <v>74</v>
      </c>
      <c r="AD366" t="s">
        <v>74</v>
      </c>
      <c r="AE366" t="s">
        <v>74</v>
      </c>
      <c r="AF366" t="s">
        <v>74</v>
      </c>
      <c r="AG366">
        <v>85</v>
      </c>
      <c r="AH366">
        <v>3</v>
      </c>
      <c r="AI366">
        <v>3</v>
      </c>
      <c r="AJ366">
        <v>0</v>
      </c>
      <c r="AK366">
        <v>2</v>
      </c>
      <c r="AL366" t="s">
        <v>6946</v>
      </c>
      <c r="AM366" t="s">
        <v>6947</v>
      </c>
      <c r="AN366" t="s">
        <v>6948</v>
      </c>
      <c r="AO366" t="s">
        <v>6949</v>
      </c>
      <c r="AP366" t="s">
        <v>6950</v>
      </c>
      <c r="AQ366" t="s">
        <v>74</v>
      </c>
      <c r="AR366" t="s">
        <v>6951</v>
      </c>
      <c r="AS366" t="s">
        <v>6952</v>
      </c>
      <c r="AT366" t="s">
        <v>6953</v>
      </c>
      <c r="AU366">
        <v>2022</v>
      </c>
      <c r="AV366">
        <v>22</v>
      </c>
      <c r="AW366">
        <v>21</v>
      </c>
      <c r="AX366" t="s">
        <v>74</v>
      </c>
      <c r="AY366" t="s">
        <v>74</v>
      </c>
      <c r="AZ366" t="s">
        <v>74</v>
      </c>
      <c r="BA366" t="s">
        <v>74</v>
      </c>
      <c r="BB366">
        <v>847</v>
      </c>
      <c r="BC366">
        <v>855</v>
      </c>
      <c r="BD366" t="s">
        <v>74</v>
      </c>
      <c r="BE366" t="s">
        <v>6954</v>
      </c>
      <c r="BF366" t="str">
        <f>HYPERLINK("http://dx.doi.org/10.2110/carnets.2022.2220","http://dx.doi.org/10.2110/carnets.2022.2220")</f>
        <v>http://dx.doi.org/10.2110/carnets.2022.2220</v>
      </c>
      <c r="BG366" t="s">
        <v>74</v>
      </c>
      <c r="BH366" t="s">
        <v>74</v>
      </c>
      <c r="BI366">
        <v>9</v>
      </c>
      <c r="BJ366" t="s">
        <v>6955</v>
      </c>
      <c r="BK366" t="s">
        <v>104</v>
      </c>
      <c r="BL366" t="s">
        <v>6955</v>
      </c>
      <c r="BM366" t="s">
        <v>6956</v>
      </c>
      <c r="BN366" t="s">
        <v>74</v>
      </c>
      <c r="BO366" t="s">
        <v>1279</v>
      </c>
      <c r="BP366" t="s">
        <v>74</v>
      </c>
      <c r="BQ366" t="s">
        <v>74</v>
      </c>
      <c r="BR366" t="s">
        <v>108</v>
      </c>
      <c r="BS366" t="s">
        <v>6957</v>
      </c>
      <c r="BT366" t="str">
        <f>HYPERLINK("https%3A%2F%2Fwww.webofscience.com%2Fwos%2Fwoscc%2Ffull-record%2FWOS:000905269500003","View Full Record in Web of Science")</f>
        <v>View Full Record in Web of Science</v>
      </c>
    </row>
    <row r="367" spans="1:72" x14ac:dyDescent="0.15">
      <c r="A367" t="s">
        <v>72</v>
      </c>
      <c r="B367" t="s">
        <v>6958</v>
      </c>
      <c r="C367" t="s">
        <v>74</v>
      </c>
      <c r="D367" t="s">
        <v>74</v>
      </c>
      <c r="E367" t="s">
        <v>74</v>
      </c>
      <c r="F367" t="s">
        <v>6959</v>
      </c>
      <c r="G367" t="s">
        <v>74</v>
      </c>
      <c r="H367" t="s">
        <v>74</v>
      </c>
      <c r="I367" t="s">
        <v>6960</v>
      </c>
      <c r="J367" t="s">
        <v>6961</v>
      </c>
      <c r="K367" t="s">
        <v>74</v>
      </c>
      <c r="L367" t="s">
        <v>74</v>
      </c>
      <c r="M367" t="s">
        <v>78</v>
      </c>
      <c r="N367" t="s">
        <v>79</v>
      </c>
      <c r="O367" t="s">
        <v>74</v>
      </c>
      <c r="P367" t="s">
        <v>74</v>
      </c>
      <c r="Q367" t="s">
        <v>74</v>
      </c>
      <c r="R367" t="s">
        <v>74</v>
      </c>
      <c r="S367" t="s">
        <v>74</v>
      </c>
      <c r="T367" t="s">
        <v>6962</v>
      </c>
      <c r="U367" t="s">
        <v>6963</v>
      </c>
      <c r="V367" t="s">
        <v>6964</v>
      </c>
      <c r="W367" t="s">
        <v>6965</v>
      </c>
      <c r="X367" t="s">
        <v>6966</v>
      </c>
      <c r="Y367" t="s">
        <v>6967</v>
      </c>
      <c r="Z367" t="s">
        <v>6968</v>
      </c>
      <c r="AA367" t="s">
        <v>74</v>
      </c>
      <c r="AB367" t="s">
        <v>74</v>
      </c>
      <c r="AC367" t="s">
        <v>74</v>
      </c>
      <c r="AD367" t="s">
        <v>74</v>
      </c>
      <c r="AE367" t="s">
        <v>74</v>
      </c>
      <c r="AF367" t="s">
        <v>74</v>
      </c>
      <c r="AG367">
        <v>62</v>
      </c>
      <c r="AH367">
        <v>1</v>
      </c>
      <c r="AI367">
        <v>1</v>
      </c>
      <c r="AJ367">
        <v>4</v>
      </c>
      <c r="AK367">
        <v>21</v>
      </c>
      <c r="AL367" t="s">
        <v>2255</v>
      </c>
      <c r="AM367" t="s">
        <v>2256</v>
      </c>
      <c r="AN367" t="s">
        <v>2257</v>
      </c>
      <c r="AO367" t="s">
        <v>6969</v>
      </c>
      <c r="AP367" t="s">
        <v>6970</v>
      </c>
      <c r="AQ367" t="s">
        <v>74</v>
      </c>
      <c r="AR367" t="s">
        <v>6971</v>
      </c>
      <c r="AS367" t="s">
        <v>6972</v>
      </c>
      <c r="AT367" t="s">
        <v>244</v>
      </c>
      <c r="AU367">
        <v>2023</v>
      </c>
      <c r="AV367">
        <v>62</v>
      </c>
      <c r="AW367">
        <v>3</v>
      </c>
      <c r="AX367" t="s">
        <v>74</v>
      </c>
      <c r="AY367" t="s">
        <v>74</v>
      </c>
      <c r="AZ367" t="s">
        <v>74</v>
      </c>
      <c r="BA367" t="s">
        <v>74</v>
      </c>
      <c r="BB367">
        <v>1345</v>
      </c>
      <c r="BC367">
        <v>1356</v>
      </c>
      <c r="BD367" t="s">
        <v>74</v>
      </c>
      <c r="BE367" t="s">
        <v>6973</v>
      </c>
      <c r="BF367" t="str">
        <f>HYPERLINK("http://dx.doi.org/10.1007/s00394-022-03077-6","http://dx.doi.org/10.1007/s00394-022-03077-6")</f>
        <v>http://dx.doi.org/10.1007/s00394-022-03077-6</v>
      </c>
      <c r="BG367" t="s">
        <v>74</v>
      </c>
      <c r="BH367" t="s">
        <v>5796</v>
      </c>
      <c r="BI367">
        <v>12</v>
      </c>
      <c r="BJ367" t="s">
        <v>6974</v>
      </c>
      <c r="BK367" t="s">
        <v>104</v>
      </c>
      <c r="BL367" t="s">
        <v>6974</v>
      </c>
      <c r="BM367" t="s">
        <v>6975</v>
      </c>
      <c r="BN367">
        <v>36566465</v>
      </c>
      <c r="BO367" t="s">
        <v>74</v>
      </c>
      <c r="BP367" t="s">
        <v>74</v>
      </c>
      <c r="BQ367" t="s">
        <v>74</v>
      </c>
      <c r="BR367" t="s">
        <v>108</v>
      </c>
      <c r="BS367" t="s">
        <v>6976</v>
      </c>
      <c r="BT367" t="str">
        <f>HYPERLINK("https%3A%2F%2Fwww.webofscience.com%2Fwos%2Fwoscc%2Ffull-record%2FWOS:000903827900001","View Full Record in Web of Science")</f>
        <v>View Full Record in Web of Science</v>
      </c>
    </row>
    <row r="368" spans="1:72" x14ac:dyDescent="0.15">
      <c r="A368" t="s">
        <v>72</v>
      </c>
      <c r="B368" t="s">
        <v>6977</v>
      </c>
      <c r="C368" t="s">
        <v>74</v>
      </c>
      <c r="D368" t="s">
        <v>74</v>
      </c>
      <c r="E368" t="s">
        <v>74</v>
      </c>
      <c r="F368" t="s">
        <v>6978</v>
      </c>
      <c r="G368" t="s">
        <v>74</v>
      </c>
      <c r="H368" t="s">
        <v>74</v>
      </c>
      <c r="I368" t="s">
        <v>6979</v>
      </c>
      <c r="J368" t="s">
        <v>6980</v>
      </c>
      <c r="K368" t="s">
        <v>74</v>
      </c>
      <c r="L368" t="s">
        <v>74</v>
      </c>
      <c r="M368" t="s">
        <v>78</v>
      </c>
      <c r="N368" t="s">
        <v>79</v>
      </c>
      <c r="O368" t="s">
        <v>74</v>
      </c>
      <c r="P368" t="s">
        <v>74</v>
      </c>
      <c r="Q368" t="s">
        <v>74</v>
      </c>
      <c r="R368" t="s">
        <v>74</v>
      </c>
      <c r="S368" t="s">
        <v>74</v>
      </c>
      <c r="T368" t="s">
        <v>6981</v>
      </c>
      <c r="U368" t="s">
        <v>6982</v>
      </c>
      <c r="V368" t="s">
        <v>6983</v>
      </c>
      <c r="W368" t="s">
        <v>6984</v>
      </c>
      <c r="X368" t="s">
        <v>6985</v>
      </c>
      <c r="Y368" t="s">
        <v>6986</v>
      </c>
      <c r="Z368" t="s">
        <v>6987</v>
      </c>
      <c r="AA368" t="s">
        <v>6988</v>
      </c>
      <c r="AB368" t="s">
        <v>74</v>
      </c>
      <c r="AC368" t="s">
        <v>6989</v>
      </c>
      <c r="AD368" t="s">
        <v>6990</v>
      </c>
      <c r="AE368" t="s">
        <v>6991</v>
      </c>
      <c r="AF368" t="s">
        <v>74</v>
      </c>
      <c r="AG368">
        <v>39</v>
      </c>
      <c r="AH368">
        <v>3</v>
      </c>
      <c r="AI368">
        <v>3</v>
      </c>
      <c r="AJ368">
        <v>4</v>
      </c>
      <c r="AK368">
        <v>19</v>
      </c>
      <c r="AL368" t="s">
        <v>237</v>
      </c>
      <c r="AM368" t="s">
        <v>238</v>
      </c>
      <c r="AN368" t="s">
        <v>239</v>
      </c>
      <c r="AO368" t="s">
        <v>6992</v>
      </c>
      <c r="AP368" t="s">
        <v>74</v>
      </c>
      <c r="AQ368" t="s">
        <v>74</v>
      </c>
      <c r="AR368" t="s">
        <v>6993</v>
      </c>
      <c r="AS368" t="s">
        <v>6994</v>
      </c>
      <c r="AT368" t="s">
        <v>99</v>
      </c>
      <c r="AU368">
        <v>2023</v>
      </c>
      <c r="AV368">
        <v>28</v>
      </c>
      <c r="AW368" t="s">
        <v>74</v>
      </c>
      <c r="AX368" t="s">
        <v>74</v>
      </c>
      <c r="AY368" t="s">
        <v>74</v>
      </c>
      <c r="AZ368" t="s">
        <v>74</v>
      </c>
      <c r="BA368" t="s">
        <v>74</v>
      </c>
      <c r="BB368" t="s">
        <v>74</v>
      </c>
      <c r="BC368" t="s">
        <v>74</v>
      </c>
      <c r="BD368">
        <v>101437</v>
      </c>
      <c r="BE368" t="s">
        <v>6995</v>
      </c>
      <c r="BF368" t="str">
        <f>HYPERLINK("http://dx.doi.org/10.1016/j.aqrep.2022.101437","http://dx.doi.org/10.1016/j.aqrep.2022.101437")</f>
        <v>http://dx.doi.org/10.1016/j.aqrep.2022.101437</v>
      </c>
      <c r="BG368" t="s">
        <v>74</v>
      </c>
      <c r="BH368" t="s">
        <v>5796</v>
      </c>
      <c r="BI368">
        <v>11</v>
      </c>
      <c r="BJ368" t="s">
        <v>246</v>
      </c>
      <c r="BK368" t="s">
        <v>104</v>
      </c>
      <c r="BL368" t="s">
        <v>246</v>
      </c>
      <c r="BM368" t="s">
        <v>6996</v>
      </c>
      <c r="BN368" t="s">
        <v>74</v>
      </c>
      <c r="BO368" t="s">
        <v>165</v>
      </c>
      <c r="BP368" t="s">
        <v>74</v>
      </c>
      <c r="BQ368" t="s">
        <v>74</v>
      </c>
      <c r="BR368" t="s">
        <v>108</v>
      </c>
      <c r="BS368" t="s">
        <v>6997</v>
      </c>
      <c r="BT368" t="str">
        <f>HYPERLINK("https%3A%2F%2Fwww.webofscience.com%2Fwos%2Fwoscc%2Ffull-record%2FWOS:000920544600001","View Full Record in Web of Science")</f>
        <v>View Full Record in Web of Science</v>
      </c>
    </row>
    <row r="369" spans="1:72" x14ac:dyDescent="0.15">
      <c r="A369" t="s">
        <v>72</v>
      </c>
      <c r="B369" t="s">
        <v>6998</v>
      </c>
      <c r="C369" t="s">
        <v>74</v>
      </c>
      <c r="D369" t="s">
        <v>74</v>
      </c>
      <c r="E369" t="s">
        <v>74</v>
      </c>
      <c r="F369" t="s">
        <v>6999</v>
      </c>
      <c r="G369" t="s">
        <v>74</v>
      </c>
      <c r="H369" t="s">
        <v>74</v>
      </c>
      <c r="I369" t="s">
        <v>7000</v>
      </c>
      <c r="J369" t="s">
        <v>7001</v>
      </c>
      <c r="K369" t="s">
        <v>74</v>
      </c>
      <c r="L369" t="s">
        <v>74</v>
      </c>
      <c r="M369" t="s">
        <v>78</v>
      </c>
      <c r="N369" t="s">
        <v>256</v>
      </c>
      <c r="O369" t="s">
        <v>74</v>
      </c>
      <c r="P369" t="s">
        <v>74</v>
      </c>
      <c r="Q369" t="s">
        <v>74</v>
      </c>
      <c r="R369" t="s">
        <v>74</v>
      </c>
      <c r="S369" t="s">
        <v>74</v>
      </c>
      <c r="T369" t="s">
        <v>7002</v>
      </c>
      <c r="U369" t="s">
        <v>7003</v>
      </c>
      <c r="V369" t="s">
        <v>7004</v>
      </c>
      <c r="W369" t="s">
        <v>7005</v>
      </c>
      <c r="X369" t="s">
        <v>7006</v>
      </c>
      <c r="Y369" t="s">
        <v>7007</v>
      </c>
      <c r="Z369" t="s">
        <v>7008</v>
      </c>
      <c r="AA369" t="s">
        <v>7009</v>
      </c>
      <c r="AB369" t="s">
        <v>7010</v>
      </c>
      <c r="AC369" t="s">
        <v>7011</v>
      </c>
      <c r="AD369" t="s">
        <v>7012</v>
      </c>
      <c r="AE369" t="s">
        <v>7013</v>
      </c>
      <c r="AF369" t="s">
        <v>74</v>
      </c>
      <c r="AG369">
        <v>120</v>
      </c>
      <c r="AH369">
        <v>2</v>
      </c>
      <c r="AI369">
        <v>2</v>
      </c>
      <c r="AJ369">
        <v>1</v>
      </c>
      <c r="AK369">
        <v>16</v>
      </c>
      <c r="AL369" t="s">
        <v>422</v>
      </c>
      <c r="AM369" t="s">
        <v>208</v>
      </c>
      <c r="AN369" t="s">
        <v>423</v>
      </c>
      <c r="AO369" t="s">
        <v>7014</v>
      </c>
      <c r="AP369" t="s">
        <v>7015</v>
      </c>
      <c r="AQ369" t="s">
        <v>74</v>
      </c>
      <c r="AR369" t="s">
        <v>7016</v>
      </c>
      <c r="AS369" t="s">
        <v>7017</v>
      </c>
      <c r="AT369" t="s">
        <v>7018</v>
      </c>
      <c r="AU369">
        <v>2023</v>
      </c>
      <c r="AV369">
        <v>80</v>
      </c>
      <c r="AW369">
        <v>1</v>
      </c>
      <c r="AX369" t="s">
        <v>74</v>
      </c>
      <c r="AY369" t="s">
        <v>74</v>
      </c>
      <c r="AZ369" t="s">
        <v>74</v>
      </c>
      <c r="BA369" t="s">
        <v>74</v>
      </c>
      <c r="BB369">
        <v>16</v>
      </c>
      <c r="BC369">
        <v>30</v>
      </c>
      <c r="BD369" t="s">
        <v>74</v>
      </c>
      <c r="BE369" t="s">
        <v>7019</v>
      </c>
      <c r="BF369" t="str">
        <f>HYPERLINK("http://dx.doi.org/10.1093/icesjms/fsac228","http://dx.doi.org/10.1093/icesjms/fsac228")</f>
        <v>http://dx.doi.org/10.1093/icesjms/fsac228</v>
      </c>
      <c r="BG369" t="s">
        <v>74</v>
      </c>
      <c r="BH369" t="s">
        <v>5796</v>
      </c>
      <c r="BI369">
        <v>15</v>
      </c>
      <c r="BJ369" t="s">
        <v>1019</v>
      </c>
      <c r="BK369" t="s">
        <v>104</v>
      </c>
      <c r="BL369" t="s">
        <v>1019</v>
      </c>
      <c r="BM369" t="s">
        <v>7020</v>
      </c>
      <c r="BN369" t="s">
        <v>74</v>
      </c>
      <c r="BO369" t="s">
        <v>7021</v>
      </c>
      <c r="BP369" t="s">
        <v>74</v>
      </c>
      <c r="BQ369" t="s">
        <v>74</v>
      </c>
      <c r="BR369" t="s">
        <v>108</v>
      </c>
      <c r="BS369" t="s">
        <v>7022</v>
      </c>
      <c r="BT369" t="str">
        <f>HYPERLINK("https%3A%2F%2Fwww.webofscience.com%2Fwos%2Fwoscc%2Ffull-record%2FWOS:000903145400001","View Full Record in Web of Science")</f>
        <v>View Full Record in Web of Science</v>
      </c>
    </row>
    <row r="370" spans="1:72" x14ac:dyDescent="0.15">
      <c r="A370" t="s">
        <v>72</v>
      </c>
      <c r="B370" t="s">
        <v>7023</v>
      </c>
      <c r="C370" t="s">
        <v>74</v>
      </c>
      <c r="D370" t="s">
        <v>74</v>
      </c>
      <c r="E370" t="s">
        <v>74</v>
      </c>
      <c r="F370" t="s">
        <v>7024</v>
      </c>
      <c r="G370" t="s">
        <v>74</v>
      </c>
      <c r="H370" t="s">
        <v>74</v>
      </c>
      <c r="I370" t="s">
        <v>7025</v>
      </c>
      <c r="J370" t="s">
        <v>7001</v>
      </c>
      <c r="K370" t="s">
        <v>74</v>
      </c>
      <c r="L370" t="s">
        <v>74</v>
      </c>
      <c r="M370" t="s">
        <v>78</v>
      </c>
      <c r="N370" t="s">
        <v>79</v>
      </c>
      <c r="O370" t="s">
        <v>74</v>
      </c>
      <c r="P370" t="s">
        <v>74</v>
      </c>
      <c r="Q370" t="s">
        <v>74</v>
      </c>
      <c r="R370" t="s">
        <v>74</v>
      </c>
      <c r="S370" t="s">
        <v>74</v>
      </c>
      <c r="T370" t="s">
        <v>7026</v>
      </c>
      <c r="U370" t="s">
        <v>7027</v>
      </c>
      <c r="V370" t="s">
        <v>7028</v>
      </c>
      <c r="W370" t="s">
        <v>7029</v>
      </c>
      <c r="X370" t="s">
        <v>7030</v>
      </c>
      <c r="Y370" t="s">
        <v>7031</v>
      </c>
      <c r="Z370" t="s">
        <v>7032</v>
      </c>
      <c r="AA370" t="s">
        <v>7033</v>
      </c>
      <c r="AB370" t="s">
        <v>7034</v>
      </c>
      <c r="AC370" t="s">
        <v>74</v>
      </c>
      <c r="AD370" t="s">
        <v>74</v>
      </c>
      <c r="AE370" t="s">
        <v>74</v>
      </c>
      <c r="AF370" t="s">
        <v>74</v>
      </c>
      <c r="AG370">
        <v>75</v>
      </c>
      <c r="AH370">
        <v>1</v>
      </c>
      <c r="AI370">
        <v>1</v>
      </c>
      <c r="AJ370">
        <v>1</v>
      </c>
      <c r="AK370">
        <v>3</v>
      </c>
      <c r="AL370" t="s">
        <v>422</v>
      </c>
      <c r="AM370" t="s">
        <v>208</v>
      </c>
      <c r="AN370" t="s">
        <v>423</v>
      </c>
      <c r="AO370" t="s">
        <v>7014</v>
      </c>
      <c r="AP370" t="s">
        <v>7015</v>
      </c>
      <c r="AQ370" t="s">
        <v>74</v>
      </c>
      <c r="AR370" t="s">
        <v>7016</v>
      </c>
      <c r="AS370" t="s">
        <v>7017</v>
      </c>
      <c r="AT370" t="s">
        <v>7018</v>
      </c>
      <c r="AU370">
        <v>2023</v>
      </c>
      <c r="AV370">
        <v>80</v>
      </c>
      <c r="AW370">
        <v>1</v>
      </c>
      <c r="AX370" t="s">
        <v>74</v>
      </c>
      <c r="AY370" t="s">
        <v>74</v>
      </c>
      <c r="AZ370" t="s">
        <v>74</v>
      </c>
      <c r="BA370" t="s">
        <v>74</v>
      </c>
      <c r="BB370">
        <v>107</v>
      </c>
      <c r="BC370">
        <v>121</v>
      </c>
      <c r="BD370" t="s">
        <v>74</v>
      </c>
      <c r="BE370" t="s">
        <v>7035</v>
      </c>
      <c r="BF370" t="str">
        <f>HYPERLINK("http://dx.doi.org/10.1093/icesjms/fsac216","http://dx.doi.org/10.1093/icesjms/fsac216")</f>
        <v>http://dx.doi.org/10.1093/icesjms/fsac216</v>
      </c>
      <c r="BG370" t="s">
        <v>74</v>
      </c>
      <c r="BH370" t="s">
        <v>5796</v>
      </c>
      <c r="BI370">
        <v>15</v>
      </c>
      <c r="BJ370" t="s">
        <v>1019</v>
      </c>
      <c r="BK370" t="s">
        <v>104</v>
      </c>
      <c r="BL370" t="s">
        <v>1019</v>
      </c>
      <c r="BM370" t="s">
        <v>7020</v>
      </c>
      <c r="BN370" t="s">
        <v>74</v>
      </c>
      <c r="BO370" t="s">
        <v>7036</v>
      </c>
      <c r="BP370" t="s">
        <v>74</v>
      </c>
      <c r="BQ370" t="s">
        <v>74</v>
      </c>
      <c r="BR370" t="s">
        <v>108</v>
      </c>
      <c r="BS370" t="s">
        <v>7037</v>
      </c>
      <c r="BT370" t="str">
        <f>HYPERLINK("https%3A%2F%2Fwww.webofscience.com%2Fwos%2Fwoscc%2Ffull-record%2FWOS:000901418400001","View Full Record in Web of Science")</f>
        <v>View Full Record in Web of Science</v>
      </c>
    </row>
    <row r="371" spans="1:72" x14ac:dyDescent="0.15">
      <c r="A371" t="s">
        <v>72</v>
      </c>
      <c r="B371" t="s">
        <v>7038</v>
      </c>
      <c r="C371" t="s">
        <v>74</v>
      </c>
      <c r="D371" t="s">
        <v>74</v>
      </c>
      <c r="E371" t="s">
        <v>74</v>
      </c>
      <c r="F371" t="s">
        <v>7039</v>
      </c>
      <c r="G371" t="s">
        <v>74</v>
      </c>
      <c r="H371" t="s">
        <v>74</v>
      </c>
      <c r="I371" t="s">
        <v>7040</v>
      </c>
      <c r="J371" t="s">
        <v>170</v>
      </c>
      <c r="K371" t="s">
        <v>74</v>
      </c>
      <c r="L371" t="s">
        <v>74</v>
      </c>
      <c r="M371" t="s">
        <v>78</v>
      </c>
      <c r="N371" t="s">
        <v>79</v>
      </c>
      <c r="O371" t="s">
        <v>74</v>
      </c>
      <c r="P371" t="s">
        <v>74</v>
      </c>
      <c r="Q371" t="s">
        <v>74</v>
      </c>
      <c r="R371" t="s">
        <v>74</v>
      </c>
      <c r="S371" t="s">
        <v>74</v>
      </c>
      <c r="T371" t="s">
        <v>74</v>
      </c>
      <c r="U371" t="s">
        <v>7041</v>
      </c>
      <c r="V371" t="s">
        <v>7042</v>
      </c>
      <c r="W371" t="s">
        <v>7043</v>
      </c>
      <c r="X371" t="s">
        <v>7044</v>
      </c>
      <c r="Y371" t="s">
        <v>7045</v>
      </c>
      <c r="Z371" t="s">
        <v>7046</v>
      </c>
      <c r="AA371" t="s">
        <v>7047</v>
      </c>
      <c r="AB371" t="s">
        <v>7048</v>
      </c>
      <c r="AC371" t="s">
        <v>7049</v>
      </c>
      <c r="AD371" t="s">
        <v>7050</v>
      </c>
      <c r="AE371" t="s">
        <v>7051</v>
      </c>
      <c r="AF371" t="s">
        <v>74</v>
      </c>
      <c r="AG371">
        <v>152</v>
      </c>
      <c r="AH371">
        <v>3</v>
      </c>
      <c r="AI371">
        <v>3</v>
      </c>
      <c r="AJ371">
        <v>3</v>
      </c>
      <c r="AK371">
        <v>5</v>
      </c>
      <c r="AL371" t="s">
        <v>182</v>
      </c>
      <c r="AM371" t="s">
        <v>183</v>
      </c>
      <c r="AN371" t="s">
        <v>184</v>
      </c>
      <c r="AO371" t="s">
        <v>185</v>
      </c>
      <c r="AP371" t="s">
        <v>74</v>
      </c>
      <c r="AQ371" t="s">
        <v>74</v>
      </c>
      <c r="AR371" t="s">
        <v>186</v>
      </c>
      <c r="AS371" t="s">
        <v>187</v>
      </c>
      <c r="AT371" t="s">
        <v>7052</v>
      </c>
      <c r="AU371">
        <v>2022</v>
      </c>
      <c r="AV371">
        <v>12</v>
      </c>
      <c r="AW371">
        <v>1</v>
      </c>
      <c r="AX371" t="s">
        <v>74</v>
      </c>
      <c r="AY371" t="s">
        <v>74</v>
      </c>
      <c r="AZ371" t="s">
        <v>74</v>
      </c>
      <c r="BA371" t="s">
        <v>74</v>
      </c>
      <c r="BB371" t="s">
        <v>74</v>
      </c>
      <c r="BC371" t="s">
        <v>74</v>
      </c>
      <c r="BD371">
        <v>22214</v>
      </c>
      <c r="BE371" t="s">
        <v>7053</v>
      </c>
      <c r="BF371" t="str">
        <f>HYPERLINK("http://dx.doi.org/10.1038/s41598-022-25929-1","http://dx.doi.org/10.1038/s41598-022-25929-1")</f>
        <v>http://dx.doi.org/10.1038/s41598-022-25929-1</v>
      </c>
      <c r="BG371" t="s">
        <v>74</v>
      </c>
      <c r="BH371" t="s">
        <v>74</v>
      </c>
      <c r="BI371">
        <v>15</v>
      </c>
      <c r="BJ371" t="s">
        <v>189</v>
      </c>
      <c r="BK371" t="s">
        <v>104</v>
      </c>
      <c r="BL371" t="s">
        <v>190</v>
      </c>
      <c r="BM371" t="s">
        <v>7054</v>
      </c>
      <c r="BN371">
        <v>36564393</v>
      </c>
      <c r="BO371" t="s">
        <v>192</v>
      </c>
      <c r="BP371" t="s">
        <v>74</v>
      </c>
      <c r="BQ371" t="s">
        <v>74</v>
      </c>
      <c r="BR371" t="s">
        <v>108</v>
      </c>
      <c r="BS371" t="s">
        <v>7055</v>
      </c>
      <c r="BT371" t="str">
        <f>HYPERLINK("https%3A%2F%2Fwww.webofscience.com%2Fwos%2Fwoscc%2Ffull-record%2FWOS:000965605400020","View Full Record in Web of Science")</f>
        <v>View Full Record in Web of Science</v>
      </c>
    </row>
    <row r="372" spans="1:72" x14ac:dyDescent="0.15">
      <c r="A372" t="s">
        <v>72</v>
      </c>
      <c r="B372" t="s">
        <v>7056</v>
      </c>
      <c r="C372" t="s">
        <v>74</v>
      </c>
      <c r="D372" t="s">
        <v>74</v>
      </c>
      <c r="E372" t="s">
        <v>74</v>
      </c>
      <c r="F372" t="s">
        <v>7057</v>
      </c>
      <c r="G372" t="s">
        <v>74</v>
      </c>
      <c r="H372" t="s">
        <v>74</v>
      </c>
      <c r="I372" t="s">
        <v>7058</v>
      </c>
      <c r="J372" t="s">
        <v>7059</v>
      </c>
      <c r="K372" t="s">
        <v>74</v>
      </c>
      <c r="L372" t="s">
        <v>74</v>
      </c>
      <c r="M372" t="s">
        <v>78</v>
      </c>
      <c r="N372" t="s">
        <v>6601</v>
      </c>
      <c r="O372" t="s">
        <v>74</v>
      </c>
      <c r="P372" t="s">
        <v>74</v>
      </c>
      <c r="Q372" t="s">
        <v>74</v>
      </c>
      <c r="R372" t="s">
        <v>74</v>
      </c>
      <c r="S372" t="s">
        <v>74</v>
      </c>
      <c r="T372" t="s">
        <v>7060</v>
      </c>
      <c r="U372" t="s">
        <v>74</v>
      </c>
      <c r="V372" t="s">
        <v>7061</v>
      </c>
      <c r="W372" t="s">
        <v>7062</v>
      </c>
      <c r="X372" t="s">
        <v>7063</v>
      </c>
      <c r="Y372" t="s">
        <v>7064</v>
      </c>
      <c r="Z372" t="s">
        <v>7065</v>
      </c>
      <c r="AA372" t="s">
        <v>7066</v>
      </c>
      <c r="AB372" t="s">
        <v>7067</v>
      </c>
      <c r="AC372" t="s">
        <v>7068</v>
      </c>
      <c r="AD372" t="s">
        <v>7068</v>
      </c>
      <c r="AE372" t="s">
        <v>7069</v>
      </c>
      <c r="AF372" t="s">
        <v>74</v>
      </c>
      <c r="AG372">
        <v>7</v>
      </c>
      <c r="AH372">
        <v>0</v>
      </c>
      <c r="AI372">
        <v>0</v>
      </c>
      <c r="AJ372">
        <v>2</v>
      </c>
      <c r="AK372">
        <v>2</v>
      </c>
      <c r="AL372" t="s">
        <v>237</v>
      </c>
      <c r="AM372" t="s">
        <v>238</v>
      </c>
      <c r="AN372" t="s">
        <v>239</v>
      </c>
      <c r="AO372" t="s">
        <v>7070</v>
      </c>
      <c r="AP372" t="s">
        <v>74</v>
      </c>
      <c r="AQ372" t="s">
        <v>74</v>
      </c>
      <c r="AR372" t="s">
        <v>7071</v>
      </c>
      <c r="AS372" t="s">
        <v>7072</v>
      </c>
      <c r="AT372" t="s">
        <v>99</v>
      </c>
      <c r="AU372">
        <v>2023</v>
      </c>
      <c r="AV372">
        <v>46</v>
      </c>
      <c r="AW372" t="s">
        <v>74</v>
      </c>
      <c r="AX372" t="s">
        <v>74</v>
      </c>
      <c r="AY372" t="s">
        <v>74</v>
      </c>
      <c r="AZ372" t="s">
        <v>74</v>
      </c>
      <c r="BA372" t="s">
        <v>74</v>
      </c>
      <c r="BB372" t="s">
        <v>74</v>
      </c>
      <c r="BC372" t="s">
        <v>74</v>
      </c>
      <c r="BD372">
        <v>108834</v>
      </c>
      <c r="BE372" t="s">
        <v>7073</v>
      </c>
      <c r="BF372" t="str">
        <f>HYPERLINK("http://dx.doi.org/10.1016/j.dib.2022.108834","http://dx.doi.org/10.1016/j.dib.2022.108834")</f>
        <v>http://dx.doi.org/10.1016/j.dib.2022.108834</v>
      </c>
      <c r="BG372" t="s">
        <v>74</v>
      </c>
      <c r="BH372" t="s">
        <v>5796</v>
      </c>
      <c r="BI372">
        <v>7</v>
      </c>
      <c r="BJ372" t="s">
        <v>189</v>
      </c>
      <c r="BK372" t="s">
        <v>757</v>
      </c>
      <c r="BL372" t="s">
        <v>190</v>
      </c>
      <c r="BM372" t="s">
        <v>7074</v>
      </c>
      <c r="BN372">
        <v>36591383</v>
      </c>
      <c r="BO372" t="s">
        <v>192</v>
      </c>
      <c r="BP372" t="s">
        <v>74</v>
      </c>
      <c r="BQ372" t="s">
        <v>74</v>
      </c>
      <c r="BR372" t="s">
        <v>108</v>
      </c>
      <c r="BS372" t="s">
        <v>7075</v>
      </c>
      <c r="BT372" t="str">
        <f>HYPERLINK("https%3A%2F%2Fwww.webofscience.com%2Fwos%2Fwoscc%2Ffull-record%2FWOS:000916562500001","View Full Record in Web of Science")</f>
        <v>View Full Record in Web of Science</v>
      </c>
    </row>
    <row r="373" spans="1:72" x14ac:dyDescent="0.15">
      <c r="A373" t="s">
        <v>72</v>
      </c>
      <c r="B373" t="s">
        <v>7076</v>
      </c>
      <c r="C373" t="s">
        <v>74</v>
      </c>
      <c r="D373" t="s">
        <v>74</v>
      </c>
      <c r="E373" t="s">
        <v>74</v>
      </c>
      <c r="F373" t="s">
        <v>7077</v>
      </c>
      <c r="G373" t="s">
        <v>74</v>
      </c>
      <c r="H373" t="s">
        <v>74</v>
      </c>
      <c r="I373" t="s">
        <v>7078</v>
      </c>
      <c r="J373" t="s">
        <v>7079</v>
      </c>
      <c r="K373" t="s">
        <v>74</v>
      </c>
      <c r="L373" t="s">
        <v>74</v>
      </c>
      <c r="M373" t="s">
        <v>78</v>
      </c>
      <c r="N373" t="s">
        <v>79</v>
      </c>
      <c r="O373" t="s">
        <v>74</v>
      </c>
      <c r="P373" t="s">
        <v>74</v>
      </c>
      <c r="Q373" t="s">
        <v>74</v>
      </c>
      <c r="R373" t="s">
        <v>74</v>
      </c>
      <c r="S373" t="s">
        <v>74</v>
      </c>
      <c r="T373" t="s">
        <v>7080</v>
      </c>
      <c r="U373" t="s">
        <v>7081</v>
      </c>
      <c r="V373" t="s">
        <v>7082</v>
      </c>
      <c r="W373" t="s">
        <v>7083</v>
      </c>
      <c r="X373" t="s">
        <v>7084</v>
      </c>
      <c r="Y373" t="s">
        <v>7085</v>
      </c>
      <c r="Z373" t="s">
        <v>7086</v>
      </c>
      <c r="AA373" t="s">
        <v>7087</v>
      </c>
      <c r="AB373" t="s">
        <v>7088</v>
      </c>
      <c r="AC373" t="s">
        <v>7089</v>
      </c>
      <c r="AD373" t="s">
        <v>7090</v>
      </c>
      <c r="AE373" t="s">
        <v>7091</v>
      </c>
      <c r="AF373" t="s">
        <v>74</v>
      </c>
      <c r="AG373">
        <v>156</v>
      </c>
      <c r="AH373">
        <v>4</v>
      </c>
      <c r="AI373">
        <v>4</v>
      </c>
      <c r="AJ373">
        <v>8</v>
      </c>
      <c r="AK373">
        <v>18</v>
      </c>
      <c r="AL373" t="s">
        <v>237</v>
      </c>
      <c r="AM373" t="s">
        <v>238</v>
      </c>
      <c r="AN373" t="s">
        <v>239</v>
      </c>
      <c r="AO373" t="s">
        <v>7092</v>
      </c>
      <c r="AP373" t="s">
        <v>7093</v>
      </c>
      <c r="AQ373" t="s">
        <v>74</v>
      </c>
      <c r="AR373" t="s">
        <v>7094</v>
      </c>
      <c r="AS373" t="s">
        <v>7095</v>
      </c>
      <c r="AT373" t="s">
        <v>276</v>
      </c>
      <c r="AU373">
        <v>2023</v>
      </c>
      <c r="AV373">
        <v>236</v>
      </c>
      <c r="AW373" t="s">
        <v>74</v>
      </c>
      <c r="AX373" t="s">
        <v>74</v>
      </c>
      <c r="AY373" t="s">
        <v>74</v>
      </c>
      <c r="AZ373" t="s">
        <v>74</v>
      </c>
      <c r="BA373" t="s">
        <v>74</v>
      </c>
      <c r="BB373" t="s">
        <v>74</v>
      </c>
      <c r="BC373" t="s">
        <v>74</v>
      </c>
      <c r="BD373">
        <v>104277</v>
      </c>
      <c r="BE373" t="s">
        <v>7096</v>
      </c>
      <c r="BF373" t="str">
        <f>HYPERLINK("http://dx.doi.org/10.1016/j.earscirev.2022.104277","http://dx.doi.org/10.1016/j.earscirev.2022.104277")</f>
        <v>http://dx.doi.org/10.1016/j.earscirev.2022.104277</v>
      </c>
      <c r="BG373" t="s">
        <v>74</v>
      </c>
      <c r="BH373" t="s">
        <v>5796</v>
      </c>
      <c r="BI373">
        <v>22</v>
      </c>
      <c r="BJ373" t="s">
        <v>455</v>
      </c>
      <c r="BK373" t="s">
        <v>104</v>
      </c>
      <c r="BL373" t="s">
        <v>456</v>
      </c>
      <c r="BM373" t="s">
        <v>7097</v>
      </c>
      <c r="BN373" t="s">
        <v>74</v>
      </c>
      <c r="BO373" t="s">
        <v>219</v>
      </c>
      <c r="BP373" t="s">
        <v>74</v>
      </c>
      <c r="BQ373" t="s">
        <v>74</v>
      </c>
      <c r="BR373" t="s">
        <v>108</v>
      </c>
      <c r="BS373" t="s">
        <v>7098</v>
      </c>
      <c r="BT373" t="str">
        <f>HYPERLINK("https%3A%2F%2Fwww.webofscience.com%2Fwos%2Fwoscc%2Ffull-record%2FWOS:000911751000001","View Full Record in Web of Science")</f>
        <v>View Full Record in Web of Science</v>
      </c>
    </row>
    <row r="374" spans="1:72" x14ac:dyDescent="0.15">
      <c r="A374" t="s">
        <v>72</v>
      </c>
      <c r="B374" t="s">
        <v>7099</v>
      </c>
      <c r="C374" t="s">
        <v>74</v>
      </c>
      <c r="D374" t="s">
        <v>74</v>
      </c>
      <c r="E374" t="s">
        <v>74</v>
      </c>
      <c r="F374" t="s">
        <v>7100</v>
      </c>
      <c r="G374" t="s">
        <v>74</v>
      </c>
      <c r="H374" t="s">
        <v>74</v>
      </c>
      <c r="I374" t="s">
        <v>7101</v>
      </c>
      <c r="J374" t="s">
        <v>7102</v>
      </c>
      <c r="K374" t="s">
        <v>74</v>
      </c>
      <c r="L374" t="s">
        <v>74</v>
      </c>
      <c r="M374" t="s">
        <v>78</v>
      </c>
      <c r="N374" t="s">
        <v>79</v>
      </c>
      <c r="O374" t="s">
        <v>74</v>
      </c>
      <c r="P374" t="s">
        <v>74</v>
      </c>
      <c r="Q374" t="s">
        <v>74</v>
      </c>
      <c r="R374" t="s">
        <v>74</v>
      </c>
      <c r="S374" t="s">
        <v>74</v>
      </c>
      <c r="T374" t="s">
        <v>7103</v>
      </c>
      <c r="U374" t="s">
        <v>7104</v>
      </c>
      <c r="V374" t="s">
        <v>7105</v>
      </c>
      <c r="W374" t="s">
        <v>7106</v>
      </c>
      <c r="X374" t="s">
        <v>7107</v>
      </c>
      <c r="Y374" t="s">
        <v>7108</v>
      </c>
      <c r="Z374" t="s">
        <v>7109</v>
      </c>
      <c r="AA374" t="s">
        <v>7110</v>
      </c>
      <c r="AB374" t="s">
        <v>7111</v>
      </c>
      <c r="AC374" t="s">
        <v>7112</v>
      </c>
      <c r="AD374" t="s">
        <v>7113</v>
      </c>
      <c r="AE374" t="s">
        <v>7114</v>
      </c>
      <c r="AF374" t="s">
        <v>74</v>
      </c>
      <c r="AG374">
        <v>69</v>
      </c>
      <c r="AH374">
        <v>3</v>
      </c>
      <c r="AI374">
        <v>3</v>
      </c>
      <c r="AJ374">
        <v>4</v>
      </c>
      <c r="AK374">
        <v>10</v>
      </c>
      <c r="AL374" t="s">
        <v>448</v>
      </c>
      <c r="AM374" t="s">
        <v>449</v>
      </c>
      <c r="AN374" t="s">
        <v>450</v>
      </c>
      <c r="AO374" t="s">
        <v>74</v>
      </c>
      <c r="AP374" t="s">
        <v>7115</v>
      </c>
      <c r="AQ374" t="s">
        <v>74</v>
      </c>
      <c r="AR374" t="s">
        <v>7116</v>
      </c>
      <c r="AS374" t="s">
        <v>7117</v>
      </c>
      <c r="AT374" t="s">
        <v>7052</v>
      </c>
      <c r="AU374">
        <v>2022</v>
      </c>
      <c r="AV374">
        <v>9</v>
      </c>
      <c r="AW374" t="s">
        <v>74</v>
      </c>
      <c r="AX374" t="s">
        <v>74</v>
      </c>
      <c r="AY374" t="s">
        <v>74</v>
      </c>
      <c r="AZ374" t="s">
        <v>74</v>
      </c>
      <c r="BA374" t="s">
        <v>74</v>
      </c>
      <c r="BB374" t="s">
        <v>74</v>
      </c>
      <c r="BC374" t="s">
        <v>74</v>
      </c>
      <c r="BD374">
        <v>1076885</v>
      </c>
      <c r="BE374" t="s">
        <v>7118</v>
      </c>
      <c r="BF374" t="str">
        <f>HYPERLINK("http://dx.doi.org/10.3389/fmars.2022.1076885","http://dx.doi.org/10.3389/fmars.2022.1076885")</f>
        <v>http://dx.doi.org/10.3389/fmars.2022.1076885</v>
      </c>
      <c r="BG374" t="s">
        <v>74</v>
      </c>
      <c r="BH374" t="s">
        <v>74</v>
      </c>
      <c r="BI374">
        <v>12</v>
      </c>
      <c r="BJ374" t="s">
        <v>6728</v>
      </c>
      <c r="BK374" t="s">
        <v>104</v>
      </c>
      <c r="BL374" t="s">
        <v>6729</v>
      </c>
      <c r="BM374" t="s">
        <v>7119</v>
      </c>
      <c r="BN374" t="s">
        <v>74</v>
      </c>
      <c r="BO374" t="s">
        <v>192</v>
      </c>
      <c r="BP374" t="s">
        <v>74</v>
      </c>
      <c r="BQ374" t="s">
        <v>74</v>
      </c>
      <c r="BR374" t="s">
        <v>108</v>
      </c>
      <c r="BS374" t="s">
        <v>7120</v>
      </c>
      <c r="BT374" t="str">
        <f>HYPERLINK("https%3A%2F%2Fwww.webofscience.com%2Fwos%2Fwoscc%2Ffull-record%2FWOS:000908019000001","View Full Record in Web of Science")</f>
        <v>View Full Record in Web of Science</v>
      </c>
    </row>
    <row r="375" spans="1:72" x14ac:dyDescent="0.15">
      <c r="A375" t="s">
        <v>72</v>
      </c>
      <c r="B375" t="s">
        <v>7121</v>
      </c>
      <c r="C375" t="s">
        <v>74</v>
      </c>
      <c r="D375" t="s">
        <v>74</v>
      </c>
      <c r="E375" t="s">
        <v>74</v>
      </c>
      <c r="F375" t="s">
        <v>7122</v>
      </c>
      <c r="G375" t="s">
        <v>74</v>
      </c>
      <c r="H375" t="s">
        <v>74</v>
      </c>
      <c r="I375" t="s">
        <v>7123</v>
      </c>
      <c r="J375" t="s">
        <v>7124</v>
      </c>
      <c r="K375" t="s">
        <v>74</v>
      </c>
      <c r="L375" t="s">
        <v>74</v>
      </c>
      <c r="M375" t="s">
        <v>78</v>
      </c>
      <c r="N375" t="s">
        <v>79</v>
      </c>
      <c r="O375" t="s">
        <v>74</v>
      </c>
      <c r="P375" t="s">
        <v>74</v>
      </c>
      <c r="Q375" t="s">
        <v>74</v>
      </c>
      <c r="R375" t="s">
        <v>74</v>
      </c>
      <c r="S375" t="s">
        <v>74</v>
      </c>
      <c r="T375" t="s">
        <v>74</v>
      </c>
      <c r="U375" t="s">
        <v>7125</v>
      </c>
      <c r="V375" t="s">
        <v>7126</v>
      </c>
      <c r="W375" t="s">
        <v>7127</v>
      </c>
      <c r="X375" t="s">
        <v>7128</v>
      </c>
      <c r="Y375" t="s">
        <v>7129</v>
      </c>
      <c r="Z375" t="s">
        <v>7130</v>
      </c>
      <c r="AA375" t="s">
        <v>7131</v>
      </c>
      <c r="AB375" t="s">
        <v>7132</v>
      </c>
      <c r="AC375" t="s">
        <v>7133</v>
      </c>
      <c r="AD375" t="s">
        <v>7134</v>
      </c>
      <c r="AE375" t="s">
        <v>7135</v>
      </c>
      <c r="AF375" t="s">
        <v>74</v>
      </c>
      <c r="AG375">
        <v>81</v>
      </c>
      <c r="AH375">
        <v>8</v>
      </c>
      <c r="AI375">
        <v>8</v>
      </c>
      <c r="AJ375">
        <v>10</v>
      </c>
      <c r="AK375">
        <v>24</v>
      </c>
      <c r="AL375" t="s">
        <v>126</v>
      </c>
      <c r="AM375" t="s">
        <v>127</v>
      </c>
      <c r="AN375" t="s">
        <v>128</v>
      </c>
      <c r="AO375" t="s">
        <v>7136</v>
      </c>
      <c r="AP375" t="s">
        <v>7137</v>
      </c>
      <c r="AQ375" t="s">
        <v>74</v>
      </c>
      <c r="AR375" t="s">
        <v>7138</v>
      </c>
      <c r="AS375" t="s">
        <v>7139</v>
      </c>
      <c r="AT375" t="s">
        <v>7052</v>
      </c>
      <c r="AU375">
        <v>2022</v>
      </c>
      <c r="AV375">
        <v>14</v>
      </c>
      <c r="AW375">
        <v>12</v>
      </c>
      <c r="AX375" t="s">
        <v>74</v>
      </c>
      <c r="AY375" t="s">
        <v>74</v>
      </c>
      <c r="AZ375" t="s">
        <v>74</v>
      </c>
      <c r="BA375" t="s">
        <v>74</v>
      </c>
      <c r="BB375">
        <v>5737</v>
      </c>
      <c r="BC375">
        <v>5770</v>
      </c>
      <c r="BD375" t="s">
        <v>74</v>
      </c>
      <c r="BE375" t="s">
        <v>7140</v>
      </c>
      <c r="BF375" t="str">
        <f>HYPERLINK("http://dx.doi.org/10.5194/essd-14-5737-2022","http://dx.doi.org/10.5194/essd-14-5737-2022")</f>
        <v>http://dx.doi.org/10.5194/essd-14-5737-2022</v>
      </c>
      <c r="BG375" t="s">
        <v>74</v>
      </c>
      <c r="BH375" t="s">
        <v>74</v>
      </c>
      <c r="BI375">
        <v>34</v>
      </c>
      <c r="BJ375" t="s">
        <v>135</v>
      </c>
      <c r="BK375" t="s">
        <v>104</v>
      </c>
      <c r="BL375" t="s">
        <v>136</v>
      </c>
      <c r="BM375" t="s">
        <v>7141</v>
      </c>
      <c r="BN375" t="s">
        <v>74</v>
      </c>
      <c r="BO375" t="s">
        <v>7142</v>
      </c>
      <c r="BP375" t="s">
        <v>74</v>
      </c>
      <c r="BQ375" t="s">
        <v>74</v>
      </c>
      <c r="BR375" t="s">
        <v>108</v>
      </c>
      <c r="BS375" t="s">
        <v>7143</v>
      </c>
      <c r="BT375" t="str">
        <f>HYPERLINK("https%3A%2F%2Fwww.webofscience.com%2Fwos%2Fwoscc%2Ffull-record%2FWOS:000903343100001","View Full Record in Web of Science")</f>
        <v>View Full Record in Web of Science</v>
      </c>
    </row>
    <row r="376" spans="1:72" x14ac:dyDescent="0.15">
      <c r="A376" t="s">
        <v>72</v>
      </c>
      <c r="B376" t="s">
        <v>7144</v>
      </c>
      <c r="C376" t="s">
        <v>74</v>
      </c>
      <c r="D376" t="s">
        <v>74</v>
      </c>
      <c r="E376" t="s">
        <v>74</v>
      </c>
      <c r="F376" t="s">
        <v>7145</v>
      </c>
      <c r="G376" t="s">
        <v>74</v>
      </c>
      <c r="H376" t="s">
        <v>74</v>
      </c>
      <c r="I376" t="s">
        <v>7146</v>
      </c>
      <c r="J376" t="s">
        <v>7102</v>
      </c>
      <c r="K376" t="s">
        <v>74</v>
      </c>
      <c r="L376" t="s">
        <v>74</v>
      </c>
      <c r="M376" t="s">
        <v>78</v>
      </c>
      <c r="N376" t="s">
        <v>79</v>
      </c>
      <c r="O376" t="s">
        <v>74</v>
      </c>
      <c r="P376" t="s">
        <v>74</v>
      </c>
      <c r="Q376" t="s">
        <v>74</v>
      </c>
      <c r="R376" t="s">
        <v>74</v>
      </c>
      <c r="S376" t="s">
        <v>74</v>
      </c>
      <c r="T376" t="s">
        <v>7147</v>
      </c>
      <c r="U376" t="s">
        <v>7148</v>
      </c>
      <c r="V376" t="s">
        <v>7149</v>
      </c>
      <c r="W376" t="s">
        <v>7150</v>
      </c>
      <c r="X376" t="s">
        <v>7151</v>
      </c>
      <c r="Y376" t="s">
        <v>7152</v>
      </c>
      <c r="Z376" t="s">
        <v>7153</v>
      </c>
      <c r="AA376" t="s">
        <v>7154</v>
      </c>
      <c r="AB376" t="s">
        <v>7155</v>
      </c>
      <c r="AC376" t="s">
        <v>74</v>
      </c>
      <c r="AD376" t="s">
        <v>74</v>
      </c>
      <c r="AE376" t="s">
        <v>74</v>
      </c>
      <c r="AF376" t="s">
        <v>74</v>
      </c>
      <c r="AG376">
        <v>57</v>
      </c>
      <c r="AH376">
        <v>1</v>
      </c>
      <c r="AI376">
        <v>1</v>
      </c>
      <c r="AJ376">
        <v>0</v>
      </c>
      <c r="AK376">
        <v>0</v>
      </c>
      <c r="AL376" t="s">
        <v>448</v>
      </c>
      <c r="AM376" t="s">
        <v>449</v>
      </c>
      <c r="AN376" t="s">
        <v>450</v>
      </c>
      <c r="AO376" t="s">
        <v>74</v>
      </c>
      <c r="AP376" t="s">
        <v>7115</v>
      </c>
      <c r="AQ376" t="s">
        <v>74</v>
      </c>
      <c r="AR376" t="s">
        <v>7116</v>
      </c>
      <c r="AS376" t="s">
        <v>7117</v>
      </c>
      <c r="AT376" t="s">
        <v>7052</v>
      </c>
      <c r="AU376">
        <v>2022</v>
      </c>
      <c r="AV376">
        <v>9</v>
      </c>
      <c r="AW376" t="s">
        <v>74</v>
      </c>
      <c r="AX376" t="s">
        <v>74</v>
      </c>
      <c r="AY376" t="s">
        <v>74</v>
      </c>
      <c r="AZ376" t="s">
        <v>74</v>
      </c>
      <c r="BA376" t="s">
        <v>74</v>
      </c>
      <c r="BB376" t="s">
        <v>74</v>
      </c>
      <c r="BC376" t="s">
        <v>74</v>
      </c>
      <c r="BD376">
        <v>1064181</v>
      </c>
      <c r="BE376" t="s">
        <v>7156</v>
      </c>
      <c r="BF376" t="str">
        <f>HYPERLINK("http://dx.doi.org/10.3389/fmars.2022.1064181","http://dx.doi.org/10.3389/fmars.2022.1064181")</f>
        <v>http://dx.doi.org/10.3389/fmars.2022.1064181</v>
      </c>
      <c r="BG376" t="s">
        <v>74</v>
      </c>
      <c r="BH376" t="s">
        <v>74</v>
      </c>
      <c r="BI376">
        <v>14</v>
      </c>
      <c r="BJ376" t="s">
        <v>6728</v>
      </c>
      <c r="BK376" t="s">
        <v>104</v>
      </c>
      <c r="BL376" t="s">
        <v>6729</v>
      </c>
      <c r="BM376" t="s">
        <v>7157</v>
      </c>
      <c r="BN376" t="s">
        <v>74</v>
      </c>
      <c r="BO376" t="s">
        <v>165</v>
      </c>
      <c r="BP376" t="s">
        <v>74</v>
      </c>
      <c r="BQ376" t="s">
        <v>74</v>
      </c>
      <c r="BR376" t="s">
        <v>108</v>
      </c>
      <c r="BS376" t="s">
        <v>7158</v>
      </c>
      <c r="BT376" t="str">
        <f>HYPERLINK("https%3A%2F%2Fwww.webofscience.com%2Fwos%2Fwoscc%2Ffull-record%2FWOS:000907897300001","View Full Record in Web of Science")</f>
        <v>View Full Record in Web of Science</v>
      </c>
    </row>
    <row r="377" spans="1:72" x14ac:dyDescent="0.15">
      <c r="A377" t="s">
        <v>72</v>
      </c>
      <c r="B377" t="s">
        <v>7159</v>
      </c>
      <c r="C377" t="s">
        <v>74</v>
      </c>
      <c r="D377" t="s">
        <v>74</v>
      </c>
      <c r="E377" t="s">
        <v>74</v>
      </c>
      <c r="F377" t="s">
        <v>7160</v>
      </c>
      <c r="G377" t="s">
        <v>74</v>
      </c>
      <c r="H377" t="s">
        <v>74</v>
      </c>
      <c r="I377" t="s">
        <v>7161</v>
      </c>
      <c r="J377" t="s">
        <v>7162</v>
      </c>
      <c r="K377" t="s">
        <v>74</v>
      </c>
      <c r="L377" t="s">
        <v>74</v>
      </c>
      <c r="M377" t="s">
        <v>78</v>
      </c>
      <c r="N377" t="s">
        <v>79</v>
      </c>
      <c r="O377" t="s">
        <v>74</v>
      </c>
      <c r="P377" t="s">
        <v>74</v>
      </c>
      <c r="Q377" t="s">
        <v>74</v>
      </c>
      <c r="R377" t="s">
        <v>74</v>
      </c>
      <c r="S377" t="s">
        <v>74</v>
      </c>
      <c r="T377" t="s">
        <v>74</v>
      </c>
      <c r="U377" t="s">
        <v>7163</v>
      </c>
      <c r="V377" t="s">
        <v>7164</v>
      </c>
      <c r="W377" t="s">
        <v>7165</v>
      </c>
      <c r="X377" t="s">
        <v>7166</v>
      </c>
      <c r="Y377" t="s">
        <v>7167</v>
      </c>
      <c r="Z377" t="s">
        <v>7168</v>
      </c>
      <c r="AA377" t="s">
        <v>7169</v>
      </c>
      <c r="AB377" t="s">
        <v>7170</v>
      </c>
      <c r="AC377" t="s">
        <v>7171</v>
      </c>
      <c r="AD377" t="s">
        <v>7172</v>
      </c>
      <c r="AE377" t="s">
        <v>7173</v>
      </c>
      <c r="AF377" t="s">
        <v>74</v>
      </c>
      <c r="AG377">
        <v>103</v>
      </c>
      <c r="AH377">
        <v>3</v>
      </c>
      <c r="AI377">
        <v>3</v>
      </c>
      <c r="AJ377">
        <v>2</v>
      </c>
      <c r="AK377">
        <v>7</v>
      </c>
      <c r="AL377" t="s">
        <v>297</v>
      </c>
      <c r="AM377" t="s">
        <v>298</v>
      </c>
      <c r="AN377" t="s">
        <v>299</v>
      </c>
      <c r="AO377" t="s">
        <v>7174</v>
      </c>
      <c r="AP377" t="s">
        <v>7175</v>
      </c>
      <c r="AQ377" t="s">
        <v>74</v>
      </c>
      <c r="AR377" t="s">
        <v>7176</v>
      </c>
      <c r="AS377" t="s">
        <v>7177</v>
      </c>
      <c r="AT377" t="s">
        <v>214</v>
      </c>
      <c r="AU377">
        <v>2023</v>
      </c>
      <c r="AV377">
        <v>25</v>
      </c>
      <c r="AW377">
        <v>3</v>
      </c>
      <c r="AX377" t="s">
        <v>74</v>
      </c>
      <c r="AY377" t="s">
        <v>74</v>
      </c>
      <c r="AZ377" t="s">
        <v>74</v>
      </c>
      <c r="BA377" t="s">
        <v>74</v>
      </c>
      <c r="BB377">
        <v>646</v>
      </c>
      <c r="BC377">
        <v>660</v>
      </c>
      <c r="BD377" t="s">
        <v>74</v>
      </c>
      <c r="BE377" t="s">
        <v>7178</v>
      </c>
      <c r="BF377" t="str">
        <f>HYPERLINK("http://dx.doi.org/10.1111/1462-2920.16302","http://dx.doi.org/10.1111/1462-2920.16302")</f>
        <v>http://dx.doi.org/10.1111/1462-2920.16302</v>
      </c>
      <c r="BG377" t="s">
        <v>74</v>
      </c>
      <c r="BH377" t="s">
        <v>5796</v>
      </c>
      <c r="BI377">
        <v>15</v>
      </c>
      <c r="BJ377" t="s">
        <v>1699</v>
      </c>
      <c r="BK377" t="s">
        <v>104</v>
      </c>
      <c r="BL377" t="s">
        <v>1699</v>
      </c>
      <c r="BM377" t="s">
        <v>7179</v>
      </c>
      <c r="BN377">
        <v>36480164</v>
      </c>
      <c r="BO377" t="s">
        <v>219</v>
      </c>
      <c r="BP377" t="s">
        <v>74</v>
      </c>
      <c r="BQ377" t="s">
        <v>74</v>
      </c>
      <c r="BR377" t="s">
        <v>108</v>
      </c>
      <c r="BS377" t="s">
        <v>7180</v>
      </c>
      <c r="BT377" t="str">
        <f>HYPERLINK("https%3A%2F%2Fwww.webofscience.com%2Fwos%2Fwoscc%2Ffull-record%2FWOS:000903365500001","View Full Record in Web of Science")</f>
        <v>View Full Record in Web of Science</v>
      </c>
    </row>
    <row r="378" spans="1:72" x14ac:dyDescent="0.15">
      <c r="A378" t="s">
        <v>72</v>
      </c>
      <c r="B378" t="s">
        <v>7181</v>
      </c>
      <c r="C378" t="s">
        <v>74</v>
      </c>
      <c r="D378" t="s">
        <v>74</v>
      </c>
      <c r="E378" t="s">
        <v>74</v>
      </c>
      <c r="F378" t="s">
        <v>7182</v>
      </c>
      <c r="G378" t="s">
        <v>74</v>
      </c>
      <c r="H378" t="s">
        <v>74</v>
      </c>
      <c r="I378" t="s">
        <v>7183</v>
      </c>
      <c r="J378" t="s">
        <v>7184</v>
      </c>
      <c r="K378" t="s">
        <v>74</v>
      </c>
      <c r="L378" t="s">
        <v>74</v>
      </c>
      <c r="M378" t="s">
        <v>78</v>
      </c>
      <c r="N378" t="s">
        <v>79</v>
      </c>
      <c r="O378" t="s">
        <v>74</v>
      </c>
      <c r="P378" t="s">
        <v>74</v>
      </c>
      <c r="Q378" t="s">
        <v>74</v>
      </c>
      <c r="R378" t="s">
        <v>74</v>
      </c>
      <c r="S378" t="s">
        <v>74</v>
      </c>
      <c r="T378" t="s">
        <v>7185</v>
      </c>
      <c r="U378" t="s">
        <v>7186</v>
      </c>
      <c r="V378" t="s">
        <v>7187</v>
      </c>
      <c r="W378" t="s">
        <v>7188</v>
      </c>
      <c r="X378" t="s">
        <v>7189</v>
      </c>
      <c r="Y378" t="s">
        <v>7190</v>
      </c>
      <c r="Z378" t="s">
        <v>7191</v>
      </c>
      <c r="AA378" t="s">
        <v>7192</v>
      </c>
      <c r="AB378" t="s">
        <v>7193</v>
      </c>
      <c r="AC378" t="s">
        <v>7194</v>
      </c>
      <c r="AD378" t="s">
        <v>7195</v>
      </c>
      <c r="AE378" t="s">
        <v>7196</v>
      </c>
      <c r="AF378" t="s">
        <v>74</v>
      </c>
      <c r="AG378">
        <v>84</v>
      </c>
      <c r="AH378">
        <v>1</v>
      </c>
      <c r="AI378">
        <v>1</v>
      </c>
      <c r="AJ378">
        <v>0</v>
      </c>
      <c r="AK378">
        <v>9</v>
      </c>
      <c r="AL378" t="s">
        <v>297</v>
      </c>
      <c r="AM378" t="s">
        <v>298</v>
      </c>
      <c r="AN378" t="s">
        <v>299</v>
      </c>
      <c r="AO378" t="s">
        <v>7197</v>
      </c>
      <c r="AP378" t="s">
        <v>7198</v>
      </c>
      <c r="AQ378" t="s">
        <v>74</v>
      </c>
      <c r="AR378" t="s">
        <v>7184</v>
      </c>
      <c r="AS378" t="s">
        <v>7199</v>
      </c>
      <c r="AT378" t="s">
        <v>244</v>
      </c>
      <c r="AU378">
        <v>2023</v>
      </c>
      <c r="AV378">
        <v>2023</v>
      </c>
      <c r="AW378">
        <v>4</v>
      </c>
      <c r="AX378" t="s">
        <v>74</v>
      </c>
      <c r="AY378" t="s">
        <v>74</v>
      </c>
      <c r="AZ378" t="s">
        <v>74</v>
      </c>
      <c r="BA378" t="s">
        <v>74</v>
      </c>
      <c r="BB378" t="s">
        <v>74</v>
      </c>
      <c r="BC378" t="s">
        <v>74</v>
      </c>
      <c r="BD378" t="s">
        <v>74</v>
      </c>
      <c r="BE378" t="s">
        <v>7200</v>
      </c>
      <c r="BF378" t="str">
        <f>HYPERLINK("http://dx.doi.org/10.1111/oik.09617","http://dx.doi.org/10.1111/oik.09617")</f>
        <v>http://dx.doi.org/10.1111/oik.09617</v>
      </c>
      <c r="BG378" t="s">
        <v>74</v>
      </c>
      <c r="BH378" t="s">
        <v>5796</v>
      </c>
      <c r="BI378">
        <v>13</v>
      </c>
      <c r="BJ378" t="s">
        <v>2639</v>
      </c>
      <c r="BK378" t="s">
        <v>104</v>
      </c>
      <c r="BL378" t="s">
        <v>217</v>
      </c>
      <c r="BM378" t="s">
        <v>7201</v>
      </c>
      <c r="BN378" t="s">
        <v>74</v>
      </c>
      <c r="BO378" t="s">
        <v>1279</v>
      </c>
      <c r="BP378" t="s">
        <v>74</v>
      </c>
      <c r="BQ378" t="s">
        <v>74</v>
      </c>
      <c r="BR378" t="s">
        <v>108</v>
      </c>
      <c r="BS378" t="s">
        <v>7202</v>
      </c>
      <c r="BT378" t="str">
        <f>HYPERLINK("https%3A%2F%2Fwww.webofscience.com%2Fwos%2Fwoscc%2Ffull-record%2FWOS:000901650600001","View Full Record in Web of Science")</f>
        <v>View Full Record in Web of Science</v>
      </c>
    </row>
    <row r="379" spans="1:72" x14ac:dyDescent="0.15">
      <c r="A379" t="s">
        <v>72</v>
      </c>
      <c r="B379" t="s">
        <v>7203</v>
      </c>
      <c r="C379" t="s">
        <v>74</v>
      </c>
      <c r="D379" t="s">
        <v>74</v>
      </c>
      <c r="E379" t="s">
        <v>74</v>
      </c>
      <c r="F379" t="s">
        <v>7204</v>
      </c>
      <c r="G379" t="s">
        <v>74</v>
      </c>
      <c r="H379" t="s">
        <v>74</v>
      </c>
      <c r="I379" t="s">
        <v>7205</v>
      </c>
      <c r="J379" t="s">
        <v>7206</v>
      </c>
      <c r="K379" t="s">
        <v>74</v>
      </c>
      <c r="L379" t="s">
        <v>74</v>
      </c>
      <c r="M379" t="s">
        <v>78</v>
      </c>
      <c r="N379" t="s">
        <v>79</v>
      </c>
      <c r="O379" t="s">
        <v>74</v>
      </c>
      <c r="P379" t="s">
        <v>74</v>
      </c>
      <c r="Q379" t="s">
        <v>74</v>
      </c>
      <c r="R379" t="s">
        <v>74</v>
      </c>
      <c r="S379" t="s">
        <v>74</v>
      </c>
      <c r="T379" t="s">
        <v>74</v>
      </c>
      <c r="U379" t="s">
        <v>7207</v>
      </c>
      <c r="V379" t="s">
        <v>7208</v>
      </c>
      <c r="W379" t="s">
        <v>7209</v>
      </c>
      <c r="X379" t="s">
        <v>7210</v>
      </c>
      <c r="Y379" t="s">
        <v>7211</v>
      </c>
      <c r="Z379" t="s">
        <v>7212</v>
      </c>
      <c r="AA379" t="s">
        <v>7213</v>
      </c>
      <c r="AB379" t="s">
        <v>7214</v>
      </c>
      <c r="AC379" t="s">
        <v>7215</v>
      </c>
      <c r="AD379" t="s">
        <v>7216</v>
      </c>
      <c r="AE379" t="s">
        <v>7217</v>
      </c>
      <c r="AF379" t="s">
        <v>74</v>
      </c>
      <c r="AG379">
        <v>78</v>
      </c>
      <c r="AH379">
        <v>3</v>
      </c>
      <c r="AI379">
        <v>4</v>
      </c>
      <c r="AJ379">
        <v>5</v>
      </c>
      <c r="AK379">
        <v>26</v>
      </c>
      <c r="AL379" t="s">
        <v>422</v>
      </c>
      <c r="AM379" t="s">
        <v>208</v>
      </c>
      <c r="AN379" t="s">
        <v>423</v>
      </c>
      <c r="AO379" t="s">
        <v>7218</v>
      </c>
      <c r="AP379" t="s">
        <v>7219</v>
      </c>
      <c r="AQ379" t="s">
        <v>74</v>
      </c>
      <c r="AR379" t="s">
        <v>7220</v>
      </c>
      <c r="AS379" t="s">
        <v>7221</v>
      </c>
      <c r="AT379" t="s">
        <v>7222</v>
      </c>
      <c r="AU379">
        <v>2023</v>
      </c>
      <c r="AV379">
        <v>72</v>
      </c>
      <c r="AW379">
        <v>1</v>
      </c>
      <c r="AX379" t="s">
        <v>74</v>
      </c>
      <c r="AY379" t="s">
        <v>74</v>
      </c>
      <c r="AZ379" t="s">
        <v>74</v>
      </c>
      <c r="BA379" t="s">
        <v>74</v>
      </c>
      <c r="BB379">
        <v>78</v>
      </c>
      <c r="BC379">
        <v>91</v>
      </c>
      <c r="BD379" t="s">
        <v>74</v>
      </c>
      <c r="BE379" t="s">
        <v>7223</v>
      </c>
      <c r="BF379" t="str">
        <f>HYPERLINK("http://dx.doi.org/10.1093/sysbio/syac078","http://dx.doi.org/10.1093/sysbio/syac078")</f>
        <v>http://dx.doi.org/10.1093/sysbio/syac078</v>
      </c>
      <c r="BG379" t="s">
        <v>74</v>
      </c>
      <c r="BH379" t="s">
        <v>5796</v>
      </c>
      <c r="BI379">
        <v>14</v>
      </c>
      <c r="BJ379" t="s">
        <v>6930</v>
      </c>
      <c r="BK379" t="s">
        <v>104</v>
      </c>
      <c r="BL379" t="s">
        <v>6930</v>
      </c>
      <c r="BM379" t="s">
        <v>7224</v>
      </c>
      <c r="BN379">
        <v>36546866</v>
      </c>
      <c r="BO379" t="s">
        <v>660</v>
      </c>
      <c r="BP379" t="s">
        <v>74</v>
      </c>
      <c r="BQ379" t="s">
        <v>74</v>
      </c>
      <c r="BR379" t="s">
        <v>108</v>
      </c>
      <c r="BS379" t="s">
        <v>7225</v>
      </c>
      <c r="BT379" t="str">
        <f>HYPERLINK("https%3A%2F%2Fwww.webofscience.com%2Fwos%2Fwoscc%2Ffull-record%2FWOS:000942853700001","View Full Record in Web of Science")</f>
        <v>View Full Record in Web of Science</v>
      </c>
    </row>
    <row r="380" spans="1:72" x14ac:dyDescent="0.15">
      <c r="A380" t="s">
        <v>72</v>
      </c>
      <c r="B380" t="s">
        <v>7226</v>
      </c>
      <c r="C380" t="s">
        <v>74</v>
      </c>
      <c r="D380" t="s">
        <v>74</v>
      </c>
      <c r="E380" t="s">
        <v>74</v>
      </c>
      <c r="F380" t="s">
        <v>7227</v>
      </c>
      <c r="G380" t="s">
        <v>74</v>
      </c>
      <c r="H380" t="s">
        <v>74</v>
      </c>
      <c r="I380" t="s">
        <v>7228</v>
      </c>
      <c r="J380" t="s">
        <v>7079</v>
      </c>
      <c r="K380" t="s">
        <v>74</v>
      </c>
      <c r="L380" t="s">
        <v>74</v>
      </c>
      <c r="M380" t="s">
        <v>78</v>
      </c>
      <c r="N380" t="s">
        <v>79</v>
      </c>
      <c r="O380" t="s">
        <v>74</v>
      </c>
      <c r="P380" t="s">
        <v>74</v>
      </c>
      <c r="Q380" t="s">
        <v>74</v>
      </c>
      <c r="R380" t="s">
        <v>74</v>
      </c>
      <c r="S380" t="s">
        <v>74</v>
      </c>
      <c r="T380" t="s">
        <v>7229</v>
      </c>
      <c r="U380" t="s">
        <v>7230</v>
      </c>
      <c r="V380" t="s">
        <v>7231</v>
      </c>
      <c r="W380" t="s">
        <v>7232</v>
      </c>
      <c r="X380" t="s">
        <v>7233</v>
      </c>
      <c r="Y380" t="s">
        <v>7234</v>
      </c>
      <c r="Z380" t="s">
        <v>7235</v>
      </c>
      <c r="AA380" t="s">
        <v>7236</v>
      </c>
      <c r="AB380" t="s">
        <v>7237</v>
      </c>
      <c r="AC380" t="s">
        <v>7238</v>
      </c>
      <c r="AD380" t="s">
        <v>7239</v>
      </c>
      <c r="AE380" t="s">
        <v>7240</v>
      </c>
      <c r="AF380" t="s">
        <v>74</v>
      </c>
      <c r="AG380">
        <v>334</v>
      </c>
      <c r="AH380">
        <v>9</v>
      </c>
      <c r="AI380">
        <v>11</v>
      </c>
      <c r="AJ380">
        <v>7</v>
      </c>
      <c r="AK380">
        <v>24</v>
      </c>
      <c r="AL380" t="s">
        <v>237</v>
      </c>
      <c r="AM380" t="s">
        <v>238</v>
      </c>
      <c r="AN380" t="s">
        <v>239</v>
      </c>
      <c r="AO380" t="s">
        <v>7092</v>
      </c>
      <c r="AP380" t="s">
        <v>7093</v>
      </c>
      <c r="AQ380" t="s">
        <v>74</v>
      </c>
      <c r="AR380" t="s">
        <v>7094</v>
      </c>
      <c r="AS380" t="s">
        <v>7095</v>
      </c>
      <c r="AT380" t="s">
        <v>276</v>
      </c>
      <c r="AU380">
        <v>2023</v>
      </c>
      <c r="AV380">
        <v>236</v>
      </c>
      <c r="AW380" t="s">
        <v>74</v>
      </c>
      <c r="AX380" t="s">
        <v>74</v>
      </c>
      <c r="AY380" t="s">
        <v>74</v>
      </c>
      <c r="AZ380" t="s">
        <v>74</v>
      </c>
      <c r="BA380" t="s">
        <v>74</v>
      </c>
      <c r="BB380" t="s">
        <v>74</v>
      </c>
      <c r="BC380" t="s">
        <v>74</v>
      </c>
      <c r="BD380">
        <v>104242</v>
      </c>
      <c r="BE380" t="s">
        <v>7241</v>
      </c>
      <c r="BF380" t="str">
        <f>HYPERLINK("http://dx.doi.org/10.1016/j.earscirev.2022.104242","http://dx.doi.org/10.1016/j.earscirev.2022.104242")</f>
        <v>http://dx.doi.org/10.1016/j.earscirev.2022.104242</v>
      </c>
      <c r="BG380" t="s">
        <v>74</v>
      </c>
      <c r="BH380" t="s">
        <v>5796</v>
      </c>
      <c r="BI380">
        <v>51</v>
      </c>
      <c r="BJ380" t="s">
        <v>455</v>
      </c>
      <c r="BK380" t="s">
        <v>104</v>
      </c>
      <c r="BL380" t="s">
        <v>456</v>
      </c>
      <c r="BM380" t="s">
        <v>7242</v>
      </c>
      <c r="BN380" t="s">
        <v>74</v>
      </c>
      <c r="BO380" t="s">
        <v>5191</v>
      </c>
      <c r="BP380" t="s">
        <v>74</v>
      </c>
      <c r="BQ380" t="s">
        <v>74</v>
      </c>
      <c r="BR380" t="s">
        <v>108</v>
      </c>
      <c r="BS380" t="s">
        <v>7243</v>
      </c>
      <c r="BT380" t="str">
        <f>HYPERLINK("https%3A%2F%2Fwww.webofscience.com%2Fwos%2Fwoscc%2Ffull-record%2FWOS:000911498600001","View Full Record in Web of Science")</f>
        <v>View Full Record in Web of Science</v>
      </c>
    </row>
    <row r="381" spans="1:72" x14ac:dyDescent="0.15">
      <c r="A381" t="s">
        <v>72</v>
      </c>
      <c r="B381" t="s">
        <v>7244</v>
      </c>
      <c r="C381" t="s">
        <v>74</v>
      </c>
      <c r="D381" t="s">
        <v>74</v>
      </c>
      <c r="E381" t="s">
        <v>74</v>
      </c>
      <c r="F381" t="s">
        <v>7245</v>
      </c>
      <c r="G381" t="s">
        <v>74</v>
      </c>
      <c r="H381" t="s">
        <v>74</v>
      </c>
      <c r="I381" t="s">
        <v>7246</v>
      </c>
      <c r="J381" t="s">
        <v>362</v>
      </c>
      <c r="K381" t="s">
        <v>74</v>
      </c>
      <c r="L381" t="s">
        <v>74</v>
      </c>
      <c r="M381" t="s">
        <v>78</v>
      </c>
      <c r="N381" t="s">
        <v>79</v>
      </c>
      <c r="O381" t="s">
        <v>74</v>
      </c>
      <c r="P381" t="s">
        <v>74</v>
      </c>
      <c r="Q381" t="s">
        <v>74</v>
      </c>
      <c r="R381" t="s">
        <v>74</v>
      </c>
      <c r="S381" t="s">
        <v>74</v>
      </c>
      <c r="T381" t="s">
        <v>74</v>
      </c>
      <c r="U381" t="s">
        <v>7247</v>
      </c>
      <c r="V381" t="s">
        <v>7248</v>
      </c>
      <c r="W381" t="s">
        <v>7249</v>
      </c>
      <c r="X381" t="s">
        <v>7250</v>
      </c>
      <c r="Y381" t="s">
        <v>7251</v>
      </c>
      <c r="Z381" t="s">
        <v>7252</v>
      </c>
      <c r="AA381" t="s">
        <v>7253</v>
      </c>
      <c r="AB381" t="s">
        <v>7254</v>
      </c>
      <c r="AC381" t="s">
        <v>7255</v>
      </c>
      <c r="AD381" t="s">
        <v>7256</v>
      </c>
      <c r="AE381" t="s">
        <v>7257</v>
      </c>
      <c r="AF381" t="s">
        <v>74</v>
      </c>
      <c r="AG381">
        <v>70</v>
      </c>
      <c r="AH381">
        <v>5</v>
      </c>
      <c r="AI381">
        <v>5</v>
      </c>
      <c r="AJ381">
        <v>1</v>
      </c>
      <c r="AK381">
        <v>5</v>
      </c>
      <c r="AL381" t="s">
        <v>374</v>
      </c>
      <c r="AM381" t="s">
        <v>375</v>
      </c>
      <c r="AN381" t="s">
        <v>376</v>
      </c>
      <c r="AO381" t="s">
        <v>74</v>
      </c>
      <c r="AP381" t="s">
        <v>377</v>
      </c>
      <c r="AQ381" t="s">
        <v>74</v>
      </c>
      <c r="AR381" t="s">
        <v>378</v>
      </c>
      <c r="AS381" t="s">
        <v>379</v>
      </c>
      <c r="AT381" t="s">
        <v>7258</v>
      </c>
      <c r="AU381">
        <v>2022</v>
      </c>
      <c r="AV381">
        <v>3</v>
      </c>
      <c r="AW381">
        <v>1</v>
      </c>
      <c r="AX381" t="s">
        <v>74</v>
      </c>
      <c r="AY381" t="s">
        <v>74</v>
      </c>
      <c r="AZ381" t="s">
        <v>74</v>
      </c>
      <c r="BA381" t="s">
        <v>74</v>
      </c>
      <c r="BB381" t="s">
        <v>74</v>
      </c>
      <c r="BC381" t="s">
        <v>74</v>
      </c>
      <c r="BD381" t="s">
        <v>74</v>
      </c>
      <c r="BE381" t="s">
        <v>7259</v>
      </c>
      <c r="BF381" t="str">
        <f>HYPERLINK("http://dx.doi.org/10.1038/s43247-022-00666-5","http://dx.doi.org/10.1038/s43247-022-00666-5")</f>
        <v>http://dx.doi.org/10.1038/s43247-022-00666-5</v>
      </c>
      <c r="BG381" t="s">
        <v>74</v>
      </c>
      <c r="BH381" t="s">
        <v>74</v>
      </c>
      <c r="BI381">
        <v>8</v>
      </c>
      <c r="BJ381" t="s">
        <v>381</v>
      </c>
      <c r="BK381" t="s">
        <v>104</v>
      </c>
      <c r="BL381" t="s">
        <v>382</v>
      </c>
      <c r="BM381" t="s">
        <v>7260</v>
      </c>
      <c r="BN381" t="s">
        <v>74</v>
      </c>
      <c r="BO381" t="s">
        <v>7261</v>
      </c>
      <c r="BP381" t="s">
        <v>74</v>
      </c>
      <c r="BQ381" t="s">
        <v>74</v>
      </c>
      <c r="BR381" t="s">
        <v>108</v>
      </c>
      <c r="BS381" t="s">
        <v>7262</v>
      </c>
      <c r="BT381" t="str">
        <f>HYPERLINK("https%3A%2F%2Fwww.webofscience.com%2Fwos%2Fwoscc%2Ffull-record%2FWOS:000903133900002","View Full Record in Web of Science")</f>
        <v>View Full Record in Web of Science</v>
      </c>
    </row>
    <row r="382" spans="1:72" x14ac:dyDescent="0.15">
      <c r="A382" t="s">
        <v>72</v>
      </c>
      <c r="B382" t="s">
        <v>7263</v>
      </c>
      <c r="C382" t="s">
        <v>74</v>
      </c>
      <c r="D382" t="s">
        <v>74</v>
      </c>
      <c r="E382" t="s">
        <v>74</v>
      </c>
      <c r="F382" t="s">
        <v>7264</v>
      </c>
      <c r="G382" t="s">
        <v>74</v>
      </c>
      <c r="H382" t="s">
        <v>74</v>
      </c>
      <c r="I382" t="s">
        <v>7265</v>
      </c>
      <c r="J382" t="s">
        <v>7102</v>
      </c>
      <c r="K382" t="s">
        <v>74</v>
      </c>
      <c r="L382" t="s">
        <v>74</v>
      </c>
      <c r="M382" t="s">
        <v>78</v>
      </c>
      <c r="N382" t="s">
        <v>79</v>
      </c>
      <c r="O382" t="s">
        <v>74</v>
      </c>
      <c r="P382" t="s">
        <v>74</v>
      </c>
      <c r="Q382" t="s">
        <v>74</v>
      </c>
      <c r="R382" t="s">
        <v>74</v>
      </c>
      <c r="S382" t="s">
        <v>74</v>
      </c>
      <c r="T382" t="s">
        <v>7266</v>
      </c>
      <c r="U382" t="s">
        <v>7267</v>
      </c>
      <c r="V382" t="s">
        <v>7268</v>
      </c>
      <c r="W382" t="s">
        <v>7269</v>
      </c>
      <c r="X382" t="s">
        <v>7270</v>
      </c>
      <c r="Y382" t="s">
        <v>7271</v>
      </c>
      <c r="Z382" t="s">
        <v>74</v>
      </c>
      <c r="AA382" t="s">
        <v>7272</v>
      </c>
      <c r="AB382" t="s">
        <v>7273</v>
      </c>
      <c r="AC382" t="s">
        <v>7274</v>
      </c>
      <c r="AD382" t="s">
        <v>7274</v>
      </c>
      <c r="AE382" t="s">
        <v>7275</v>
      </c>
      <c r="AF382" t="s">
        <v>74</v>
      </c>
      <c r="AG382">
        <v>63</v>
      </c>
      <c r="AH382">
        <v>14</v>
      </c>
      <c r="AI382">
        <v>14</v>
      </c>
      <c r="AJ382">
        <v>41</v>
      </c>
      <c r="AK382">
        <v>117</v>
      </c>
      <c r="AL382" t="s">
        <v>448</v>
      </c>
      <c r="AM382" t="s">
        <v>449</v>
      </c>
      <c r="AN382" t="s">
        <v>450</v>
      </c>
      <c r="AO382" t="s">
        <v>74</v>
      </c>
      <c r="AP382" t="s">
        <v>7115</v>
      </c>
      <c r="AQ382" t="s">
        <v>74</v>
      </c>
      <c r="AR382" t="s">
        <v>7116</v>
      </c>
      <c r="AS382" t="s">
        <v>7117</v>
      </c>
      <c r="AT382" t="s">
        <v>7258</v>
      </c>
      <c r="AU382">
        <v>2022</v>
      </c>
      <c r="AV382">
        <v>9</v>
      </c>
      <c r="AW382" t="s">
        <v>74</v>
      </c>
      <c r="AX382" t="s">
        <v>74</v>
      </c>
      <c r="AY382" t="s">
        <v>74</v>
      </c>
      <c r="AZ382" t="s">
        <v>74</v>
      </c>
      <c r="BA382" t="s">
        <v>74</v>
      </c>
      <c r="BB382" t="s">
        <v>74</v>
      </c>
      <c r="BC382" t="s">
        <v>74</v>
      </c>
      <c r="BD382">
        <v>1045667</v>
      </c>
      <c r="BE382" t="s">
        <v>7276</v>
      </c>
      <c r="BF382" t="str">
        <f>HYPERLINK("http://dx.doi.org/10.3389/fmars.2022.1045667","http://dx.doi.org/10.3389/fmars.2022.1045667")</f>
        <v>http://dx.doi.org/10.3389/fmars.2022.1045667</v>
      </c>
      <c r="BG382" t="s">
        <v>74</v>
      </c>
      <c r="BH382" t="s">
        <v>74</v>
      </c>
      <c r="BI382">
        <v>14</v>
      </c>
      <c r="BJ382" t="s">
        <v>6728</v>
      </c>
      <c r="BK382" t="s">
        <v>104</v>
      </c>
      <c r="BL382" t="s">
        <v>6729</v>
      </c>
      <c r="BM382" t="s">
        <v>7277</v>
      </c>
      <c r="BN382" t="s">
        <v>74</v>
      </c>
      <c r="BO382" t="s">
        <v>7278</v>
      </c>
      <c r="BP382" t="s">
        <v>250</v>
      </c>
      <c r="BQ382" t="s">
        <v>249</v>
      </c>
      <c r="BR382" t="s">
        <v>108</v>
      </c>
      <c r="BS382" t="s">
        <v>7279</v>
      </c>
      <c r="BT382" t="str">
        <f>HYPERLINK("https%3A%2F%2Fwww.webofscience.com%2Fwos%2Fwoscc%2Ffull-record%2FWOS:000912014300001","View Full Record in Web of Science")</f>
        <v>View Full Record in Web of Science</v>
      </c>
    </row>
    <row r="383" spans="1:72" x14ac:dyDescent="0.15">
      <c r="A383" t="s">
        <v>72</v>
      </c>
      <c r="B383" t="s">
        <v>7280</v>
      </c>
      <c r="C383" t="s">
        <v>74</v>
      </c>
      <c r="D383" t="s">
        <v>74</v>
      </c>
      <c r="E383" t="s">
        <v>74</v>
      </c>
      <c r="F383" t="s">
        <v>7281</v>
      </c>
      <c r="G383" t="s">
        <v>74</v>
      </c>
      <c r="H383" t="s">
        <v>74</v>
      </c>
      <c r="I383" t="s">
        <v>7282</v>
      </c>
      <c r="J383" t="s">
        <v>7283</v>
      </c>
      <c r="K383" t="s">
        <v>74</v>
      </c>
      <c r="L383" t="s">
        <v>74</v>
      </c>
      <c r="M383" t="s">
        <v>78</v>
      </c>
      <c r="N383" t="s">
        <v>79</v>
      </c>
      <c r="O383" t="s">
        <v>74</v>
      </c>
      <c r="P383" t="s">
        <v>74</v>
      </c>
      <c r="Q383" t="s">
        <v>74</v>
      </c>
      <c r="R383" t="s">
        <v>74</v>
      </c>
      <c r="S383" t="s">
        <v>74</v>
      </c>
      <c r="T383" t="s">
        <v>7284</v>
      </c>
      <c r="U383" t="s">
        <v>7285</v>
      </c>
      <c r="V383" t="s">
        <v>7286</v>
      </c>
      <c r="W383" t="s">
        <v>7287</v>
      </c>
      <c r="X383" t="s">
        <v>7288</v>
      </c>
      <c r="Y383" t="s">
        <v>7289</v>
      </c>
      <c r="Z383" t="s">
        <v>7290</v>
      </c>
      <c r="AA383" t="s">
        <v>74</v>
      </c>
      <c r="AB383" t="s">
        <v>7291</v>
      </c>
      <c r="AC383" t="s">
        <v>7292</v>
      </c>
      <c r="AD383" t="s">
        <v>7293</v>
      </c>
      <c r="AE383" t="s">
        <v>7294</v>
      </c>
      <c r="AF383" t="s">
        <v>74</v>
      </c>
      <c r="AG383">
        <v>23</v>
      </c>
      <c r="AH383">
        <v>2</v>
      </c>
      <c r="AI383">
        <v>2</v>
      </c>
      <c r="AJ383">
        <v>3</v>
      </c>
      <c r="AK383">
        <v>8</v>
      </c>
      <c r="AL383" t="s">
        <v>448</v>
      </c>
      <c r="AM383" t="s">
        <v>449</v>
      </c>
      <c r="AN383" t="s">
        <v>450</v>
      </c>
      <c r="AO383" t="s">
        <v>74</v>
      </c>
      <c r="AP383" t="s">
        <v>7295</v>
      </c>
      <c r="AQ383" t="s">
        <v>74</v>
      </c>
      <c r="AR383" t="s">
        <v>7296</v>
      </c>
      <c r="AS383" t="s">
        <v>7297</v>
      </c>
      <c r="AT383" t="s">
        <v>7258</v>
      </c>
      <c r="AU383">
        <v>2022</v>
      </c>
      <c r="AV383">
        <v>13</v>
      </c>
      <c r="AW383" t="s">
        <v>74</v>
      </c>
      <c r="AX383" t="s">
        <v>74</v>
      </c>
      <c r="AY383" t="s">
        <v>74</v>
      </c>
      <c r="AZ383" t="s">
        <v>74</v>
      </c>
      <c r="BA383" t="s">
        <v>74</v>
      </c>
      <c r="BB383" t="s">
        <v>74</v>
      </c>
      <c r="BC383" t="s">
        <v>74</v>
      </c>
      <c r="BD383">
        <v>1077376</v>
      </c>
      <c r="BE383" t="s">
        <v>7298</v>
      </c>
      <c r="BF383" t="str">
        <f>HYPERLINK("http://dx.doi.org/10.3389/fphys.2022.1077376","http://dx.doi.org/10.3389/fphys.2022.1077376")</f>
        <v>http://dx.doi.org/10.3389/fphys.2022.1077376</v>
      </c>
      <c r="BG383" t="s">
        <v>74</v>
      </c>
      <c r="BH383" t="s">
        <v>74</v>
      </c>
      <c r="BI383">
        <v>8</v>
      </c>
      <c r="BJ383" t="s">
        <v>7299</v>
      </c>
      <c r="BK383" t="s">
        <v>104</v>
      </c>
      <c r="BL383" t="s">
        <v>7299</v>
      </c>
      <c r="BM383" t="s">
        <v>7300</v>
      </c>
      <c r="BN383">
        <v>36620208</v>
      </c>
      <c r="BO383" t="s">
        <v>5719</v>
      </c>
      <c r="BP383" t="s">
        <v>74</v>
      </c>
      <c r="BQ383" t="s">
        <v>74</v>
      </c>
      <c r="BR383" t="s">
        <v>108</v>
      </c>
      <c r="BS383" t="s">
        <v>7301</v>
      </c>
      <c r="BT383" t="str">
        <f>HYPERLINK("https%3A%2F%2Fwww.webofscience.com%2Fwos%2Fwoscc%2Ffull-record%2FWOS:000908360500001","View Full Record in Web of Science")</f>
        <v>View Full Record in Web of Science</v>
      </c>
    </row>
    <row r="384" spans="1:72" x14ac:dyDescent="0.15">
      <c r="A384" t="s">
        <v>72</v>
      </c>
      <c r="B384" t="s">
        <v>7302</v>
      </c>
      <c r="C384" t="s">
        <v>74</v>
      </c>
      <c r="D384" t="s">
        <v>74</v>
      </c>
      <c r="E384" t="s">
        <v>74</v>
      </c>
      <c r="F384" t="s">
        <v>7303</v>
      </c>
      <c r="G384" t="s">
        <v>74</v>
      </c>
      <c r="H384" t="s">
        <v>74</v>
      </c>
      <c r="I384" t="s">
        <v>7304</v>
      </c>
      <c r="J384" t="s">
        <v>335</v>
      </c>
      <c r="K384" t="s">
        <v>74</v>
      </c>
      <c r="L384" t="s">
        <v>74</v>
      </c>
      <c r="M384" t="s">
        <v>78</v>
      </c>
      <c r="N384" t="s">
        <v>79</v>
      </c>
      <c r="O384" t="s">
        <v>74</v>
      </c>
      <c r="P384" t="s">
        <v>74</v>
      </c>
      <c r="Q384" t="s">
        <v>74</v>
      </c>
      <c r="R384" t="s">
        <v>74</v>
      </c>
      <c r="S384" t="s">
        <v>74</v>
      </c>
      <c r="T384" t="s">
        <v>74</v>
      </c>
      <c r="U384" t="s">
        <v>7305</v>
      </c>
      <c r="V384" t="s">
        <v>7306</v>
      </c>
      <c r="W384" t="s">
        <v>7307</v>
      </c>
      <c r="X384" t="s">
        <v>7308</v>
      </c>
      <c r="Y384" t="s">
        <v>7309</v>
      </c>
      <c r="Z384" t="s">
        <v>7310</v>
      </c>
      <c r="AA384" t="s">
        <v>7311</v>
      </c>
      <c r="AB384" t="s">
        <v>7312</v>
      </c>
      <c r="AC384" t="s">
        <v>7313</v>
      </c>
      <c r="AD384" t="s">
        <v>7314</v>
      </c>
      <c r="AE384" t="s">
        <v>7315</v>
      </c>
      <c r="AF384" t="s">
        <v>74</v>
      </c>
      <c r="AG384">
        <v>60</v>
      </c>
      <c r="AH384">
        <v>8</v>
      </c>
      <c r="AI384">
        <v>11</v>
      </c>
      <c r="AJ384">
        <v>5</v>
      </c>
      <c r="AK384">
        <v>16</v>
      </c>
      <c r="AL384" t="s">
        <v>182</v>
      </c>
      <c r="AM384" t="s">
        <v>183</v>
      </c>
      <c r="AN384" t="s">
        <v>184</v>
      </c>
      <c r="AO384" t="s">
        <v>347</v>
      </c>
      <c r="AP384" t="s">
        <v>348</v>
      </c>
      <c r="AQ384" t="s">
        <v>74</v>
      </c>
      <c r="AR384" t="s">
        <v>349</v>
      </c>
      <c r="AS384" t="s">
        <v>350</v>
      </c>
      <c r="AT384" t="s">
        <v>276</v>
      </c>
      <c r="AU384">
        <v>2023</v>
      </c>
      <c r="AV384">
        <v>13</v>
      </c>
      <c r="AW384">
        <v>1</v>
      </c>
      <c r="AX384" t="s">
        <v>74</v>
      </c>
      <c r="AY384" t="s">
        <v>74</v>
      </c>
      <c r="AZ384" t="s">
        <v>74</v>
      </c>
      <c r="BA384" t="s">
        <v>74</v>
      </c>
      <c r="BB384">
        <v>83</v>
      </c>
      <c r="BC384" t="s">
        <v>351</v>
      </c>
      <c r="BD384" t="s">
        <v>74</v>
      </c>
      <c r="BE384" t="s">
        <v>7316</v>
      </c>
      <c r="BF384" t="str">
        <f>HYPERLINK("http://dx.doi.org/10.1038/s41558-022-01555-7","http://dx.doi.org/10.1038/s41558-022-01555-7")</f>
        <v>http://dx.doi.org/10.1038/s41558-022-01555-7</v>
      </c>
      <c r="BG384" t="s">
        <v>74</v>
      </c>
      <c r="BH384" t="s">
        <v>5796</v>
      </c>
      <c r="BI384">
        <v>22</v>
      </c>
      <c r="BJ384" t="s">
        <v>353</v>
      </c>
      <c r="BK384" t="s">
        <v>354</v>
      </c>
      <c r="BL384" t="s">
        <v>355</v>
      </c>
      <c r="BM384" t="s">
        <v>356</v>
      </c>
      <c r="BN384" t="s">
        <v>74</v>
      </c>
      <c r="BO384" t="s">
        <v>1279</v>
      </c>
      <c r="BP384" t="s">
        <v>74</v>
      </c>
      <c r="BQ384" t="s">
        <v>74</v>
      </c>
      <c r="BR384" t="s">
        <v>108</v>
      </c>
      <c r="BS384" t="s">
        <v>7317</v>
      </c>
      <c r="BT384" t="str">
        <f>HYPERLINK("https%3A%2F%2Fwww.webofscience.com%2Fwos%2Fwoscc%2Ffull-record%2FWOS:000903135300004","View Full Record in Web of Science")</f>
        <v>View Full Record in Web of Science</v>
      </c>
    </row>
    <row r="385" spans="1:72" x14ac:dyDescent="0.15">
      <c r="A385" t="s">
        <v>72</v>
      </c>
      <c r="B385" t="s">
        <v>7318</v>
      </c>
      <c r="C385" t="s">
        <v>74</v>
      </c>
      <c r="D385" t="s">
        <v>74</v>
      </c>
      <c r="E385" t="s">
        <v>74</v>
      </c>
      <c r="F385" t="s">
        <v>7319</v>
      </c>
      <c r="G385" t="s">
        <v>74</v>
      </c>
      <c r="H385" t="s">
        <v>74</v>
      </c>
      <c r="I385" t="s">
        <v>7320</v>
      </c>
      <c r="J385" t="s">
        <v>7321</v>
      </c>
      <c r="K385" t="s">
        <v>74</v>
      </c>
      <c r="L385" t="s">
        <v>74</v>
      </c>
      <c r="M385" t="s">
        <v>78</v>
      </c>
      <c r="N385" t="s">
        <v>79</v>
      </c>
      <c r="O385" t="s">
        <v>74</v>
      </c>
      <c r="P385" t="s">
        <v>74</v>
      </c>
      <c r="Q385" t="s">
        <v>74</v>
      </c>
      <c r="R385" t="s">
        <v>74</v>
      </c>
      <c r="S385" t="s">
        <v>74</v>
      </c>
      <c r="T385" t="s">
        <v>7322</v>
      </c>
      <c r="U385" t="s">
        <v>7323</v>
      </c>
      <c r="V385" t="s">
        <v>7324</v>
      </c>
      <c r="W385" t="s">
        <v>7325</v>
      </c>
      <c r="X385" t="s">
        <v>7326</v>
      </c>
      <c r="Y385" t="s">
        <v>7327</v>
      </c>
      <c r="Z385" t="s">
        <v>7328</v>
      </c>
      <c r="AA385" t="s">
        <v>7329</v>
      </c>
      <c r="AB385" t="s">
        <v>7330</v>
      </c>
      <c r="AC385" t="s">
        <v>74</v>
      </c>
      <c r="AD385" t="s">
        <v>74</v>
      </c>
      <c r="AE385" t="s">
        <v>74</v>
      </c>
      <c r="AF385" t="s">
        <v>74</v>
      </c>
      <c r="AG385">
        <v>25</v>
      </c>
      <c r="AH385">
        <v>0</v>
      </c>
      <c r="AI385">
        <v>0</v>
      </c>
      <c r="AJ385">
        <v>0</v>
      </c>
      <c r="AK385">
        <v>0</v>
      </c>
      <c r="AL385" t="s">
        <v>7331</v>
      </c>
      <c r="AM385" t="s">
        <v>183</v>
      </c>
      <c r="AN385" t="s">
        <v>7332</v>
      </c>
      <c r="AO385" t="s">
        <v>7333</v>
      </c>
      <c r="AP385" t="s">
        <v>7334</v>
      </c>
      <c r="AQ385" t="s">
        <v>74</v>
      </c>
      <c r="AR385" t="s">
        <v>7335</v>
      </c>
      <c r="AS385" t="s">
        <v>7336</v>
      </c>
      <c r="AT385" t="s">
        <v>7337</v>
      </c>
      <c r="AU385">
        <v>2023</v>
      </c>
      <c r="AV385">
        <v>66</v>
      </c>
      <c r="AW385">
        <v>1</v>
      </c>
      <c r="AX385" t="s">
        <v>74</v>
      </c>
      <c r="AY385" t="s">
        <v>74</v>
      </c>
      <c r="AZ385" t="s">
        <v>74</v>
      </c>
      <c r="BA385" t="s">
        <v>74</v>
      </c>
      <c r="BB385">
        <v>67</v>
      </c>
      <c r="BC385">
        <v>72</v>
      </c>
      <c r="BD385" t="s">
        <v>74</v>
      </c>
      <c r="BE385" t="s">
        <v>7338</v>
      </c>
      <c r="BF385" t="str">
        <f>HYPERLINK("http://dx.doi.org/10.1515/bot-2022-0050","http://dx.doi.org/10.1515/bot-2022-0050")</f>
        <v>http://dx.doi.org/10.1515/bot-2022-0050</v>
      </c>
      <c r="BG385" t="s">
        <v>74</v>
      </c>
      <c r="BH385" t="s">
        <v>5796</v>
      </c>
      <c r="BI385">
        <v>6</v>
      </c>
      <c r="BJ385" t="s">
        <v>658</v>
      </c>
      <c r="BK385" t="s">
        <v>104</v>
      </c>
      <c r="BL385" t="s">
        <v>658</v>
      </c>
      <c r="BM385" t="s">
        <v>7339</v>
      </c>
      <c r="BN385" t="s">
        <v>74</v>
      </c>
      <c r="BO385" t="s">
        <v>74</v>
      </c>
      <c r="BP385" t="s">
        <v>74</v>
      </c>
      <c r="BQ385" t="s">
        <v>74</v>
      </c>
      <c r="BR385" t="s">
        <v>108</v>
      </c>
      <c r="BS385" t="s">
        <v>7340</v>
      </c>
      <c r="BT385" t="str">
        <f>HYPERLINK("https%3A%2F%2Fwww.webofscience.com%2Fwos%2Fwoscc%2Ffull-record%2FWOS:000902405100001","View Full Record in Web of Science")</f>
        <v>View Full Record in Web of Science</v>
      </c>
    </row>
    <row r="386" spans="1:72" x14ac:dyDescent="0.15">
      <c r="A386" t="s">
        <v>72</v>
      </c>
      <c r="B386" t="s">
        <v>7341</v>
      </c>
      <c r="C386" t="s">
        <v>74</v>
      </c>
      <c r="D386" t="s">
        <v>74</v>
      </c>
      <c r="E386" t="s">
        <v>74</v>
      </c>
      <c r="F386" t="s">
        <v>7342</v>
      </c>
      <c r="G386" t="s">
        <v>74</v>
      </c>
      <c r="H386" t="s">
        <v>74</v>
      </c>
      <c r="I386" t="s">
        <v>7343</v>
      </c>
      <c r="J386" t="s">
        <v>7344</v>
      </c>
      <c r="K386" t="s">
        <v>74</v>
      </c>
      <c r="L386" t="s">
        <v>74</v>
      </c>
      <c r="M386" t="s">
        <v>78</v>
      </c>
      <c r="N386" t="s">
        <v>79</v>
      </c>
      <c r="O386" t="s">
        <v>74</v>
      </c>
      <c r="P386" t="s">
        <v>74</v>
      </c>
      <c r="Q386" t="s">
        <v>74</v>
      </c>
      <c r="R386" t="s">
        <v>74</v>
      </c>
      <c r="S386" t="s">
        <v>74</v>
      </c>
      <c r="T386" t="s">
        <v>7345</v>
      </c>
      <c r="U386" t="s">
        <v>7346</v>
      </c>
      <c r="V386" t="s">
        <v>7347</v>
      </c>
      <c r="W386" t="s">
        <v>7348</v>
      </c>
      <c r="X386" t="s">
        <v>7349</v>
      </c>
      <c r="Y386" t="s">
        <v>7350</v>
      </c>
      <c r="Z386" t="s">
        <v>7351</v>
      </c>
      <c r="AA386" t="s">
        <v>7352</v>
      </c>
      <c r="AB386" t="s">
        <v>7353</v>
      </c>
      <c r="AC386" t="s">
        <v>7354</v>
      </c>
      <c r="AD386" t="s">
        <v>7354</v>
      </c>
      <c r="AE386" t="s">
        <v>7355</v>
      </c>
      <c r="AF386" t="s">
        <v>74</v>
      </c>
      <c r="AG386">
        <v>72</v>
      </c>
      <c r="AH386">
        <v>9</v>
      </c>
      <c r="AI386">
        <v>9</v>
      </c>
      <c r="AJ386">
        <v>7</v>
      </c>
      <c r="AK386">
        <v>31</v>
      </c>
      <c r="AL386" t="s">
        <v>7356</v>
      </c>
      <c r="AM386" t="s">
        <v>576</v>
      </c>
      <c r="AN386" t="s">
        <v>7357</v>
      </c>
      <c r="AO386" t="s">
        <v>7358</v>
      </c>
      <c r="AP386" t="s">
        <v>7359</v>
      </c>
      <c r="AQ386" t="s">
        <v>74</v>
      </c>
      <c r="AR386" t="s">
        <v>7360</v>
      </c>
      <c r="AS386" t="s">
        <v>7361</v>
      </c>
      <c r="AT386" t="s">
        <v>7362</v>
      </c>
      <c r="AU386">
        <v>2023</v>
      </c>
      <c r="AV386">
        <v>57</v>
      </c>
      <c r="AW386">
        <v>1</v>
      </c>
      <c r="AX386" t="s">
        <v>74</v>
      </c>
      <c r="AY386" t="s">
        <v>74</v>
      </c>
      <c r="AZ386" t="s">
        <v>74</v>
      </c>
      <c r="BA386" t="s">
        <v>74</v>
      </c>
      <c r="BB386">
        <v>310</v>
      </c>
      <c r="BC386">
        <v>320</v>
      </c>
      <c r="BD386" t="s">
        <v>74</v>
      </c>
      <c r="BE386" t="s">
        <v>7363</v>
      </c>
      <c r="BF386" t="str">
        <f>HYPERLINK("http://dx.doi.org/10.1021/acs.est.2c06973","http://dx.doi.org/10.1021/acs.est.2c06973")</f>
        <v>http://dx.doi.org/10.1021/acs.est.2c06973</v>
      </c>
      <c r="BG386" t="s">
        <v>74</v>
      </c>
      <c r="BH386" t="s">
        <v>5796</v>
      </c>
      <c r="BI386">
        <v>11</v>
      </c>
      <c r="BJ386" t="s">
        <v>7364</v>
      </c>
      <c r="BK386" t="s">
        <v>104</v>
      </c>
      <c r="BL386" t="s">
        <v>5758</v>
      </c>
      <c r="BM386" t="s">
        <v>7365</v>
      </c>
      <c r="BN386">
        <v>36548475</v>
      </c>
      <c r="BO386" t="s">
        <v>74</v>
      </c>
      <c r="BP386" t="s">
        <v>74</v>
      </c>
      <c r="BQ386" t="s">
        <v>74</v>
      </c>
      <c r="BR386" t="s">
        <v>108</v>
      </c>
      <c r="BS386" t="s">
        <v>7366</v>
      </c>
      <c r="BT386" t="str">
        <f>HYPERLINK("https%3A%2F%2Fwww.webofscience.com%2Fwos%2Fwoscc%2Ffull-record%2FWOS:000905047200001","View Full Record in Web of Science")</f>
        <v>View Full Record in Web of Science</v>
      </c>
    </row>
    <row r="387" spans="1:72" x14ac:dyDescent="0.15">
      <c r="A387" t="s">
        <v>72</v>
      </c>
      <c r="B387" t="s">
        <v>7367</v>
      </c>
      <c r="C387" t="s">
        <v>74</v>
      </c>
      <c r="D387" t="s">
        <v>74</v>
      </c>
      <c r="E387" t="s">
        <v>74</v>
      </c>
      <c r="F387" t="s">
        <v>7368</v>
      </c>
      <c r="G387" t="s">
        <v>74</v>
      </c>
      <c r="H387" t="s">
        <v>74</v>
      </c>
      <c r="I387" t="s">
        <v>7369</v>
      </c>
      <c r="J387" t="s">
        <v>7370</v>
      </c>
      <c r="K387" t="s">
        <v>74</v>
      </c>
      <c r="L387" t="s">
        <v>74</v>
      </c>
      <c r="M387" t="s">
        <v>78</v>
      </c>
      <c r="N387" t="s">
        <v>79</v>
      </c>
      <c r="O387" t="s">
        <v>74</v>
      </c>
      <c r="P387" t="s">
        <v>74</v>
      </c>
      <c r="Q387" t="s">
        <v>74</v>
      </c>
      <c r="R387" t="s">
        <v>74</v>
      </c>
      <c r="S387" t="s">
        <v>74</v>
      </c>
      <c r="T387" t="s">
        <v>74</v>
      </c>
      <c r="U387" t="s">
        <v>7371</v>
      </c>
      <c r="V387" t="s">
        <v>7372</v>
      </c>
      <c r="W387" t="s">
        <v>7373</v>
      </c>
      <c r="X387" t="s">
        <v>7374</v>
      </c>
      <c r="Y387" t="s">
        <v>7375</v>
      </c>
      <c r="Z387" t="s">
        <v>7376</v>
      </c>
      <c r="AA387" t="s">
        <v>7377</v>
      </c>
      <c r="AB387" t="s">
        <v>7378</v>
      </c>
      <c r="AC387" t="s">
        <v>7379</v>
      </c>
      <c r="AD387" t="s">
        <v>7380</v>
      </c>
      <c r="AE387" t="s">
        <v>7381</v>
      </c>
      <c r="AF387" t="s">
        <v>74</v>
      </c>
      <c r="AG387">
        <v>41</v>
      </c>
      <c r="AH387">
        <v>13</v>
      </c>
      <c r="AI387">
        <v>13</v>
      </c>
      <c r="AJ387">
        <v>19</v>
      </c>
      <c r="AK387">
        <v>55</v>
      </c>
      <c r="AL387" t="s">
        <v>182</v>
      </c>
      <c r="AM387" t="s">
        <v>183</v>
      </c>
      <c r="AN387" t="s">
        <v>184</v>
      </c>
      <c r="AO387" t="s">
        <v>7382</v>
      </c>
      <c r="AP387" t="s">
        <v>7383</v>
      </c>
      <c r="AQ387" t="s">
        <v>74</v>
      </c>
      <c r="AR387" t="s">
        <v>7384</v>
      </c>
      <c r="AS387" t="s">
        <v>7385</v>
      </c>
      <c r="AT387" t="s">
        <v>276</v>
      </c>
      <c r="AU387">
        <v>2023</v>
      </c>
      <c r="AV387">
        <v>16</v>
      </c>
      <c r="AW387">
        <v>1</v>
      </c>
      <c r="AX387" t="s">
        <v>74</v>
      </c>
      <c r="AY387" t="s">
        <v>74</v>
      </c>
      <c r="AZ387" t="s">
        <v>74</v>
      </c>
      <c r="BA387" t="s">
        <v>74</v>
      </c>
      <c r="BB387">
        <v>10</v>
      </c>
      <c r="BC387" t="s">
        <v>351</v>
      </c>
      <c r="BD387" t="s">
        <v>74</v>
      </c>
      <c r="BE387" t="s">
        <v>7386</v>
      </c>
      <c r="BF387" t="str">
        <f>HYPERLINK("http://dx.doi.org/10.1038/s41561-022-01096-w","http://dx.doi.org/10.1038/s41561-022-01096-w")</f>
        <v>http://dx.doi.org/10.1038/s41561-022-01096-w</v>
      </c>
      <c r="BG387" t="s">
        <v>74</v>
      </c>
      <c r="BH387" t="s">
        <v>5796</v>
      </c>
      <c r="BI387">
        <v>11</v>
      </c>
      <c r="BJ387" t="s">
        <v>455</v>
      </c>
      <c r="BK387" t="s">
        <v>104</v>
      </c>
      <c r="BL387" t="s">
        <v>456</v>
      </c>
      <c r="BM387" t="s">
        <v>7387</v>
      </c>
      <c r="BN387" t="s">
        <v>74</v>
      </c>
      <c r="BO387" t="s">
        <v>219</v>
      </c>
      <c r="BP387" t="s">
        <v>74</v>
      </c>
      <c r="BQ387" t="s">
        <v>74</v>
      </c>
      <c r="BR387" t="s">
        <v>108</v>
      </c>
      <c r="BS387" t="s">
        <v>7388</v>
      </c>
      <c r="BT387" t="str">
        <f>HYPERLINK("https%3A%2F%2Fwww.webofscience.com%2Fwos%2Fwoscc%2Ffull-record%2FWOS:000903163700002","View Full Record in Web of Science")</f>
        <v>View Full Record in Web of Science</v>
      </c>
    </row>
    <row r="388" spans="1:72" x14ac:dyDescent="0.15">
      <c r="A388" t="s">
        <v>72</v>
      </c>
      <c r="B388" t="s">
        <v>7389</v>
      </c>
      <c r="C388" t="s">
        <v>74</v>
      </c>
      <c r="D388" t="s">
        <v>74</v>
      </c>
      <c r="E388" t="s">
        <v>74</v>
      </c>
      <c r="F388" t="s">
        <v>7390</v>
      </c>
      <c r="G388" t="s">
        <v>74</v>
      </c>
      <c r="H388" t="s">
        <v>74</v>
      </c>
      <c r="I388" t="s">
        <v>7391</v>
      </c>
      <c r="J388" t="s">
        <v>7392</v>
      </c>
      <c r="K388" t="s">
        <v>74</v>
      </c>
      <c r="L388" t="s">
        <v>74</v>
      </c>
      <c r="M388" t="s">
        <v>78</v>
      </c>
      <c r="N388" t="s">
        <v>79</v>
      </c>
      <c r="O388" t="s">
        <v>74</v>
      </c>
      <c r="P388" t="s">
        <v>74</v>
      </c>
      <c r="Q388" t="s">
        <v>74</v>
      </c>
      <c r="R388" t="s">
        <v>74</v>
      </c>
      <c r="S388" t="s">
        <v>74</v>
      </c>
      <c r="T388" t="s">
        <v>74</v>
      </c>
      <c r="U388" t="s">
        <v>7393</v>
      </c>
      <c r="V388" t="s">
        <v>7394</v>
      </c>
      <c r="W388" t="s">
        <v>7395</v>
      </c>
      <c r="X388" t="s">
        <v>7396</v>
      </c>
      <c r="Y388" t="s">
        <v>7397</v>
      </c>
      <c r="Z388" t="s">
        <v>7398</v>
      </c>
      <c r="AA388" t="s">
        <v>7399</v>
      </c>
      <c r="AB388" t="s">
        <v>7400</v>
      </c>
      <c r="AC388" t="s">
        <v>74</v>
      </c>
      <c r="AD388" t="s">
        <v>74</v>
      </c>
      <c r="AE388" t="s">
        <v>74</v>
      </c>
      <c r="AF388" t="s">
        <v>74</v>
      </c>
      <c r="AG388">
        <v>79</v>
      </c>
      <c r="AH388">
        <v>11</v>
      </c>
      <c r="AI388">
        <v>13</v>
      </c>
      <c r="AJ388">
        <v>2</v>
      </c>
      <c r="AK388">
        <v>6</v>
      </c>
      <c r="AL388" t="s">
        <v>126</v>
      </c>
      <c r="AM388" t="s">
        <v>127</v>
      </c>
      <c r="AN388" t="s">
        <v>128</v>
      </c>
      <c r="AO388" t="s">
        <v>7401</v>
      </c>
      <c r="AP388" t="s">
        <v>7402</v>
      </c>
      <c r="AQ388" t="s">
        <v>74</v>
      </c>
      <c r="AR388" t="s">
        <v>7392</v>
      </c>
      <c r="AS388" t="s">
        <v>7403</v>
      </c>
      <c r="AT388" t="s">
        <v>7258</v>
      </c>
      <c r="AU388">
        <v>2022</v>
      </c>
      <c r="AV388">
        <v>16</v>
      </c>
      <c r="AW388">
        <v>12</v>
      </c>
      <c r="AX388" t="s">
        <v>74</v>
      </c>
      <c r="AY388" t="s">
        <v>74</v>
      </c>
      <c r="AZ388" t="s">
        <v>74</v>
      </c>
      <c r="BA388" t="s">
        <v>74</v>
      </c>
      <c r="BB388">
        <v>5085</v>
      </c>
      <c r="BC388">
        <v>5105</v>
      </c>
      <c r="BD388" t="s">
        <v>74</v>
      </c>
      <c r="BE388" t="s">
        <v>7404</v>
      </c>
      <c r="BF388" t="str">
        <f>HYPERLINK("http://dx.doi.org/10.5194/tc-16-5085-2022","http://dx.doi.org/10.5194/tc-16-5085-2022")</f>
        <v>http://dx.doi.org/10.5194/tc-16-5085-2022</v>
      </c>
      <c r="BG388" t="s">
        <v>74</v>
      </c>
      <c r="BH388" t="s">
        <v>74</v>
      </c>
      <c r="BI388">
        <v>21</v>
      </c>
      <c r="BJ388" t="s">
        <v>611</v>
      </c>
      <c r="BK388" t="s">
        <v>104</v>
      </c>
      <c r="BL388" t="s">
        <v>612</v>
      </c>
      <c r="BM388" t="s">
        <v>7405</v>
      </c>
      <c r="BN388" t="s">
        <v>74</v>
      </c>
      <c r="BO388" t="s">
        <v>4658</v>
      </c>
      <c r="BP388" t="s">
        <v>74</v>
      </c>
      <c r="BQ388" t="s">
        <v>74</v>
      </c>
      <c r="BR388" t="s">
        <v>108</v>
      </c>
      <c r="BS388" t="s">
        <v>7406</v>
      </c>
      <c r="BT388" t="str">
        <f>HYPERLINK("https%3A%2F%2Fwww.webofscience.com%2Fwos%2Fwoscc%2Ffull-record%2FWOS:000900202400001","View Full Record in Web of Science")</f>
        <v>View Full Record in Web of Science</v>
      </c>
    </row>
    <row r="389" spans="1:72" x14ac:dyDescent="0.15">
      <c r="A389" t="s">
        <v>72</v>
      </c>
      <c r="B389" t="s">
        <v>7407</v>
      </c>
      <c r="C389" t="s">
        <v>74</v>
      </c>
      <c r="D389" t="s">
        <v>74</v>
      </c>
      <c r="E389" t="s">
        <v>74</v>
      </c>
      <c r="F389" t="s">
        <v>7408</v>
      </c>
      <c r="G389" t="s">
        <v>74</v>
      </c>
      <c r="H389" t="s">
        <v>74</v>
      </c>
      <c r="I389" t="s">
        <v>7409</v>
      </c>
      <c r="J389" t="s">
        <v>7410</v>
      </c>
      <c r="K389" t="s">
        <v>74</v>
      </c>
      <c r="L389" t="s">
        <v>74</v>
      </c>
      <c r="M389" t="s">
        <v>78</v>
      </c>
      <c r="N389" t="s">
        <v>79</v>
      </c>
      <c r="O389" t="s">
        <v>74</v>
      </c>
      <c r="P389" t="s">
        <v>74</v>
      </c>
      <c r="Q389" t="s">
        <v>74</v>
      </c>
      <c r="R389" t="s">
        <v>74</v>
      </c>
      <c r="S389" t="s">
        <v>74</v>
      </c>
      <c r="T389" t="s">
        <v>74</v>
      </c>
      <c r="U389" t="s">
        <v>7411</v>
      </c>
      <c r="V389" t="s">
        <v>7412</v>
      </c>
      <c r="W389" t="s">
        <v>7413</v>
      </c>
      <c r="X389" t="s">
        <v>7414</v>
      </c>
      <c r="Y389" t="s">
        <v>7415</v>
      </c>
      <c r="Z389" t="s">
        <v>7416</v>
      </c>
      <c r="AA389" t="s">
        <v>7417</v>
      </c>
      <c r="AB389" t="s">
        <v>7418</v>
      </c>
      <c r="AC389" t="s">
        <v>7419</v>
      </c>
      <c r="AD389" t="s">
        <v>7420</v>
      </c>
      <c r="AE389" t="s">
        <v>7421</v>
      </c>
      <c r="AF389" t="s">
        <v>74</v>
      </c>
      <c r="AG389">
        <v>52</v>
      </c>
      <c r="AH389">
        <v>5</v>
      </c>
      <c r="AI389">
        <v>7</v>
      </c>
      <c r="AJ389">
        <v>1</v>
      </c>
      <c r="AK389">
        <v>4</v>
      </c>
      <c r="AL389" t="s">
        <v>182</v>
      </c>
      <c r="AM389" t="s">
        <v>183</v>
      </c>
      <c r="AN389" t="s">
        <v>184</v>
      </c>
      <c r="AO389" t="s">
        <v>74</v>
      </c>
      <c r="AP389" t="s">
        <v>7422</v>
      </c>
      <c r="AQ389" t="s">
        <v>74</v>
      </c>
      <c r="AR389" t="s">
        <v>7423</v>
      </c>
      <c r="AS389" t="s">
        <v>7424</v>
      </c>
      <c r="AT389" t="s">
        <v>7425</v>
      </c>
      <c r="AU389">
        <v>2022</v>
      </c>
      <c r="AV389">
        <v>13</v>
      </c>
      <c r="AW389">
        <v>1</v>
      </c>
      <c r="AX389" t="s">
        <v>74</v>
      </c>
      <c r="AY389" t="s">
        <v>74</v>
      </c>
      <c r="AZ389" t="s">
        <v>74</v>
      </c>
      <c r="BA389" t="s">
        <v>74</v>
      </c>
      <c r="BB389" t="s">
        <v>74</v>
      </c>
      <c r="BC389" t="s">
        <v>74</v>
      </c>
      <c r="BD389">
        <v>7840</v>
      </c>
      <c r="BE389" t="s">
        <v>7426</v>
      </c>
      <c r="BF389" t="str">
        <f>HYPERLINK("http://dx.doi.org/10.1038/s41467-022-35499-5","http://dx.doi.org/10.1038/s41467-022-35499-5")</f>
        <v>http://dx.doi.org/10.1038/s41467-022-35499-5</v>
      </c>
      <c r="BG389" t="s">
        <v>74</v>
      </c>
      <c r="BH389" t="s">
        <v>74</v>
      </c>
      <c r="BI389">
        <v>13</v>
      </c>
      <c r="BJ389" t="s">
        <v>189</v>
      </c>
      <c r="BK389" t="s">
        <v>104</v>
      </c>
      <c r="BL389" t="s">
        <v>190</v>
      </c>
      <c r="BM389" t="s">
        <v>7427</v>
      </c>
      <c r="BN389">
        <v>36543787</v>
      </c>
      <c r="BO389" t="s">
        <v>7428</v>
      </c>
      <c r="BP389" t="s">
        <v>74</v>
      </c>
      <c r="BQ389" t="s">
        <v>74</v>
      </c>
      <c r="BR389" t="s">
        <v>108</v>
      </c>
      <c r="BS389" t="s">
        <v>7429</v>
      </c>
      <c r="BT389" t="str">
        <f>HYPERLINK("https%3A%2F%2Fwww.webofscience.com%2Fwos%2Fwoscc%2Ffull-record%2FWOS:001028170500012","View Full Record in Web of Science")</f>
        <v>View Full Record in Web of Science</v>
      </c>
    </row>
    <row r="390" spans="1:72" x14ac:dyDescent="0.15">
      <c r="A390" t="s">
        <v>72</v>
      </c>
      <c r="B390" t="s">
        <v>7430</v>
      </c>
      <c r="C390" t="s">
        <v>74</v>
      </c>
      <c r="D390" t="s">
        <v>74</v>
      </c>
      <c r="E390" t="s">
        <v>74</v>
      </c>
      <c r="F390" t="s">
        <v>7431</v>
      </c>
      <c r="G390" t="s">
        <v>74</v>
      </c>
      <c r="H390" t="s">
        <v>74</v>
      </c>
      <c r="I390" t="s">
        <v>7432</v>
      </c>
      <c r="J390" t="s">
        <v>718</v>
      </c>
      <c r="K390" t="s">
        <v>74</v>
      </c>
      <c r="L390" t="s">
        <v>74</v>
      </c>
      <c r="M390" t="s">
        <v>78</v>
      </c>
      <c r="N390" t="s">
        <v>79</v>
      </c>
      <c r="O390" t="s">
        <v>74</v>
      </c>
      <c r="P390" t="s">
        <v>74</v>
      </c>
      <c r="Q390" t="s">
        <v>74</v>
      </c>
      <c r="R390" t="s">
        <v>74</v>
      </c>
      <c r="S390" t="s">
        <v>74</v>
      </c>
      <c r="T390" t="s">
        <v>74</v>
      </c>
      <c r="U390" t="s">
        <v>7433</v>
      </c>
      <c r="V390" t="s">
        <v>7434</v>
      </c>
      <c r="W390" t="s">
        <v>7435</v>
      </c>
      <c r="X390" t="s">
        <v>7436</v>
      </c>
      <c r="Y390" t="s">
        <v>7437</v>
      </c>
      <c r="Z390" t="s">
        <v>7438</v>
      </c>
      <c r="AA390" t="s">
        <v>7439</v>
      </c>
      <c r="AB390" t="s">
        <v>7440</v>
      </c>
      <c r="AC390" t="s">
        <v>7441</v>
      </c>
      <c r="AD390" t="s">
        <v>7442</v>
      </c>
      <c r="AE390" t="s">
        <v>7443</v>
      </c>
      <c r="AF390" t="s">
        <v>74</v>
      </c>
      <c r="AG390">
        <v>60</v>
      </c>
      <c r="AH390">
        <v>2</v>
      </c>
      <c r="AI390">
        <v>2</v>
      </c>
      <c r="AJ390">
        <v>5</v>
      </c>
      <c r="AK390">
        <v>13</v>
      </c>
      <c r="AL390" t="s">
        <v>126</v>
      </c>
      <c r="AM390" t="s">
        <v>127</v>
      </c>
      <c r="AN390" t="s">
        <v>128</v>
      </c>
      <c r="AO390" t="s">
        <v>730</v>
      </c>
      <c r="AP390" t="s">
        <v>731</v>
      </c>
      <c r="AQ390" t="s">
        <v>74</v>
      </c>
      <c r="AR390" t="s">
        <v>718</v>
      </c>
      <c r="AS390" t="s">
        <v>732</v>
      </c>
      <c r="AT390" t="s">
        <v>7425</v>
      </c>
      <c r="AU390">
        <v>2022</v>
      </c>
      <c r="AV390">
        <v>19</v>
      </c>
      <c r="AW390">
        <v>24</v>
      </c>
      <c r="AX390" t="s">
        <v>74</v>
      </c>
      <c r="AY390" t="s">
        <v>74</v>
      </c>
      <c r="AZ390" t="s">
        <v>74</v>
      </c>
      <c r="BA390" t="s">
        <v>74</v>
      </c>
      <c r="BB390">
        <v>5911</v>
      </c>
      <c r="BC390">
        <v>5926</v>
      </c>
      <c r="BD390" t="s">
        <v>74</v>
      </c>
      <c r="BE390" t="s">
        <v>7444</v>
      </c>
      <c r="BF390" t="str">
        <f>HYPERLINK("http://dx.doi.org/10.5194/bg-19-5911-2022","http://dx.doi.org/10.5194/bg-19-5911-2022")</f>
        <v>http://dx.doi.org/10.5194/bg-19-5911-2022</v>
      </c>
      <c r="BG390" t="s">
        <v>74</v>
      </c>
      <c r="BH390" t="s">
        <v>74</v>
      </c>
      <c r="BI390">
        <v>16</v>
      </c>
      <c r="BJ390" t="s">
        <v>734</v>
      </c>
      <c r="BK390" t="s">
        <v>104</v>
      </c>
      <c r="BL390" t="s">
        <v>735</v>
      </c>
      <c r="BM390" t="s">
        <v>7445</v>
      </c>
      <c r="BN390" t="s">
        <v>74</v>
      </c>
      <c r="BO390" t="s">
        <v>7446</v>
      </c>
      <c r="BP390" t="s">
        <v>74</v>
      </c>
      <c r="BQ390" t="s">
        <v>74</v>
      </c>
      <c r="BR390" t="s">
        <v>108</v>
      </c>
      <c r="BS390" t="s">
        <v>7447</v>
      </c>
      <c r="BT390" t="str">
        <f>HYPERLINK("https%3A%2F%2Fwww.webofscience.com%2Fwos%2Fwoscc%2Ffull-record%2FWOS:000930863800001","View Full Record in Web of Science")</f>
        <v>View Full Record in Web of Science</v>
      </c>
    </row>
    <row r="391" spans="1:72" x14ac:dyDescent="0.15">
      <c r="A391" t="s">
        <v>72</v>
      </c>
      <c r="B391" t="s">
        <v>7448</v>
      </c>
      <c r="C391" t="s">
        <v>74</v>
      </c>
      <c r="D391" t="s">
        <v>74</v>
      </c>
      <c r="E391" t="s">
        <v>74</v>
      </c>
      <c r="F391" t="s">
        <v>7449</v>
      </c>
      <c r="G391" t="s">
        <v>74</v>
      </c>
      <c r="H391" t="s">
        <v>7450</v>
      </c>
      <c r="I391" t="s">
        <v>7451</v>
      </c>
      <c r="J391" t="s">
        <v>436</v>
      </c>
      <c r="K391" t="s">
        <v>74</v>
      </c>
      <c r="L391" t="s">
        <v>74</v>
      </c>
      <c r="M391" t="s">
        <v>78</v>
      </c>
      <c r="N391" t="s">
        <v>79</v>
      </c>
      <c r="O391" t="s">
        <v>74</v>
      </c>
      <c r="P391" t="s">
        <v>74</v>
      </c>
      <c r="Q391" t="s">
        <v>74</v>
      </c>
      <c r="R391" t="s">
        <v>74</v>
      </c>
      <c r="S391" t="s">
        <v>74</v>
      </c>
      <c r="T391" t="s">
        <v>7452</v>
      </c>
      <c r="U391" t="s">
        <v>7453</v>
      </c>
      <c r="V391" t="s">
        <v>7454</v>
      </c>
      <c r="W391" t="s">
        <v>7455</v>
      </c>
      <c r="X391" t="s">
        <v>1227</v>
      </c>
      <c r="Y391" t="s">
        <v>7456</v>
      </c>
      <c r="Z391" t="s">
        <v>7457</v>
      </c>
      <c r="AA391" t="s">
        <v>7458</v>
      </c>
      <c r="AB391" t="s">
        <v>7459</v>
      </c>
      <c r="AC391" t="s">
        <v>7460</v>
      </c>
      <c r="AD391" t="s">
        <v>7461</v>
      </c>
      <c r="AE391" t="s">
        <v>7462</v>
      </c>
      <c r="AF391" t="s">
        <v>74</v>
      </c>
      <c r="AG391">
        <v>65</v>
      </c>
      <c r="AH391">
        <v>0</v>
      </c>
      <c r="AI391">
        <v>0</v>
      </c>
      <c r="AJ391">
        <v>2</v>
      </c>
      <c r="AK391">
        <v>9</v>
      </c>
      <c r="AL391" t="s">
        <v>448</v>
      </c>
      <c r="AM391" t="s">
        <v>449</v>
      </c>
      <c r="AN391" t="s">
        <v>450</v>
      </c>
      <c r="AO391" t="s">
        <v>74</v>
      </c>
      <c r="AP391" t="s">
        <v>451</v>
      </c>
      <c r="AQ391" t="s">
        <v>74</v>
      </c>
      <c r="AR391" t="s">
        <v>452</v>
      </c>
      <c r="AS391" t="s">
        <v>453</v>
      </c>
      <c r="AT391" t="s">
        <v>7425</v>
      </c>
      <c r="AU391">
        <v>2022</v>
      </c>
      <c r="AV391">
        <v>10</v>
      </c>
      <c r="AW391" t="s">
        <v>74</v>
      </c>
      <c r="AX391" t="s">
        <v>74</v>
      </c>
      <c r="AY391" t="s">
        <v>74</v>
      </c>
      <c r="AZ391" t="s">
        <v>74</v>
      </c>
      <c r="BA391" t="s">
        <v>74</v>
      </c>
      <c r="BB391" t="s">
        <v>74</v>
      </c>
      <c r="BC391" t="s">
        <v>74</v>
      </c>
      <c r="BD391">
        <v>976703</v>
      </c>
      <c r="BE391" t="s">
        <v>7463</v>
      </c>
      <c r="BF391" t="str">
        <f>HYPERLINK("http://dx.doi.org/10.3389/feart.2022.976703","http://dx.doi.org/10.3389/feart.2022.976703")</f>
        <v>http://dx.doi.org/10.3389/feart.2022.976703</v>
      </c>
      <c r="BG391" t="s">
        <v>74</v>
      </c>
      <c r="BH391" t="s">
        <v>74</v>
      </c>
      <c r="BI391">
        <v>19</v>
      </c>
      <c r="BJ391" t="s">
        <v>455</v>
      </c>
      <c r="BK391" t="s">
        <v>104</v>
      </c>
      <c r="BL391" t="s">
        <v>456</v>
      </c>
      <c r="BM391" t="s">
        <v>7464</v>
      </c>
      <c r="BN391" t="s">
        <v>74</v>
      </c>
      <c r="BO391" t="s">
        <v>7465</v>
      </c>
      <c r="BP391" t="s">
        <v>74</v>
      </c>
      <c r="BQ391" t="s">
        <v>74</v>
      </c>
      <c r="BR391" t="s">
        <v>108</v>
      </c>
      <c r="BS391" t="s">
        <v>7466</v>
      </c>
      <c r="BT391" t="str">
        <f>HYPERLINK("https%3A%2F%2Fwww.webofscience.com%2Fwos%2Fwoscc%2Ffull-record%2FWOS:000917920700001","View Full Record in Web of Science")</f>
        <v>View Full Record in Web of Science</v>
      </c>
    </row>
    <row r="392" spans="1:72" x14ac:dyDescent="0.15">
      <c r="A392" t="s">
        <v>72</v>
      </c>
      <c r="B392" t="s">
        <v>7467</v>
      </c>
      <c r="C392" t="s">
        <v>74</v>
      </c>
      <c r="D392" t="s">
        <v>74</v>
      </c>
      <c r="E392" t="s">
        <v>74</v>
      </c>
      <c r="F392" t="s">
        <v>7468</v>
      </c>
      <c r="G392" t="s">
        <v>74</v>
      </c>
      <c r="H392" t="s">
        <v>74</v>
      </c>
      <c r="I392" t="s">
        <v>7469</v>
      </c>
      <c r="J392" t="s">
        <v>7470</v>
      </c>
      <c r="K392" t="s">
        <v>74</v>
      </c>
      <c r="L392" t="s">
        <v>74</v>
      </c>
      <c r="M392" t="s">
        <v>78</v>
      </c>
      <c r="N392" t="s">
        <v>79</v>
      </c>
      <c r="O392" t="s">
        <v>74</v>
      </c>
      <c r="P392" t="s">
        <v>74</v>
      </c>
      <c r="Q392" t="s">
        <v>74</v>
      </c>
      <c r="R392" t="s">
        <v>74</v>
      </c>
      <c r="S392" t="s">
        <v>74</v>
      </c>
      <c r="T392" t="s">
        <v>7471</v>
      </c>
      <c r="U392" t="s">
        <v>7472</v>
      </c>
      <c r="V392" t="s">
        <v>7473</v>
      </c>
      <c r="W392" t="s">
        <v>7474</v>
      </c>
      <c r="X392" t="s">
        <v>7475</v>
      </c>
      <c r="Y392" t="s">
        <v>7476</v>
      </c>
      <c r="Z392" t="s">
        <v>7477</v>
      </c>
      <c r="AA392" t="s">
        <v>7478</v>
      </c>
      <c r="AB392" t="s">
        <v>7479</v>
      </c>
      <c r="AC392" t="s">
        <v>7480</v>
      </c>
      <c r="AD392" t="s">
        <v>7481</v>
      </c>
      <c r="AE392" t="s">
        <v>7482</v>
      </c>
      <c r="AF392" t="s">
        <v>74</v>
      </c>
      <c r="AG392">
        <v>101</v>
      </c>
      <c r="AH392">
        <v>6</v>
      </c>
      <c r="AI392">
        <v>6</v>
      </c>
      <c r="AJ392">
        <v>2</v>
      </c>
      <c r="AK392">
        <v>7</v>
      </c>
      <c r="AL392" t="s">
        <v>6610</v>
      </c>
      <c r="AM392" t="s">
        <v>1372</v>
      </c>
      <c r="AN392" t="s">
        <v>6611</v>
      </c>
      <c r="AO392" t="s">
        <v>7483</v>
      </c>
      <c r="AP392" t="s">
        <v>7484</v>
      </c>
      <c r="AQ392" t="s">
        <v>74</v>
      </c>
      <c r="AR392" t="s">
        <v>7470</v>
      </c>
      <c r="AS392" t="s">
        <v>7485</v>
      </c>
      <c r="AT392" t="s">
        <v>7425</v>
      </c>
      <c r="AU392">
        <v>2022</v>
      </c>
      <c r="AV392" t="s">
        <v>74</v>
      </c>
      <c r="AW392">
        <v>1137</v>
      </c>
      <c r="AX392" t="s">
        <v>74</v>
      </c>
      <c r="AY392" t="s">
        <v>74</v>
      </c>
      <c r="AZ392" t="s">
        <v>74</v>
      </c>
      <c r="BA392" t="s">
        <v>74</v>
      </c>
      <c r="BB392">
        <v>33</v>
      </c>
      <c r="BC392">
        <v>74</v>
      </c>
      <c r="BD392" t="s">
        <v>74</v>
      </c>
      <c r="BE392" t="s">
        <v>7486</v>
      </c>
      <c r="BF392" t="str">
        <f>HYPERLINK("http://dx.doi.org/10.3897/zookeys.1137.86150","http://dx.doi.org/10.3897/zookeys.1137.86150")</f>
        <v>http://dx.doi.org/10.3897/zookeys.1137.86150</v>
      </c>
      <c r="BG392" t="s">
        <v>74</v>
      </c>
      <c r="BH392" t="s">
        <v>74</v>
      </c>
      <c r="BI392">
        <v>42</v>
      </c>
      <c r="BJ392" t="s">
        <v>2468</v>
      </c>
      <c r="BK392" t="s">
        <v>104</v>
      </c>
      <c r="BL392" t="s">
        <v>2468</v>
      </c>
      <c r="BM392" t="s">
        <v>7487</v>
      </c>
      <c r="BN392">
        <v>36760485</v>
      </c>
      <c r="BO392" t="s">
        <v>3181</v>
      </c>
      <c r="BP392" t="s">
        <v>74</v>
      </c>
      <c r="BQ392" t="s">
        <v>74</v>
      </c>
      <c r="BR392" t="s">
        <v>108</v>
      </c>
      <c r="BS392" t="s">
        <v>7488</v>
      </c>
      <c r="BT392" t="str">
        <f>HYPERLINK("https%3A%2F%2Fwww.webofscience.com%2Fwos%2Fwoscc%2Ffull-record%2FWOS:000906796700003","View Full Record in Web of Science")</f>
        <v>View Full Record in Web of Science</v>
      </c>
    </row>
    <row r="393" spans="1:72" x14ac:dyDescent="0.15">
      <c r="A393" t="s">
        <v>72</v>
      </c>
      <c r="B393" t="s">
        <v>7489</v>
      </c>
      <c r="C393" t="s">
        <v>74</v>
      </c>
      <c r="D393" t="s">
        <v>74</v>
      </c>
      <c r="E393" t="s">
        <v>74</v>
      </c>
      <c r="F393" t="s">
        <v>7490</v>
      </c>
      <c r="G393" t="s">
        <v>74</v>
      </c>
      <c r="H393" t="s">
        <v>74</v>
      </c>
      <c r="I393" t="s">
        <v>7491</v>
      </c>
      <c r="J393" t="s">
        <v>7492</v>
      </c>
      <c r="K393" t="s">
        <v>74</v>
      </c>
      <c r="L393" t="s">
        <v>74</v>
      </c>
      <c r="M393" t="s">
        <v>78</v>
      </c>
      <c r="N393" t="s">
        <v>79</v>
      </c>
      <c r="O393" t="s">
        <v>74</v>
      </c>
      <c r="P393" t="s">
        <v>74</v>
      </c>
      <c r="Q393" t="s">
        <v>74</v>
      </c>
      <c r="R393" t="s">
        <v>74</v>
      </c>
      <c r="S393" t="s">
        <v>74</v>
      </c>
      <c r="T393" t="s">
        <v>7493</v>
      </c>
      <c r="U393" t="s">
        <v>7494</v>
      </c>
      <c r="V393" t="s">
        <v>7495</v>
      </c>
      <c r="W393" t="s">
        <v>7496</v>
      </c>
      <c r="X393" t="s">
        <v>7497</v>
      </c>
      <c r="Y393" t="s">
        <v>7498</v>
      </c>
      <c r="Z393" t="s">
        <v>7499</v>
      </c>
      <c r="AA393" t="s">
        <v>7500</v>
      </c>
      <c r="AB393" t="s">
        <v>7501</v>
      </c>
      <c r="AC393" t="s">
        <v>7502</v>
      </c>
      <c r="AD393" t="s">
        <v>7502</v>
      </c>
      <c r="AE393" t="s">
        <v>7503</v>
      </c>
      <c r="AF393" t="s">
        <v>74</v>
      </c>
      <c r="AG393">
        <v>51</v>
      </c>
      <c r="AH393">
        <v>5</v>
      </c>
      <c r="AI393">
        <v>5</v>
      </c>
      <c r="AJ393">
        <v>4</v>
      </c>
      <c r="AK393">
        <v>15</v>
      </c>
      <c r="AL393" t="s">
        <v>7504</v>
      </c>
      <c r="AM393" t="s">
        <v>375</v>
      </c>
      <c r="AN393" t="s">
        <v>7505</v>
      </c>
      <c r="AO393" t="s">
        <v>7506</v>
      </c>
      <c r="AP393" t="s">
        <v>74</v>
      </c>
      <c r="AQ393" t="s">
        <v>74</v>
      </c>
      <c r="AR393" t="s">
        <v>7507</v>
      </c>
      <c r="AS393" t="s">
        <v>7508</v>
      </c>
      <c r="AT393" t="s">
        <v>7425</v>
      </c>
      <c r="AU393">
        <v>2022</v>
      </c>
      <c r="AV393">
        <v>9</v>
      </c>
      <c r="AW393">
        <v>12</v>
      </c>
      <c r="AX393" t="s">
        <v>74</v>
      </c>
      <c r="AY393" t="s">
        <v>74</v>
      </c>
      <c r="AZ393" t="s">
        <v>74</v>
      </c>
      <c r="BA393" t="s">
        <v>74</v>
      </c>
      <c r="BB393" t="s">
        <v>74</v>
      </c>
      <c r="BC393" t="s">
        <v>74</v>
      </c>
      <c r="BD393">
        <v>221022</v>
      </c>
      <c r="BE393" t="s">
        <v>7509</v>
      </c>
      <c r="BF393" t="str">
        <f>HYPERLINK("http://dx.doi.org/10.1098/rsos.221022","http://dx.doi.org/10.1098/rsos.221022")</f>
        <v>http://dx.doi.org/10.1098/rsos.221022</v>
      </c>
      <c r="BG393" t="s">
        <v>74</v>
      </c>
      <c r="BH393" t="s">
        <v>74</v>
      </c>
      <c r="BI393">
        <v>11</v>
      </c>
      <c r="BJ393" t="s">
        <v>189</v>
      </c>
      <c r="BK393" t="s">
        <v>104</v>
      </c>
      <c r="BL393" t="s">
        <v>190</v>
      </c>
      <c r="BM393" t="s">
        <v>7510</v>
      </c>
      <c r="BN393">
        <v>36569229</v>
      </c>
      <c r="BO393" t="s">
        <v>7511</v>
      </c>
      <c r="BP393" t="s">
        <v>74</v>
      </c>
      <c r="BQ393" t="s">
        <v>74</v>
      </c>
      <c r="BR393" t="s">
        <v>108</v>
      </c>
      <c r="BS393" t="s">
        <v>7512</v>
      </c>
      <c r="BT393" t="str">
        <f>HYPERLINK("https%3A%2F%2Fwww.webofscience.com%2Fwos%2Fwoscc%2Ffull-record%2FWOS:000901748500004","View Full Record in Web of Science")</f>
        <v>View Full Record in Web of Science</v>
      </c>
    </row>
    <row r="394" spans="1:72" x14ac:dyDescent="0.15">
      <c r="A394" t="s">
        <v>72</v>
      </c>
      <c r="B394" t="s">
        <v>7513</v>
      </c>
      <c r="C394" t="s">
        <v>74</v>
      </c>
      <c r="D394" t="s">
        <v>74</v>
      </c>
      <c r="E394" t="s">
        <v>74</v>
      </c>
      <c r="F394" t="s">
        <v>7514</v>
      </c>
      <c r="G394" t="s">
        <v>74</v>
      </c>
      <c r="H394" t="s">
        <v>74</v>
      </c>
      <c r="I394" t="s">
        <v>7515</v>
      </c>
      <c r="J394" t="s">
        <v>7516</v>
      </c>
      <c r="K394" t="s">
        <v>74</v>
      </c>
      <c r="L394" t="s">
        <v>74</v>
      </c>
      <c r="M394" t="s">
        <v>78</v>
      </c>
      <c r="N394" t="s">
        <v>79</v>
      </c>
      <c r="O394" t="s">
        <v>74</v>
      </c>
      <c r="P394" t="s">
        <v>74</v>
      </c>
      <c r="Q394" t="s">
        <v>74</v>
      </c>
      <c r="R394" t="s">
        <v>74</v>
      </c>
      <c r="S394" t="s">
        <v>74</v>
      </c>
      <c r="T394" t="s">
        <v>7517</v>
      </c>
      <c r="U394" t="s">
        <v>7518</v>
      </c>
      <c r="V394" t="s">
        <v>7519</v>
      </c>
      <c r="W394" t="s">
        <v>7520</v>
      </c>
      <c r="X394" t="s">
        <v>7521</v>
      </c>
      <c r="Y394" t="s">
        <v>7522</v>
      </c>
      <c r="Z394" t="s">
        <v>7523</v>
      </c>
      <c r="AA394" t="s">
        <v>7524</v>
      </c>
      <c r="AB394" t="s">
        <v>7525</v>
      </c>
      <c r="AC394" t="s">
        <v>7526</v>
      </c>
      <c r="AD394" t="s">
        <v>7527</v>
      </c>
      <c r="AE394" t="s">
        <v>7528</v>
      </c>
      <c r="AF394" t="s">
        <v>74</v>
      </c>
      <c r="AG394">
        <v>81</v>
      </c>
      <c r="AH394">
        <v>5</v>
      </c>
      <c r="AI394">
        <v>5</v>
      </c>
      <c r="AJ394">
        <v>17</v>
      </c>
      <c r="AK394">
        <v>51</v>
      </c>
      <c r="AL394" t="s">
        <v>237</v>
      </c>
      <c r="AM394" t="s">
        <v>238</v>
      </c>
      <c r="AN394" t="s">
        <v>239</v>
      </c>
      <c r="AO394" t="s">
        <v>7529</v>
      </c>
      <c r="AP394" t="s">
        <v>7530</v>
      </c>
      <c r="AQ394" t="s">
        <v>74</v>
      </c>
      <c r="AR394" t="s">
        <v>7531</v>
      </c>
      <c r="AS394" t="s">
        <v>7532</v>
      </c>
      <c r="AT394" t="s">
        <v>7018</v>
      </c>
      <c r="AU394">
        <v>2023</v>
      </c>
      <c r="AV394">
        <v>1239</v>
      </c>
      <c r="AW394" t="s">
        <v>74</v>
      </c>
      <c r="AX394" t="s">
        <v>74</v>
      </c>
      <c r="AY394" t="s">
        <v>74</v>
      </c>
      <c r="AZ394" t="s">
        <v>74</v>
      </c>
      <c r="BA394" t="s">
        <v>74</v>
      </c>
      <c r="BB394" t="s">
        <v>74</v>
      </c>
      <c r="BC394" t="s">
        <v>74</v>
      </c>
      <c r="BD394">
        <v>340700</v>
      </c>
      <c r="BE394" t="s">
        <v>7533</v>
      </c>
      <c r="BF394" t="str">
        <f>HYPERLINK("http://dx.doi.org/10.1016/j.aca.2022.340700","http://dx.doi.org/10.1016/j.aca.2022.340700")</f>
        <v>http://dx.doi.org/10.1016/j.aca.2022.340700</v>
      </c>
      <c r="BG394" t="s">
        <v>74</v>
      </c>
      <c r="BH394" t="s">
        <v>5796</v>
      </c>
      <c r="BI394">
        <v>11</v>
      </c>
      <c r="BJ394" t="s">
        <v>7534</v>
      </c>
      <c r="BK394" t="s">
        <v>104</v>
      </c>
      <c r="BL394" t="s">
        <v>7535</v>
      </c>
      <c r="BM394" t="s">
        <v>7536</v>
      </c>
      <c r="BN394">
        <v>36628710</v>
      </c>
      <c r="BO394" t="s">
        <v>5671</v>
      </c>
      <c r="BP394" t="s">
        <v>74</v>
      </c>
      <c r="BQ394" t="s">
        <v>74</v>
      </c>
      <c r="BR394" t="s">
        <v>108</v>
      </c>
      <c r="BS394" t="s">
        <v>7537</v>
      </c>
      <c r="BT394" t="str">
        <f>HYPERLINK("https%3A%2F%2Fwww.webofscience.com%2Fwos%2Fwoscc%2Ffull-record%2FWOS:000904950200002","View Full Record in Web of Science")</f>
        <v>View Full Record in Web of Science</v>
      </c>
    </row>
    <row r="395" spans="1:72" x14ac:dyDescent="0.15">
      <c r="A395" t="s">
        <v>72</v>
      </c>
      <c r="B395" t="s">
        <v>7538</v>
      </c>
      <c r="C395" t="s">
        <v>74</v>
      </c>
      <c r="D395" t="s">
        <v>74</v>
      </c>
      <c r="E395" t="s">
        <v>74</v>
      </c>
      <c r="F395" t="s">
        <v>7539</v>
      </c>
      <c r="G395" t="s">
        <v>74</v>
      </c>
      <c r="H395" t="s">
        <v>74</v>
      </c>
      <c r="I395" t="s">
        <v>7540</v>
      </c>
      <c r="J395" t="s">
        <v>7541</v>
      </c>
      <c r="K395" t="s">
        <v>74</v>
      </c>
      <c r="L395" t="s">
        <v>74</v>
      </c>
      <c r="M395" t="s">
        <v>78</v>
      </c>
      <c r="N395" t="s">
        <v>79</v>
      </c>
      <c r="O395" t="s">
        <v>74</v>
      </c>
      <c r="P395" t="s">
        <v>74</v>
      </c>
      <c r="Q395" t="s">
        <v>74</v>
      </c>
      <c r="R395" t="s">
        <v>74</v>
      </c>
      <c r="S395" t="s">
        <v>74</v>
      </c>
      <c r="T395" t="s">
        <v>7542</v>
      </c>
      <c r="U395" t="s">
        <v>7543</v>
      </c>
      <c r="V395" t="s">
        <v>7544</v>
      </c>
      <c r="W395" t="s">
        <v>7545</v>
      </c>
      <c r="X395" t="s">
        <v>791</v>
      </c>
      <c r="Y395" t="s">
        <v>7546</v>
      </c>
      <c r="Z395" t="s">
        <v>7547</v>
      </c>
      <c r="AA395" t="s">
        <v>7548</v>
      </c>
      <c r="AB395" t="s">
        <v>7549</v>
      </c>
      <c r="AC395" t="s">
        <v>74</v>
      </c>
      <c r="AD395" t="s">
        <v>74</v>
      </c>
      <c r="AE395" t="s">
        <v>74</v>
      </c>
      <c r="AF395" t="s">
        <v>74</v>
      </c>
      <c r="AG395">
        <v>53</v>
      </c>
      <c r="AH395">
        <v>5</v>
      </c>
      <c r="AI395">
        <v>5</v>
      </c>
      <c r="AJ395">
        <v>3</v>
      </c>
      <c r="AK395">
        <v>18</v>
      </c>
      <c r="AL395" t="s">
        <v>7504</v>
      </c>
      <c r="AM395" t="s">
        <v>375</v>
      </c>
      <c r="AN395" t="s">
        <v>7505</v>
      </c>
      <c r="AO395" t="s">
        <v>7550</v>
      </c>
      <c r="AP395" t="s">
        <v>7551</v>
      </c>
      <c r="AQ395" t="s">
        <v>74</v>
      </c>
      <c r="AR395" t="s">
        <v>7552</v>
      </c>
      <c r="AS395" t="s">
        <v>7553</v>
      </c>
      <c r="AT395" t="s">
        <v>7425</v>
      </c>
      <c r="AU395">
        <v>2022</v>
      </c>
      <c r="AV395">
        <v>289</v>
      </c>
      <c r="AW395">
        <v>1989</v>
      </c>
      <c r="AX395" t="s">
        <v>74</v>
      </c>
      <c r="AY395" t="s">
        <v>74</v>
      </c>
      <c r="AZ395" t="s">
        <v>74</v>
      </c>
      <c r="BA395" t="s">
        <v>74</v>
      </c>
      <c r="BB395" t="s">
        <v>74</v>
      </c>
      <c r="BC395" t="s">
        <v>74</v>
      </c>
      <c r="BD395">
        <v>20221649</v>
      </c>
      <c r="BE395" t="s">
        <v>7554</v>
      </c>
      <c r="BF395" t="str">
        <f>HYPERLINK("http://dx.doi.org/10.1098/rspb.2022.1649","http://dx.doi.org/10.1098/rspb.2022.1649")</f>
        <v>http://dx.doi.org/10.1098/rspb.2022.1649</v>
      </c>
      <c r="BG395" t="s">
        <v>74</v>
      </c>
      <c r="BH395" t="s">
        <v>74</v>
      </c>
      <c r="BI395">
        <v>11</v>
      </c>
      <c r="BJ395" t="s">
        <v>7555</v>
      </c>
      <c r="BK395" t="s">
        <v>104</v>
      </c>
      <c r="BL395" t="s">
        <v>7556</v>
      </c>
      <c r="BM395" t="s">
        <v>7557</v>
      </c>
      <c r="BN395">
        <v>36515119</v>
      </c>
      <c r="BO395" t="s">
        <v>107</v>
      </c>
      <c r="BP395" t="s">
        <v>74</v>
      </c>
      <c r="BQ395" t="s">
        <v>74</v>
      </c>
      <c r="BR395" t="s">
        <v>108</v>
      </c>
      <c r="BS395" t="s">
        <v>7558</v>
      </c>
      <c r="BT395" t="str">
        <f>HYPERLINK("https%3A%2F%2Fwww.webofscience.com%2Fwos%2Fwoscc%2Ffull-record%2FWOS:000898820800003","View Full Record in Web of Science")</f>
        <v>View Full Record in Web of Science</v>
      </c>
    </row>
    <row r="396" spans="1:72" x14ac:dyDescent="0.15">
      <c r="A396" t="s">
        <v>72</v>
      </c>
      <c r="B396" t="s">
        <v>7559</v>
      </c>
      <c r="C396" t="s">
        <v>74</v>
      </c>
      <c r="D396" t="s">
        <v>74</v>
      </c>
      <c r="E396" t="s">
        <v>74</v>
      </c>
      <c r="F396" t="s">
        <v>7560</v>
      </c>
      <c r="G396" t="s">
        <v>74</v>
      </c>
      <c r="H396" t="s">
        <v>74</v>
      </c>
      <c r="I396" t="s">
        <v>7561</v>
      </c>
      <c r="J396" t="s">
        <v>7541</v>
      </c>
      <c r="K396" t="s">
        <v>74</v>
      </c>
      <c r="L396" t="s">
        <v>74</v>
      </c>
      <c r="M396" t="s">
        <v>78</v>
      </c>
      <c r="N396" t="s">
        <v>79</v>
      </c>
      <c r="O396" t="s">
        <v>74</v>
      </c>
      <c r="P396" t="s">
        <v>74</v>
      </c>
      <c r="Q396" t="s">
        <v>74</v>
      </c>
      <c r="R396" t="s">
        <v>74</v>
      </c>
      <c r="S396" t="s">
        <v>74</v>
      </c>
      <c r="T396" t="s">
        <v>7562</v>
      </c>
      <c r="U396" t="s">
        <v>7563</v>
      </c>
      <c r="V396" t="s">
        <v>7564</v>
      </c>
      <c r="W396" t="s">
        <v>7565</v>
      </c>
      <c r="X396" t="s">
        <v>7566</v>
      </c>
      <c r="Y396" t="s">
        <v>7567</v>
      </c>
      <c r="Z396" t="s">
        <v>7568</v>
      </c>
      <c r="AA396" t="s">
        <v>74</v>
      </c>
      <c r="AB396" t="s">
        <v>7569</v>
      </c>
      <c r="AC396" t="s">
        <v>74</v>
      </c>
      <c r="AD396" t="s">
        <v>74</v>
      </c>
      <c r="AE396" t="s">
        <v>74</v>
      </c>
      <c r="AF396" t="s">
        <v>74</v>
      </c>
      <c r="AG396">
        <v>57</v>
      </c>
      <c r="AH396">
        <v>2</v>
      </c>
      <c r="AI396">
        <v>2</v>
      </c>
      <c r="AJ396">
        <v>5</v>
      </c>
      <c r="AK396">
        <v>13</v>
      </c>
      <c r="AL396" t="s">
        <v>7504</v>
      </c>
      <c r="AM396" t="s">
        <v>375</v>
      </c>
      <c r="AN396" t="s">
        <v>7505</v>
      </c>
      <c r="AO396" t="s">
        <v>7550</v>
      </c>
      <c r="AP396" t="s">
        <v>7551</v>
      </c>
      <c r="AQ396" t="s">
        <v>74</v>
      </c>
      <c r="AR396" t="s">
        <v>7552</v>
      </c>
      <c r="AS396" t="s">
        <v>7553</v>
      </c>
      <c r="AT396" t="s">
        <v>7425</v>
      </c>
      <c r="AU396">
        <v>2022</v>
      </c>
      <c r="AV396">
        <v>289</v>
      </c>
      <c r="AW396">
        <v>1989</v>
      </c>
      <c r="AX396" t="s">
        <v>74</v>
      </c>
      <c r="AY396" t="s">
        <v>74</v>
      </c>
      <c r="AZ396" t="s">
        <v>74</v>
      </c>
      <c r="BA396" t="s">
        <v>74</v>
      </c>
      <c r="BB396" t="s">
        <v>74</v>
      </c>
      <c r="BC396" t="s">
        <v>74</v>
      </c>
      <c r="BD396">
        <v>20222056</v>
      </c>
      <c r="BE396" t="s">
        <v>7570</v>
      </c>
      <c r="BF396" t="str">
        <f>HYPERLINK("http://dx.doi.org/10.1098/rspb.2022.2056","http://dx.doi.org/10.1098/rspb.2022.2056")</f>
        <v>http://dx.doi.org/10.1098/rspb.2022.2056</v>
      </c>
      <c r="BG396" t="s">
        <v>74</v>
      </c>
      <c r="BH396" t="s">
        <v>74</v>
      </c>
      <c r="BI396">
        <v>9</v>
      </c>
      <c r="BJ396" t="s">
        <v>7555</v>
      </c>
      <c r="BK396" t="s">
        <v>104</v>
      </c>
      <c r="BL396" t="s">
        <v>7556</v>
      </c>
      <c r="BM396" t="s">
        <v>7557</v>
      </c>
      <c r="BN396">
        <v>36515120</v>
      </c>
      <c r="BO396" t="s">
        <v>248</v>
      </c>
      <c r="BP396" t="s">
        <v>74</v>
      </c>
      <c r="BQ396" t="s">
        <v>74</v>
      </c>
      <c r="BR396" t="s">
        <v>108</v>
      </c>
      <c r="BS396" t="s">
        <v>7571</v>
      </c>
      <c r="BT396" t="str">
        <f>HYPERLINK("https%3A%2F%2Fwww.webofscience.com%2Fwos%2Fwoscc%2Ffull-record%2FWOS:000898820800009","View Full Record in Web of Science")</f>
        <v>View Full Record in Web of Science</v>
      </c>
    </row>
    <row r="397" spans="1:72" x14ac:dyDescent="0.15">
      <c r="A397" t="s">
        <v>72</v>
      </c>
      <c r="B397" t="s">
        <v>7572</v>
      </c>
      <c r="C397" t="s">
        <v>74</v>
      </c>
      <c r="D397" t="s">
        <v>74</v>
      </c>
      <c r="E397" t="s">
        <v>74</v>
      </c>
      <c r="F397" t="s">
        <v>7573</v>
      </c>
      <c r="G397" t="s">
        <v>74</v>
      </c>
      <c r="H397" t="s">
        <v>74</v>
      </c>
      <c r="I397" t="s">
        <v>7574</v>
      </c>
      <c r="J397" t="s">
        <v>114</v>
      </c>
      <c r="K397" t="s">
        <v>74</v>
      </c>
      <c r="L397" t="s">
        <v>74</v>
      </c>
      <c r="M397" t="s">
        <v>78</v>
      </c>
      <c r="N397" t="s">
        <v>79</v>
      </c>
      <c r="O397" t="s">
        <v>74</v>
      </c>
      <c r="P397" t="s">
        <v>74</v>
      </c>
      <c r="Q397" t="s">
        <v>74</v>
      </c>
      <c r="R397" t="s">
        <v>74</v>
      </c>
      <c r="S397" t="s">
        <v>74</v>
      </c>
      <c r="T397" t="s">
        <v>74</v>
      </c>
      <c r="U397" t="s">
        <v>7575</v>
      </c>
      <c r="V397" t="s">
        <v>7576</v>
      </c>
      <c r="W397" t="s">
        <v>7577</v>
      </c>
      <c r="X397" t="s">
        <v>7578</v>
      </c>
      <c r="Y397" t="s">
        <v>7579</v>
      </c>
      <c r="Z397" t="s">
        <v>7580</v>
      </c>
      <c r="AA397" t="s">
        <v>7581</v>
      </c>
      <c r="AB397" t="s">
        <v>7582</v>
      </c>
      <c r="AC397" t="s">
        <v>7583</v>
      </c>
      <c r="AD397" t="s">
        <v>7584</v>
      </c>
      <c r="AE397" t="s">
        <v>7585</v>
      </c>
      <c r="AF397" t="s">
        <v>74</v>
      </c>
      <c r="AG397">
        <v>68</v>
      </c>
      <c r="AH397">
        <v>3</v>
      </c>
      <c r="AI397">
        <v>3</v>
      </c>
      <c r="AJ397">
        <v>1</v>
      </c>
      <c r="AK397">
        <v>3</v>
      </c>
      <c r="AL397" t="s">
        <v>126</v>
      </c>
      <c r="AM397" t="s">
        <v>127</v>
      </c>
      <c r="AN397" t="s">
        <v>128</v>
      </c>
      <c r="AO397" t="s">
        <v>129</v>
      </c>
      <c r="AP397" t="s">
        <v>130</v>
      </c>
      <c r="AQ397" t="s">
        <v>74</v>
      </c>
      <c r="AR397" t="s">
        <v>131</v>
      </c>
      <c r="AS397" t="s">
        <v>132</v>
      </c>
      <c r="AT397" t="s">
        <v>7425</v>
      </c>
      <c r="AU397">
        <v>2022</v>
      </c>
      <c r="AV397">
        <v>18</v>
      </c>
      <c r="AW397">
        <v>12</v>
      </c>
      <c r="AX397" t="s">
        <v>74</v>
      </c>
      <c r="AY397" t="s">
        <v>74</v>
      </c>
      <c r="AZ397" t="s">
        <v>74</v>
      </c>
      <c r="BA397" t="s">
        <v>74</v>
      </c>
      <c r="BB397">
        <v>2669</v>
      </c>
      <c r="BC397">
        <v>2693</v>
      </c>
      <c r="BD397" t="s">
        <v>74</v>
      </c>
      <c r="BE397" t="s">
        <v>7586</v>
      </c>
      <c r="BF397" t="str">
        <f>HYPERLINK("http://dx.doi.org/10.5194/cp-18-2669-2022","http://dx.doi.org/10.5194/cp-18-2669-2022")</f>
        <v>http://dx.doi.org/10.5194/cp-18-2669-2022</v>
      </c>
      <c r="BG397" t="s">
        <v>74</v>
      </c>
      <c r="BH397" t="s">
        <v>74</v>
      </c>
      <c r="BI397">
        <v>25</v>
      </c>
      <c r="BJ397" t="s">
        <v>135</v>
      </c>
      <c r="BK397" t="s">
        <v>104</v>
      </c>
      <c r="BL397" t="s">
        <v>136</v>
      </c>
      <c r="BM397" t="s">
        <v>7587</v>
      </c>
      <c r="BN397" t="s">
        <v>74</v>
      </c>
      <c r="BO397" t="s">
        <v>7446</v>
      </c>
      <c r="BP397" t="s">
        <v>74</v>
      </c>
      <c r="BQ397" t="s">
        <v>74</v>
      </c>
      <c r="BR397" t="s">
        <v>108</v>
      </c>
      <c r="BS397" t="s">
        <v>7588</v>
      </c>
      <c r="BT397" t="str">
        <f>HYPERLINK("https%3A%2F%2Fwww.webofscience.com%2Fwos%2Fwoscc%2Ffull-record%2FWOS:000901849800001","View Full Record in Web of Science")</f>
        <v>View Full Record in Web of Science</v>
      </c>
    </row>
    <row r="398" spans="1:72" x14ac:dyDescent="0.15">
      <c r="A398" t="s">
        <v>72</v>
      </c>
      <c r="B398" t="s">
        <v>7589</v>
      </c>
      <c r="C398" t="s">
        <v>74</v>
      </c>
      <c r="D398" t="s">
        <v>74</v>
      </c>
      <c r="E398" t="s">
        <v>74</v>
      </c>
      <c r="F398" t="s">
        <v>7590</v>
      </c>
      <c r="G398" t="s">
        <v>74</v>
      </c>
      <c r="H398" t="s">
        <v>74</v>
      </c>
      <c r="I398" t="s">
        <v>7591</v>
      </c>
      <c r="J398" t="s">
        <v>7392</v>
      </c>
      <c r="K398" t="s">
        <v>74</v>
      </c>
      <c r="L398" t="s">
        <v>74</v>
      </c>
      <c r="M398" t="s">
        <v>78</v>
      </c>
      <c r="N398" t="s">
        <v>79</v>
      </c>
      <c r="O398" t="s">
        <v>74</v>
      </c>
      <c r="P398" t="s">
        <v>74</v>
      </c>
      <c r="Q398" t="s">
        <v>74</v>
      </c>
      <c r="R398" t="s">
        <v>74</v>
      </c>
      <c r="S398" t="s">
        <v>74</v>
      </c>
      <c r="T398" t="s">
        <v>74</v>
      </c>
      <c r="U398" t="s">
        <v>7592</v>
      </c>
      <c r="V398" t="s">
        <v>7593</v>
      </c>
      <c r="W398" t="s">
        <v>7594</v>
      </c>
      <c r="X398" t="s">
        <v>7595</v>
      </c>
      <c r="Y398" t="s">
        <v>7596</v>
      </c>
      <c r="Z398" t="s">
        <v>7597</v>
      </c>
      <c r="AA398" t="s">
        <v>7598</v>
      </c>
      <c r="AB398" t="s">
        <v>7599</v>
      </c>
      <c r="AC398" t="s">
        <v>7600</v>
      </c>
      <c r="AD398" t="s">
        <v>7601</v>
      </c>
      <c r="AE398" t="s">
        <v>7602</v>
      </c>
      <c r="AF398" t="s">
        <v>74</v>
      </c>
      <c r="AG398">
        <v>104</v>
      </c>
      <c r="AH398">
        <v>6</v>
      </c>
      <c r="AI398">
        <v>6</v>
      </c>
      <c r="AJ398">
        <v>6</v>
      </c>
      <c r="AK398">
        <v>10</v>
      </c>
      <c r="AL398" t="s">
        <v>126</v>
      </c>
      <c r="AM398" t="s">
        <v>127</v>
      </c>
      <c r="AN398" t="s">
        <v>128</v>
      </c>
      <c r="AO398" t="s">
        <v>7401</v>
      </c>
      <c r="AP398" t="s">
        <v>7402</v>
      </c>
      <c r="AQ398" t="s">
        <v>74</v>
      </c>
      <c r="AR398" t="s">
        <v>7392</v>
      </c>
      <c r="AS398" t="s">
        <v>7403</v>
      </c>
      <c r="AT398" t="s">
        <v>7425</v>
      </c>
      <c r="AU398">
        <v>2022</v>
      </c>
      <c r="AV398">
        <v>16</v>
      </c>
      <c r="AW398">
        <v>12</v>
      </c>
      <c r="AX398" t="s">
        <v>74</v>
      </c>
      <c r="AY398" t="s">
        <v>74</v>
      </c>
      <c r="AZ398" t="s">
        <v>74</v>
      </c>
      <c r="BA398" t="s">
        <v>74</v>
      </c>
      <c r="BB398">
        <v>5061</v>
      </c>
      <c r="BC398">
        <v>5083</v>
      </c>
      <c r="BD398" t="s">
        <v>74</v>
      </c>
      <c r="BE398" t="s">
        <v>7603</v>
      </c>
      <c r="BF398" t="str">
        <f>HYPERLINK("http://dx.doi.org/10.5194/tc-16-5061-2022","http://dx.doi.org/10.5194/tc-16-5061-2022")</f>
        <v>http://dx.doi.org/10.5194/tc-16-5061-2022</v>
      </c>
      <c r="BG398" t="s">
        <v>74</v>
      </c>
      <c r="BH398" t="s">
        <v>74</v>
      </c>
      <c r="BI398">
        <v>23</v>
      </c>
      <c r="BJ398" t="s">
        <v>611</v>
      </c>
      <c r="BK398" t="s">
        <v>104</v>
      </c>
      <c r="BL398" t="s">
        <v>612</v>
      </c>
      <c r="BM398" t="s">
        <v>7604</v>
      </c>
      <c r="BN398" t="s">
        <v>74</v>
      </c>
      <c r="BO398" t="s">
        <v>737</v>
      </c>
      <c r="BP398" t="s">
        <v>74</v>
      </c>
      <c r="BQ398" t="s">
        <v>74</v>
      </c>
      <c r="BR398" t="s">
        <v>108</v>
      </c>
      <c r="BS398" t="s">
        <v>7605</v>
      </c>
      <c r="BT398" t="str">
        <f>HYPERLINK("https%3A%2F%2Fwww.webofscience.com%2Fwos%2Fwoscc%2Ffull-record%2FWOS:000899919400001","View Full Record in Web of Science")</f>
        <v>View Full Record in Web of Science</v>
      </c>
    </row>
    <row r="399" spans="1:72" x14ac:dyDescent="0.15">
      <c r="A399" t="s">
        <v>72</v>
      </c>
      <c r="B399" t="s">
        <v>7606</v>
      </c>
      <c r="C399" t="s">
        <v>74</v>
      </c>
      <c r="D399" t="s">
        <v>74</v>
      </c>
      <c r="E399" t="s">
        <v>74</v>
      </c>
      <c r="F399" t="s">
        <v>7607</v>
      </c>
      <c r="G399" t="s">
        <v>74</v>
      </c>
      <c r="H399" t="s">
        <v>74</v>
      </c>
      <c r="I399" t="s">
        <v>7608</v>
      </c>
      <c r="J399" t="s">
        <v>170</v>
      </c>
      <c r="K399" t="s">
        <v>74</v>
      </c>
      <c r="L399" t="s">
        <v>74</v>
      </c>
      <c r="M399" t="s">
        <v>78</v>
      </c>
      <c r="N399" t="s">
        <v>79</v>
      </c>
      <c r="O399" t="s">
        <v>74</v>
      </c>
      <c r="P399" t="s">
        <v>74</v>
      </c>
      <c r="Q399" t="s">
        <v>74</v>
      </c>
      <c r="R399" t="s">
        <v>74</v>
      </c>
      <c r="S399" t="s">
        <v>74</v>
      </c>
      <c r="T399" t="s">
        <v>74</v>
      </c>
      <c r="U399" t="s">
        <v>7609</v>
      </c>
      <c r="V399" t="s">
        <v>7610</v>
      </c>
      <c r="W399" t="s">
        <v>7611</v>
      </c>
      <c r="X399" t="s">
        <v>7612</v>
      </c>
      <c r="Y399" t="s">
        <v>7613</v>
      </c>
      <c r="Z399" t="s">
        <v>7614</v>
      </c>
      <c r="AA399" t="s">
        <v>7615</v>
      </c>
      <c r="AB399" t="s">
        <v>7616</v>
      </c>
      <c r="AC399" t="s">
        <v>7617</v>
      </c>
      <c r="AD399" t="s">
        <v>7618</v>
      </c>
      <c r="AE399" t="s">
        <v>7619</v>
      </c>
      <c r="AF399" t="s">
        <v>74</v>
      </c>
      <c r="AG399">
        <v>71</v>
      </c>
      <c r="AH399">
        <v>2</v>
      </c>
      <c r="AI399">
        <v>2</v>
      </c>
      <c r="AJ399">
        <v>6</v>
      </c>
      <c r="AK399">
        <v>8</v>
      </c>
      <c r="AL399" t="s">
        <v>182</v>
      </c>
      <c r="AM399" t="s">
        <v>183</v>
      </c>
      <c r="AN399" t="s">
        <v>184</v>
      </c>
      <c r="AO399" t="s">
        <v>185</v>
      </c>
      <c r="AP399" t="s">
        <v>74</v>
      </c>
      <c r="AQ399" t="s">
        <v>74</v>
      </c>
      <c r="AR399" t="s">
        <v>186</v>
      </c>
      <c r="AS399" t="s">
        <v>187</v>
      </c>
      <c r="AT399" t="s">
        <v>7620</v>
      </c>
      <c r="AU399">
        <v>2022</v>
      </c>
      <c r="AV399">
        <v>12</v>
      </c>
      <c r="AW399">
        <v>1</v>
      </c>
      <c r="AX399" t="s">
        <v>74</v>
      </c>
      <c r="AY399" t="s">
        <v>74</v>
      </c>
      <c r="AZ399" t="s">
        <v>74</v>
      </c>
      <c r="BA399" t="s">
        <v>74</v>
      </c>
      <c r="BB399" t="s">
        <v>74</v>
      </c>
      <c r="BC399" t="s">
        <v>74</v>
      </c>
      <c r="BD399">
        <v>22002</v>
      </c>
      <c r="BE399" t="s">
        <v>7621</v>
      </c>
      <c r="BF399" t="str">
        <f>HYPERLINK("http://dx.doi.org/10.1038/s41598-022-26570-8","http://dx.doi.org/10.1038/s41598-022-26570-8")</f>
        <v>http://dx.doi.org/10.1038/s41598-022-26570-8</v>
      </c>
      <c r="BG399" t="s">
        <v>74</v>
      </c>
      <c r="BH399" t="s">
        <v>74</v>
      </c>
      <c r="BI399">
        <v>11</v>
      </c>
      <c r="BJ399" t="s">
        <v>189</v>
      </c>
      <c r="BK399" t="s">
        <v>104</v>
      </c>
      <c r="BL399" t="s">
        <v>190</v>
      </c>
      <c r="BM399" t="s">
        <v>7622</v>
      </c>
      <c r="BN399">
        <v>36539554</v>
      </c>
      <c r="BO399" t="s">
        <v>192</v>
      </c>
      <c r="BP399" t="s">
        <v>74</v>
      </c>
      <c r="BQ399" t="s">
        <v>74</v>
      </c>
      <c r="BR399" t="s">
        <v>108</v>
      </c>
      <c r="BS399" t="s">
        <v>7623</v>
      </c>
      <c r="BT399" t="str">
        <f>HYPERLINK("https%3A%2F%2Fwww.webofscience.com%2Fwos%2Fwoscc%2Ffull-record%2FWOS:000969800000062","View Full Record in Web of Science")</f>
        <v>View Full Record in Web of Science</v>
      </c>
    </row>
    <row r="400" spans="1:72" x14ac:dyDescent="0.15">
      <c r="A400" t="s">
        <v>72</v>
      </c>
      <c r="B400" t="s">
        <v>7624</v>
      </c>
      <c r="C400" t="s">
        <v>74</v>
      </c>
      <c r="D400" t="s">
        <v>74</v>
      </c>
      <c r="E400" t="s">
        <v>74</v>
      </c>
      <c r="F400" t="s">
        <v>7625</v>
      </c>
      <c r="G400" t="s">
        <v>74</v>
      </c>
      <c r="H400" t="s">
        <v>74</v>
      </c>
      <c r="I400" t="s">
        <v>7626</v>
      </c>
      <c r="J400" t="s">
        <v>7627</v>
      </c>
      <c r="K400" t="s">
        <v>74</v>
      </c>
      <c r="L400" t="s">
        <v>74</v>
      </c>
      <c r="M400" t="s">
        <v>78</v>
      </c>
      <c r="N400" t="s">
        <v>256</v>
      </c>
      <c r="O400" t="s">
        <v>74</v>
      </c>
      <c r="P400" t="s">
        <v>74</v>
      </c>
      <c r="Q400" t="s">
        <v>74</v>
      </c>
      <c r="R400" t="s">
        <v>74</v>
      </c>
      <c r="S400" t="s">
        <v>74</v>
      </c>
      <c r="T400" t="s">
        <v>74</v>
      </c>
      <c r="U400" t="s">
        <v>7628</v>
      </c>
      <c r="V400" t="s">
        <v>7629</v>
      </c>
      <c r="W400" t="s">
        <v>7630</v>
      </c>
      <c r="X400" t="s">
        <v>7631</v>
      </c>
      <c r="Y400" t="s">
        <v>7632</v>
      </c>
      <c r="Z400" t="s">
        <v>7633</v>
      </c>
      <c r="AA400" t="s">
        <v>7634</v>
      </c>
      <c r="AB400" t="s">
        <v>7635</v>
      </c>
      <c r="AC400" t="s">
        <v>7636</v>
      </c>
      <c r="AD400" t="s">
        <v>7637</v>
      </c>
      <c r="AE400" t="s">
        <v>7638</v>
      </c>
      <c r="AF400" t="s">
        <v>74</v>
      </c>
      <c r="AG400">
        <v>72</v>
      </c>
      <c r="AH400">
        <v>6</v>
      </c>
      <c r="AI400">
        <v>6</v>
      </c>
      <c r="AJ400">
        <v>5</v>
      </c>
      <c r="AK400">
        <v>14</v>
      </c>
      <c r="AL400" t="s">
        <v>7639</v>
      </c>
      <c r="AM400" t="s">
        <v>7640</v>
      </c>
      <c r="AN400" t="s">
        <v>7641</v>
      </c>
      <c r="AO400" t="s">
        <v>7642</v>
      </c>
      <c r="AP400" t="s">
        <v>7643</v>
      </c>
      <c r="AQ400" t="s">
        <v>74</v>
      </c>
      <c r="AR400" t="s">
        <v>7644</v>
      </c>
      <c r="AS400" t="s">
        <v>7645</v>
      </c>
      <c r="AT400" t="s">
        <v>276</v>
      </c>
      <c r="AU400">
        <v>2023</v>
      </c>
      <c r="AV400">
        <v>38</v>
      </c>
      <c r="AW400">
        <v>1</v>
      </c>
      <c r="AX400" t="s">
        <v>74</v>
      </c>
      <c r="AY400" t="s">
        <v>74</v>
      </c>
      <c r="AZ400" t="s">
        <v>74</v>
      </c>
      <c r="BA400" t="s">
        <v>74</v>
      </c>
      <c r="BB400">
        <v>24</v>
      </c>
      <c r="BC400">
        <v>34</v>
      </c>
      <c r="BD400" t="s">
        <v>74</v>
      </c>
      <c r="BE400" t="s">
        <v>7646</v>
      </c>
      <c r="BF400" t="str">
        <f>HYPERLINK("http://dx.doi.org/10.1016/j.tree.2022.07.009","http://dx.doi.org/10.1016/j.tree.2022.07.009")</f>
        <v>http://dx.doi.org/10.1016/j.tree.2022.07.009</v>
      </c>
      <c r="BG400" t="s">
        <v>74</v>
      </c>
      <c r="BH400" t="s">
        <v>5796</v>
      </c>
      <c r="BI400">
        <v>11</v>
      </c>
      <c r="BJ400" t="s">
        <v>7647</v>
      </c>
      <c r="BK400" t="s">
        <v>104</v>
      </c>
      <c r="BL400" t="s">
        <v>7648</v>
      </c>
      <c r="BM400" t="s">
        <v>7649</v>
      </c>
      <c r="BN400">
        <v>35934551</v>
      </c>
      <c r="BO400" t="s">
        <v>74</v>
      </c>
      <c r="BP400" t="s">
        <v>74</v>
      </c>
      <c r="BQ400" t="s">
        <v>74</v>
      </c>
      <c r="BR400" t="s">
        <v>108</v>
      </c>
      <c r="BS400" t="s">
        <v>7650</v>
      </c>
      <c r="BT400" t="str">
        <f>HYPERLINK("https%3A%2F%2Fwww.webofscience.com%2Fwos%2Fwoscc%2Ffull-record%2FWOS:000911056800001","View Full Record in Web of Science")</f>
        <v>View Full Record in Web of Science</v>
      </c>
    </row>
    <row r="401" spans="1:72" x14ac:dyDescent="0.15">
      <c r="A401" t="s">
        <v>72</v>
      </c>
      <c r="B401" t="s">
        <v>7651</v>
      </c>
      <c r="C401" t="s">
        <v>74</v>
      </c>
      <c r="D401" t="s">
        <v>74</v>
      </c>
      <c r="E401" t="s">
        <v>74</v>
      </c>
      <c r="F401" t="s">
        <v>7652</v>
      </c>
      <c r="G401" t="s">
        <v>74</v>
      </c>
      <c r="H401" t="s">
        <v>74</v>
      </c>
      <c r="I401" t="s">
        <v>7653</v>
      </c>
      <c r="J401" t="s">
        <v>7627</v>
      </c>
      <c r="K401" t="s">
        <v>74</v>
      </c>
      <c r="L401" t="s">
        <v>74</v>
      </c>
      <c r="M401" t="s">
        <v>78</v>
      </c>
      <c r="N401" t="s">
        <v>256</v>
      </c>
      <c r="O401" t="s">
        <v>74</v>
      </c>
      <c r="P401" t="s">
        <v>74</v>
      </c>
      <c r="Q401" t="s">
        <v>74</v>
      </c>
      <c r="R401" t="s">
        <v>74</v>
      </c>
      <c r="S401" t="s">
        <v>74</v>
      </c>
      <c r="T401" t="s">
        <v>74</v>
      </c>
      <c r="U401" t="s">
        <v>74</v>
      </c>
      <c r="V401" t="s">
        <v>7654</v>
      </c>
      <c r="W401" t="s">
        <v>7655</v>
      </c>
      <c r="X401" t="s">
        <v>7656</v>
      </c>
      <c r="Y401" t="s">
        <v>7657</v>
      </c>
      <c r="Z401" t="s">
        <v>7658</v>
      </c>
      <c r="AA401" t="s">
        <v>7659</v>
      </c>
      <c r="AB401" t="s">
        <v>7660</v>
      </c>
      <c r="AC401" t="s">
        <v>7661</v>
      </c>
      <c r="AD401" t="s">
        <v>7662</v>
      </c>
      <c r="AE401" t="s">
        <v>7663</v>
      </c>
      <c r="AF401" t="s">
        <v>74</v>
      </c>
      <c r="AG401">
        <v>65</v>
      </c>
      <c r="AH401">
        <v>11</v>
      </c>
      <c r="AI401">
        <v>12</v>
      </c>
      <c r="AJ401">
        <v>16</v>
      </c>
      <c r="AK401">
        <v>44</v>
      </c>
      <c r="AL401" t="s">
        <v>7639</v>
      </c>
      <c r="AM401" t="s">
        <v>7640</v>
      </c>
      <c r="AN401" t="s">
        <v>7641</v>
      </c>
      <c r="AO401" t="s">
        <v>7642</v>
      </c>
      <c r="AP401" t="s">
        <v>7643</v>
      </c>
      <c r="AQ401" t="s">
        <v>74</v>
      </c>
      <c r="AR401" t="s">
        <v>7644</v>
      </c>
      <c r="AS401" t="s">
        <v>7645</v>
      </c>
      <c r="AT401" t="s">
        <v>276</v>
      </c>
      <c r="AU401">
        <v>2023</v>
      </c>
      <c r="AV401">
        <v>38</v>
      </c>
      <c r="AW401">
        <v>1</v>
      </c>
      <c r="AX401" t="s">
        <v>74</v>
      </c>
      <c r="AY401" t="s">
        <v>74</v>
      </c>
      <c r="AZ401" t="s">
        <v>74</v>
      </c>
      <c r="BA401" t="s">
        <v>74</v>
      </c>
      <c r="BB401">
        <v>96</v>
      </c>
      <c r="BC401">
        <v>107</v>
      </c>
      <c r="BD401" t="s">
        <v>74</v>
      </c>
      <c r="BE401" t="s">
        <v>7664</v>
      </c>
      <c r="BF401" t="str">
        <f>HYPERLINK("http://dx.doi.org/10.1016/j.tree.2022.10.005","http://dx.doi.org/10.1016/j.tree.2022.10.005")</f>
        <v>http://dx.doi.org/10.1016/j.tree.2022.10.005</v>
      </c>
      <c r="BG401" t="s">
        <v>74</v>
      </c>
      <c r="BH401" t="s">
        <v>5796</v>
      </c>
      <c r="BI401">
        <v>12</v>
      </c>
      <c r="BJ401" t="s">
        <v>7647</v>
      </c>
      <c r="BK401" t="s">
        <v>104</v>
      </c>
      <c r="BL401" t="s">
        <v>7648</v>
      </c>
      <c r="BM401" t="s">
        <v>7665</v>
      </c>
      <c r="BN401">
        <v>36460563</v>
      </c>
      <c r="BO401" t="s">
        <v>1800</v>
      </c>
      <c r="BP401" t="s">
        <v>74</v>
      </c>
      <c r="BQ401" t="s">
        <v>74</v>
      </c>
      <c r="BR401" t="s">
        <v>108</v>
      </c>
      <c r="BS401" t="s">
        <v>7666</v>
      </c>
      <c r="BT401" t="str">
        <f>HYPERLINK("https%3A%2F%2Fwww.webofscience.com%2Fwos%2Fwoscc%2Ffull-record%2FWOS:000912020700001","View Full Record in Web of Science")</f>
        <v>View Full Record in Web of Science</v>
      </c>
    </row>
    <row r="402" spans="1:72" x14ac:dyDescent="0.15">
      <c r="A402" t="s">
        <v>72</v>
      </c>
      <c r="B402" t="s">
        <v>7667</v>
      </c>
      <c r="C402" t="s">
        <v>74</v>
      </c>
      <c r="D402" t="s">
        <v>74</v>
      </c>
      <c r="E402" t="s">
        <v>74</v>
      </c>
      <c r="F402" t="s">
        <v>7668</v>
      </c>
      <c r="G402" t="s">
        <v>74</v>
      </c>
      <c r="H402" t="s">
        <v>74</v>
      </c>
      <c r="I402" t="s">
        <v>7669</v>
      </c>
      <c r="J402" t="s">
        <v>7670</v>
      </c>
      <c r="K402" t="s">
        <v>74</v>
      </c>
      <c r="L402" t="s">
        <v>74</v>
      </c>
      <c r="M402" t="s">
        <v>78</v>
      </c>
      <c r="N402" t="s">
        <v>79</v>
      </c>
      <c r="O402" t="s">
        <v>74</v>
      </c>
      <c r="P402" t="s">
        <v>74</v>
      </c>
      <c r="Q402" t="s">
        <v>74</v>
      </c>
      <c r="R402" t="s">
        <v>74</v>
      </c>
      <c r="S402" t="s">
        <v>74</v>
      </c>
      <c r="T402" t="s">
        <v>74</v>
      </c>
      <c r="U402" t="s">
        <v>7671</v>
      </c>
      <c r="V402" t="s">
        <v>7672</v>
      </c>
      <c r="W402" t="s">
        <v>7673</v>
      </c>
      <c r="X402" t="s">
        <v>7674</v>
      </c>
      <c r="Y402" t="s">
        <v>7675</v>
      </c>
      <c r="Z402" t="s">
        <v>7676</v>
      </c>
      <c r="AA402" t="s">
        <v>7677</v>
      </c>
      <c r="AB402" t="s">
        <v>7678</v>
      </c>
      <c r="AC402" t="s">
        <v>74</v>
      </c>
      <c r="AD402" t="s">
        <v>74</v>
      </c>
      <c r="AE402" t="s">
        <v>74</v>
      </c>
      <c r="AF402" t="s">
        <v>74</v>
      </c>
      <c r="AG402">
        <v>30</v>
      </c>
      <c r="AH402">
        <v>0</v>
      </c>
      <c r="AI402">
        <v>0</v>
      </c>
      <c r="AJ402">
        <v>1</v>
      </c>
      <c r="AK402">
        <v>8</v>
      </c>
      <c r="AL402" t="s">
        <v>7679</v>
      </c>
      <c r="AM402" t="s">
        <v>7680</v>
      </c>
      <c r="AN402" t="s">
        <v>7681</v>
      </c>
      <c r="AO402" t="s">
        <v>7682</v>
      </c>
      <c r="AP402" t="s">
        <v>7683</v>
      </c>
      <c r="AQ402" t="s">
        <v>74</v>
      </c>
      <c r="AR402" t="s">
        <v>7670</v>
      </c>
      <c r="AS402" t="s">
        <v>456</v>
      </c>
      <c r="AT402" t="s">
        <v>99</v>
      </c>
      <c r="AU402">
        <v>2023</v>
      </c>
      <c r="AV402">
        <v>51</v>
      </c>
      <c r="AW402">
        <v>2</v>
      </c>
      <c r="AX402" t="s">
        <v>74</v>
      </c>
      <c r="AY402" t="s">
        <v>74</v>
      </c>
      <c r="AZ402" t="s">
        <v>74</v>
      </c>
      <c r="BA402" t="s">
        <v>74</v>
      </c>
      <c r="BB402">
        <v>146</v>
      </c>
      <c r="BC402">
        <v>150</v>
      </c>
      <c r="BD402" t="s">
        <v>74</v>
      </c>
      <c r="BE402" t="s">
        <v>7684</v>
      </c>
      <c r="BF402" t="str">
        <f>HYPERLINK("http://dx.doi.org/10.1130/G50556.1","http://dx.doi.org/10.1130/G50556.1")</f>
        <v>http://dx.doi.org/10.1130/G50556.1</v>
      </c>
      <c r="BG402" t="s">
        <v>74</v>
      </c>
      <c r="BH402" t="s">
        <v>5796</v>
      </c>
      <c r="BI402">
        <v>5</v>
      </c>
      <c r="BJ402" t="s">
        <v>456</v>
      </c>
      <c r="BK402" t="s">
        <v>104</v>
      </c>
      <c r="BL402" t="s">
        <v>456</v>
      </c>
      <c r="BM402" t="s">
        <v>7685</v>
      </c>
      <c r="BN402" t="s">
        <v>74</v>
      </c>
      <c r="BO402" t="s">
        <v>7036</v>
      </c>
      <c r="BP402" t="s">
        <v>74</v>
      </c>
      <c r="BQ402" t="s">
        <v>74</v>
      </c>
      <c r="BR402" t="s">
        <v>108</v>
      </c>
      <c r="BS402" t="s">
        <v>7686</v>
      </c>
      <c r="BT402" t="str">
        <f>HYPERLINK("https%3A%2F%2Fwww.webofscience.com%2Fwos%2Fwoscc%2Ffull-record%2FWOS:000907622800001","View Full Record in Web of Science")</f>
        <v>View Full Record in Web of Science</v>
      </c>
    </row>
    <row r="403" spans="1:72" x14ac:dyDescent="0.15">
      <c r="A403" t="s">
        <v>72</v>
      </c>
      <c r="B403" t="s">
        <v>7687</v>
      </c>
      <c r="C403" t="s">
        <v>74</v>
      </c>
      <c r="D403" t="s">
        <v>74</v>
      </c>
      <c r="E403" t="s">
        <v>74</v>
      </c>
      <c r="F403" t="s">
        <v>7688</v>
      </c>
      <c r="G403" t="s">
        <v>74</v>
      </c>
      <c r="H403" t="s">
        <v>74</v>
      </c>
      <c r="I403" t="s">
        <v>7689</v>
      </c>
      <c r="J403" t="s">
        <v>7690</v>
      </c>
      <c r="K403" t="s">
        <v>74</v>
      </c>
      <c r="L403" t="s">
        <v>74</v>
      </c>
      <c r="M403" t="s">
        <v>78</v>
      </c>
      <c r="N403" t="s">
        <v>5927</v>
      </c>
      <c r="O403" t="s">
        <v>74</v>
      </c>
      <c r="P403" t="s">
        <v>74</v>
      </c>
      <c r="Q403" t="s">
        <v>74</v>
      </c>
      <c r="R403" t="s">
        <v>74</v>
      </c>
      <c r="S403" t="s">
        <v>74</v>
      </c>
      <c r="T403" t="s">
        <v>74</v>
      </c>
      <c r="U403" t="s">
        <v>74</v>
      </c>
      <c r="V403" t="s">
        <v>74</v>
      </c>
      <c r="W403" t="s">
        <v>7691</v>
      </c>
      <c r="X403" t="s">
        <v>5642</v>
      </c>
      <c r="Y403" t="s">
        <v>7692</v>
      </c>
      <c r="Z403" t="s">
        <v>7693</v>
      </c>
      <c r="AA403" t="s">
        <v>74</v>
      </c>
      <c r="AB403" t="s">
        <v>7694</v>
      </c>
      <c r="AC403" t="s">
        <v>74</v>
      </c>
      <c r="AD403" t="s">
        <v>74</v>
      </c>
      <c r="AE403" t="s">
        <v>74</v>
      </c>
      <c r="AF403" t="s">
        <v>74</v>
      </c>
      <c r="AG403">
        <v>1</v>
      </c>
      <c r="AH403">
        <v>0</v>
      </c>
      <c r="AI403">
        <v>0</v>
      </c>
      <c r="AJ403">
        <v>0</v>
      </c>
      <c r="AK403">
        <v>5</v>
      </c>
      <c r="AL403" t="s">
        <v>7695</v>
      </c>
      <c r="AM403" t="s">
        <v>7640</v>
      </c>
      <c r="AN403" t="s">
        <v>7696</v>
      </c>
      <c r="AO403" t="s">
        <v>7697</v>
      </c>
      <c r="AP403" t="s">
        <v>7698</v>
      </c>
      <c r="AQ403" t="s">
        <v>74</v>
      </c>
      <c r="AR403" t="s">
        <v>7699</v>
      </c>
      <c r="AS403" t="s">
        <v>7700</v>
      </c>
      <c r="AT403" t="s">
        <v>7018</v>
      </c>
      <c r="AU403">
        <v>2023</v>
      </c>
      <c r="AV403">
        <v>25</v>
      </c>
      <c r="AW403">
        <v>1</v>
      </c>
      <c r="AX403" t="s">
        <v>74</v>
      </c>
      <c r="AY403" t="s">
        <v>74</v>
      </c>
      <c r="AZ403" t="s">
        <v>74</v>
      </c>
      <c r="BA403" t="s">
        <v>74</v>
      </c>
      <c r="BB403">
        <v>119</v>
      </c>
      <c r="BC403">
        <v>119</v>
      </c>
      <c r="BD403" t="s">
        <v>74</v>
      </c>
      <c r="BE403" t="s">
        <v>7701</v>
      </c>
      <c r="BF403" t="str">
        <f>HYPERLINK("http://dx.doi.org/10.1039/d2em90046g","http://dx.doi.org/10.1039/d2em90046g")</f>
        <v>http://dx.doi.org/10.1039/d2em90046g</v>
      </c>
      <c r="BG403" t="s">
        <v>74</v>
      </c>
      <c r="BH403" t="s">
        <v>5796</v>
      </c>
      <c r="BI403">
        <v>1</v>
      </c>
      <c r="BJ403" t="s">
        <v>7702</v>
      </c>
      <c r="BK403" t="s">
        <v>104</v>
      </c>
      <c r="BL403" t="s">
        <v>7703</v>
      </c>
      <c r="BM403" t="s">
        <v>7704</v>
      </c>
      <c r="BN403">
        <v>36537301</v>
      </c>
      <c r="BO403" t="s">
        <v>219</v>
      </c>
      <c r="BP403" t="s">
        <v>74</v>
      </c>
      <c r="BQ403" t="s">
        <v>74</v>
      </c>
      <c r="BR403" t="s">
        <v>108</v>
      </c>
      <c r="BS403" t="s">
        <v>7705</v>
      </c>
      <c r="BT403" t="str">
        <f>HYPERLINK("https%3A%2F%2Fwww.webofscience.com%2Fwos%2Fwoscc%2Ffull-record%2FWOS:000901491400001","View Full Record in Web of Science")</f>
        <v>View Full Record in Web of Science</v>
      </c>
    </row>
    <row r="404" spans="1:72" x14ac:dyDescent="0.15">
      <c r="A404" t="s">
        <v>72</v>
      </c>
      <c r="B404" t="s">
        <v>7706</v>
      </c>
      <c r="C404" t="s">
        <v>74</v>
      </c>
      <c r="D404" t="s">
        <v>74</v>
      </c>
      <c r="E404" t="s">
        <v>74</v>
      </c>
      <c r="F404" t="s">
        <v>7707</v>
      </c>
      <c r="G404" t="s">
        <v>74</v>
      </c>
      <c r="H404" t="s">
        <v>74</v>
      </c>
      <c r="I404" t="s">
        <v>7708</v>
      </c>
      <c r="J404" t="s">
        <v>7392</v>
      </c>
      <c r="K404" t="s">
        <v>74</v>
      </c>
      <c r="L404" t="s">
        <v>74</v>
      </c>
      <c r="M404" t="s">
        <v>78</v>
      </c>
      <c r="N404" t="s">
        <v>79</v>
      </c>
      <c r="O404" t="s">
        <v>74</v>
      </c>
      <c r="P404" t="s">
        <v>74</v>
      </c>
      <c r="Q404" t="s">
        <v>74</v>
      </c>
      <c r="R404" t="s">
        <v>74</v>
      </c>
      <c r="S404" t="s">
        <v>74</v>
      </c>
      <c r="T404" t="s">
        <v>74</v>
      </c>
      <c r="U404" t="s">
        <v>7709</v>
      </c>
      <c r="V404" t="s">
        <v>7710</v>
      </c>
      <c r="W404" t="s">
        <v>7711</v>
      </c>
      <c r="X404" t="s">
        <v>7712</v>
      </c>
      <c r="Y404" t="s">
        <v>7713</v>
      </c>
      <c r="Z404" t="s">
        <v>7714</v>
      </c>
      <c r="AA404" t="s">
        <v>7715</v>
      </c>
      <c r="AB404" t="s">
        <v>7716</v>
      </c>
      <c r="AC404" t="s">
        <v>7717</v>
      </c>
      <c r="AD404" t="s">
        <v>7718</v>
      </c>
      <c r="AE404" t="s">
        <v>7719</v>
      </c>
      <c r="AF404" t="s">
        <v>74</v>
      </c>
      <c r="AG404">
        <v>49</v>
      </c>
      <c r="AH404">
        <v>3</v>
      </c>
      <c r="AI404">
        <v>3</v>
      </c>
      <c r="AJ404">
        <v>4</v>
      </c>
      <c r="AK404">
        <v>7</v>
      </c>
      <c r="AL404" t="s">
        <v>126</v>
      </c>
      <c r="AM404" t="s">
        <v>127</v>
      </c>
      <c r="AN404" t="s">
        <v>128</v>
      </c>
      <c r="AO404" t="s">
        <v>7401</v>
      </c>
      <c r="AP404" t="s">
        <v>7402</v>
      </c>
      <c r="AQ404" t="s">
        <v>74</v>
      </c>
      <c r="AR404" t="s">
        <v>7392</v>
      </c>
      <c r="AS404" t="s">
        <v>7403</v>
      </c>
      <c r="AT404" t="s">
        <v>7620</v>
      </c>
      <c r="AU404">
        <v>2022</v>
      </c>
      <c r="AV404">
        <v>16</v>
      </c>
      <c r="AW404">
        <v>12</v>
      </c>
      <c r="AX404" t="s">
        <v>74</v>
      </c>
      <c r="AY404" t="s">
        <v>74</v>
      </c>
      <c r="AZ404" t="s">
        <v>74</v>
      </c>
      <c r="BA404" t="s">
        <v>74</v>
      </c>
      <c r="BB404">
        <v>5041</v>
      </c>
      <c r="BC404">
        <v>5059</v>
      </c>
      <c r="BD404" t="s">
        <v>74</v>
      </c>
      <c r="BE404" t="s">
        <v>7720</v>
      </c>
      <c r="BF404" t="str">
        <f>HYPERLINK("http://dx.doi.org/10.5194/tc-16-5041-2022","http://dx.doi.org/10.5194/tc-16-5041-2022")</f>
        <v>http://dx.doi.org/10.5194/tc-16-5041-2022</v>
      </c>
      <c r="BG404" t="s">
        <v>74</v>
      </c>
      <c r="BH404" t="s">
        <v>74</v>
      </c>
      <c r="BI404">
        <v>19</v>
      </c>
      <c r="BJ404" t="s">
        <v>611</v>
      </c>
      <c r="BK404" t="s">
        <v>104</v>
      </c>
      <c r="BL404" t="s">
        <v>612</v>
      </c>
      <c r="BM404" t="s">
        <v>7721</v>
      </c>
      <c r="BN404" t="s">
        <v>74</v>
      </c>
      <c r="BO404" t="s">
        <v>737</v>
      </c>
      <c r="BP404" t="s">
        <v>74</v>
      </c>
      <c r="BQ404" t="s">
        <v>74</v>
      </c>
      <c r="BR404" t="s">
        <v>108</v>
      </c>
      <c r="BS404" t="s">
        <v>7722</v>
      </c>
      <c r="BT404" t="str">
        <f>HYPERLINK("https%3A%2F%2Fwww.webofscience.com%2Fwos%2Fwoscc%2Ffull-record%2FWOS:000900239500001","View Full Record in Web of Science")</f>
        <v>View Full Record in Web of Science</v>
      </c>
    </row>
    <row r="405" spans="1:72" x14ac:dyDescent="0.15">
      <c r="A405" t="s">
        <v>72</v>
      </c>
      <c r="B405" t="s">
        <v>7723</v>
      </c>
      <c r="C405" t="s">
        <v>74</v>
      </c>
      <c r="D405" t="s">
        <v>74</v>
      </c>
      <c r="E405" t="s">
        <v>74</v>
      </c>
      <c r="F405" t="s">
        <v>7724</v>
      </c>
      <c r="G405" t="s">
        <v>74</v>
      </c>
      <c r="H405" t="s">
        <v>74</v>
      </c>
      <c r="I405" t="s">
        <v>7725</v>
      </c>
      <c r="J405" t="s">
        <v>7726</v>
      </c>
      <c r="K405" t="s">
        <v>74</v>
      </c>
      <c r="L405" t="s">
        <v>74</v>
      </c>
      <c r="M405" t="s">
        <v>78</v>
      </c>
      <c r="N405" t="s">
        <v>79</v>
      </c>
      <c r="O405" t="s">
        <v>74</v>
      </c>
      <c r="P405" t="s">
        <v>74</v>
      </c>
      <c r="Q405" t="s">
        <v>74</v>
      </c>
      <c r="R405" t="s">
        <v>74</v>
      </c>
      <c r="S405" t="s">
        <v>74</v>
      </c>
      <c r="T405" t="s">
        <v>7727</v>
      </c>
      <c r="U405" t="s">
        <v>7728</v>
      </c>
      <c r="V405" t="s">
        <v>7729</v>
      </c>
      <c r="W405" t="s">
        <v>7730</v>
      </c>
      <c r="X405" t="s">
        <v>7731</v>
      </c>
      <c r="Y405" t="s">
        <v>7732</v>
      </c>
      <c r="Z405" t="s">
        <v>7733</v>
      </c>
      <c r="AA405" t="s">
        <v>7734</v>
      </c>
      <c r="AB405" t="s">
        <v>7735</v>
      </c>
      <c r="AC405" t="s">
        <v>7736</v>
      </c>
      <c r="AD405" t="s">
        <v>7737</v>
      </c>
      <c r="AE405" t="s">
        <v>7738</v>
      </c>
      <c r="AF405" t="s">
        <v>74</v>
      </c>
      <c r="AG405">
        <v>59</v>
      </c>
      <c r="AH405">
        <v>2</v>
      </c>
      <c r="AI405">
        <v>2</v>
      </c>
      <c r="AJ405">
        <v>3</v>
      </c>
      <c r="AK405">
        <v>14</v>
      </c>
      <c r="AL405" t="s">
        <v>603</v>
      </c>
      <c r="AM405" t="s">
        <v>208</v>
      </c>
      <c r="AN405" t="s">
        <v>604</v>
      </c>
      <c r="AO405" t="s">
        <v>7739</v>
      </c>
      <c r="AP405" t="s">
        <v>7740</v>
      </c>
      <c r="AQ405" t="s">
        <v>74</v>
      </c>
      <c r="AR405" t="s">
        <v>7726</v>
      </c>
      <c r="AS405" t="s">
        <v>7741</v>
      </c>
      <c r="AT405" t="s">
        <v>99</v>
      </c>
      <c r="AU405">
        <v>2023</v>
      </c>
      <c r="AV405">
        <v>313</v>
      </c>
      <c r="AW405" t="s">
        <v>74</v>
      </c>
      <c r="AX405" t="s">
        <v>74</v>
      </c>
      <c r="AY405" t="s">
        <v>74</v>
      </c>
      <c r="AZ405" t="s">
        <v>74</v>
      </c>
      <c r="BA405" t="s">
        <v>74</v>
      </c>
      <c r="BB405" t="s">
        <v>74</v>
      </c>
      <c r="BC405" t="s">
        <v>74</v>
      </c>
      <c r="BD405">
        <v>137511</v>
      </c>
      <c r="BE405" t="s">
        <v>7742</v>
      </c>
      <c r="BF405" t="str">
        <f>HYPERLINK("http://dx.doi.org/10.1016/j.chemosphere.2022.137511","http://dx.doi.org/10.1016/j.chemosphere.2022.137511")</f>
        <v>http://dx.doi.org/10.1016/j.chemosphere.2022.137511</v>
      </c>
      <c r="BG405" t="s">
        <v>74</v>
      </c>
      <c r="BH405" t="s">
        <v>5796</v>
      </c>
      <c r="BI405">
        <v>11</v>
      </c>
      <c r="BJ405" t="s">
        <v>216</v>
      </c>
      <c r="BK405" t="s">
        <v>104</v>
      </c>
      <c r="BL405" t="s">
        <v>217</v>
      </c>
      <c r="BM405" t="s">
        <v>7743</v>
      </c>
      <c r="BN405">
        <v>36509185</v>
      </c>
      <c r="BO405" t="s">
        <v>74</v>
      </c>
      <c r="BP405" t="s">
        <v>74</v>
      </c>
      <c r="BQ405" t="s">
        <v>74</v>
      </c>
      <c r="BR405" t="s">
        <v>108</v>
      </c>
      <c r="BS405" t="s">
        <v>7744</v>
      </c>
      <c r="BT405" t="str">
        <f>HYPERLINK("https%3A%2F%2Fwww.webofscience.com%2Fwos%2Fwoscc%2Ffull-record%2FWOS:000904039500002","View Full Record in Web of Science")</f>
        <v>View Full Record in Web of Science</v>
      </c>
    </row>
    <row r="406" spans="1:72" x14ac:dyDescent="0.15">
      <c r="A406" t="s">
        <v>72</v>
      </c>
      <c r="B406" t="s">
        <v>7745</v>
      </c>
      <c r="C406" t="s">
        <v>74</v>
      </c>
      <c r="D406" t="s">
        <v>74</v>
      </c>
      <c r="E406" t="s">
        <v>74</v>
      </c>
      <c r="F406" t="s">
        <v>7746</v>
      </c>
      <c r="G406" t="s">
        <v>74</v>
      </c>
      <c r="H406" t="s">
        <v>74</v>
      </c>
      <c r="I406" t="s">
        <v>7747</v>
      </c>
      <c r="J406" t="s">
        <v>7748</v>
      </c>
      <c r="K406" t="s">
        <v>74</v>
      </c>
      <c r="L406" t="s">
        <v>74</v>
      </c>
      <c r="M406" t="s">
        <v>78</v>
      </c>
      <c r="N406" t="s">
        <v>256</v>
      </c>
      <c r="O406" t="s">
        <v>74</v>
      </c>
      <c r="P406" t="s">
        <v>74</v>
      </c>
      <c r="Q406" t="s">
        <v>74</v>
      </c>
      <c r="R406" t="s">
        <v>74</v>
      </c>
      <c r="S406" t="s">
        <v>74</v>
      </c>
      <c r="T406" t="s">
        <v>7749</v>
      </c>
      <c r="U406" t="s">
        <v>7750</v>
      </c>
      <c r="V406" t="s">
        <v>7751</v>
      </c>
      <c r="W406" t="s">
        <v>7752</v>
      </c>
      <c r="X406" t="s">
        <v>74</v>
      </c>
      <c r="Y406" t="s">
        <v>7753</v>
      </c>
      <c r="Z406" t="s">
        <v>7754</v>
      </c>
      <c r="AA406" t="s">
        <v>74</v>
      </c>
      <c r="AB406" t="s">
        <v>74</v>
      </c>
      <c r="AC406" t="s">
        <v>74</v>
      </c>
      <c r="AD406" t="s">
        <v>74</v>
      </c>
      <c r="AE406" t="s">
        <v>74</v>
      </c>
      <c r="AF406" t="s">
        <v>74</v>
      </c>
      <c r="AG406">
        <v>144</v>
      </c>
      <c r="AH406">
        <v>6</v>
      </c>
      <c r="AI406">
        <v>6</v>
      </c>
      <c r="AJ406">
        <v>2</v>
      </c>
      <c r="AK406">
        <v>2</v>
      </c>
      <c r="AL406" t="s">
        <v>448</v>
      </c>
      <c r="AM406" t="s">
        <v>449</v>
      </c>
      <c r="AN406" t="s">
        <v>450</v>
      </c>
      <c r="AO406" t="s">
        <v>7755</v>
      </c>
      <c r="AP406" t="s">
        <v>74</v>
      </c>
      <c r="AQ406" t="s">
        <v>74</v>
      </c>
      <c r="AR406" t="s">
        <v>7756</v>
      </c>
      <c r="AS406" t="s">
        <v>7757</v>
      </c>
      <c r="AT406" t="s">
        <v>7758</v>
      </c>
      <c r="AU406">
        <v>2022</v>
      </c>
      <c r="AV406">
        <v>9</v>
      </c>
      <c r="AW406" t="s">
        <v>74</v>
      </c>
      <c r="AX406" t="s">
        <v>74</v>
      </c>
      <c r="AY406" t="s">
        <v>74</v>
      </c>
      <c r="AZ406" t="s">
        <v>74</v>
      </c>
      <c r="BA406" t="s">
        <v>74</v>
      </c>
      <c r="BB406" t="s">
        <v>74</v>
      </c>
      <c r="BC406" t="s">
        <v>74</v>
      </c>
      <c r="BD406">
        <v>1069470</v>
      </c>
      <c r="BE406" t="s">
        <v>7759</v>
      </c>
      <c r="BF406" t="str">
        <f>HYPERLINK("http://dx.doi.org/10.3389/fspas.2022.1069470","http://dx.doi.org/10.3389/fspas.2022.1069470")</f>
        <v>http://dx.doi.org/10.3389/fspas.2022.1069470</v>
      </c>
      <c r="BG406" t="s">
        <v>74</v>
      </c>
      <c r="BH406" t="s">
        <v>74</v>
      </c>
      <c r="BI406">
        <v>29</v>
      </c>
      <c r="BJ406" t="s">
        <v>5631</v>
      </c>
      <c r="BK406" t="s">
        <v>104</v>
      </c>
      <c r="BL406" t="s">
        <v>5631</v>
      </c>
      <c r="BM406" t="s">
        <v>7760</v>
      </c>
      <c r="BN406" t="s">
        <v>74</v>
      </c>
      <c r="BO406" t="s">
        <v>165</v>
      </c>
      <c r="BP406" t="s">
        <v>74</v>
      </c>
      <c r="BQ406" t="s">
        <v>74</v>
      </c>
      <c r="BR406" t="s">
        <v>108</v>
      </c>
      <c r="BS406" t="s">
        <v>7761</v>
      </c>
      <c r="BT406" t="str">
        <f>HYPERLINK("https%3A%2F%2Fwww.webofscience.com%2Fwos%2Fwoscc%2Ffull-record%2FWOS:000906425100001","View Full Record in Web of Science")</f>
        <v>View Full Record in Web of Science</v>
      </c>
    </row>
    <row r="407" spans="1:72" x14ac:dyDescent="0.15">
      <c r="A407" t="s">
        <v>72</v>
      </c>
      <c r="B407" t="s">
        <v>7762</v>
      </c>
      <c r="C407" t="s">
        <v>74</v>
      </c>
      <c r="D407" t="s">
        <v>74</v>
      </c>
      <c r="E407" t="s">
        <v>74</v>
      </c>
      <c r="F407" t="s">
        <v>7763</v>
      </c>
      <c r="G407" t="s">
        <v>74</v>
      </c>
      <c r="H407" t="s">
        <v>74</v>
      </c>
      <c r="I407" t="s">
        <v>7764</v>
      </c>
      <c r="J407" t="s">
        <v>7102</v>
      </c>
      <c r="K407" t="s">
        <v>74</v>
      </c>
      <c r="L407" t="s">
        <v>74</v>
      </c>
      <c r="M407" t="s">
        <v>78</v>
      </c>
      <c r="N407" t="s">
        <v>79</v>
      </c>
      <c r="O407" t="s">
        <v>74</v>
      </c>
      <c r="P407" t="s">
        <v>74</v>
      </c>
      <c r="Q407" t="s">
        <v>74</v>
      </c>
      <c r="R407" t="s">
        <v>74</v>
      </c>
      <c r="S407" t="s">
        <v>74</v>
      </c>
      <c r="T407" t="s">
        <v>7765</v>
      </c>
      <c r="U407" t="s">
        <v>7766</v>
      </c>
      <c r="V407" t="s">
        <v>7767</v>
      </c>
      <c r="W407" t="s">
        <v>7768</v>
      </c>
      <c r="X407" t="s">
        <v>7769</v>
      </c>
      <c r="Y407" t="s">
        <v>7770</v>
      </c>
      <c r="Z407" t="s">
        <v>7771</v>
      </c>
      <c r="AA407" t="s">
        <v>7772</v>
      </c>
      <c r="AB407" t="s">
        <v>7773</v>
      </c>
      <c r="AC407" t="s">
        <v>74</v>
      </c>
      <c r="AD407" t="s">
        <v>74</v>
      </c>
      <c r="AE407" t="s">
        <v>74</v>
      </c>
      <c r="AF407" t="s">
        <v>74</v>
      </c>
      <c r="AG407">
        <v>74</v>
      </c>
      <c r="AH407">
        <v>0</v>
      </c>
      <c r="AI407">
        <v>0</v>
      </c>
      <c r="AJ407">
        <v>6</v>
      </c>
      <c r="AK407">
        <v>11</v>
      </c>
      <c r="AL407" t="s">
        <v>448</v>
      </c>
      <c r="AM407" t="s">
        <v>449</v>
      </c>
      <c r="AN407" t="s">
        <v>450</v>
      </c>
      <c r="AO407" t="s">
        <v>74</v>
      </c>
      <c r="AP407" t="s">
        <v>7115</v>
      </c>
      <c r="AQ407" t="s">
        <v>74</v>
      </c>
      <c r="AR407" t="s">
        <v>7116</v>
      </c>
      <c r="AS407" t="s">
        <v>7117</v>
      </c>
      <c r="AT407" t="s">
        <v>7758</v>
      </c>
      <c r="AU407">
        <v>2022</v>
      </c>
      <c r="AV407">
        <v>9</v>
      </c>
      <c r="AW407" t="s">
        <v>74</v>
      </c>
      <c r="AX407" t="s">
        <v>74</v>
      </c>
      <c r="AY407" t="s">
        <v>74</v>
      </c>
      <c r="AZ407" t="s">
        <v>74</v>
      </c>
      <c r="BA407" t="s">
        <v>74</v>
      </c>
      <c r="BB407" t="s">
        <v>74</v>
      </c>
      <c r="BC407" t="s">
        <v>74</v>
      </c>
      <c r="BD407">
        <v>1086763</v>
      </c>
      <c r="BE407" t="s">
        <v>7774</v>
      </c>
      <c r="BF407" t="str">
        <f>HYPERLINK("http://dx.doi.org/10.3389/fmars.2022.1086763","http://dx.doi.org/10.3389/fmars.2022.1086763")</f>
        <v>http://dx.doi.org/10.3389/fmars.2022.1086763</v>
      </c>
      <c r="BG407" t="s">
        <v>74</v>
      </c>
      <c r="BH407" t="s">
        <v>74</v>
      </c>
      <c r="BI407">
        <v>14</v>
      </c>
      <c r="BJ407" t="s">
        <v>6728</v>
      </c>
      <c r="BK407" t="s">
        <v>104</v>
      </c>
      <c r="BL407" t="s">
        <v>6729</v>
      </c>
      <c r="BM407" t="s">
        <v>7775</v>
      </c>
      <c r="BN407" t="s">
        <v>74</v>
      </c>
      <c r="BO407" t="s">
        <v>165</v>
      </c>
      <c r="BP407" t="s">
        <v>74</v>
      </c>
      <c r="BQ407" t="s">
        <v>74</v>
      </c>
      <c r="BR407" t="s">
        <v>108</v>
      </c>
      <c r="BS407" t="s">
        <v>7776</v>
      </c>
      <c r="BT407" t="str">
        <f>HYPERLINK("https%3A%2F%2Fwww.webofscience.com%2Fwos%2Fwoscc%2Ffull-record%2FWOS:000906039600001","View Full Record in Web of Science")</f>
        <v>View Full Record in Web of Science</v>
      </c>
    </row>
    <row r="408" spans="1:72" x14ac:dyDescent="0.15">
      <c r="A408" t="s">
        <v>72</v>
      </c>
      <c r="B408" t="s">
        <v>7777</v>
      </c>
      <c r="C408" t="s">
        <v>74</v>
      </c>
      <c r="D408" t="s">
        <v>74</v>
      </c>
      <c r="E408" t="s">
        <v>74</v>
      </c>
      <c r="F408" t="s">
        <v>7778</v>
      </c>
      <c r="G408" t="s">
        <v>74</v>
      </c>
      <c r="H408" t="s">
        <v>74</v>
      </c>
      <c r="I408" t="s">
        <v>7779</v>
      </c>
      <c r="J408" t="s">
        <v>7102</v>
      </c>
      <c r="K408" t="s">
        <v>74</v>
      </c>
      <c r="L408" t="s">
        <v>74</v>
      </c>
      <c r="M408" t="s">
        <v>78</v>
      </c>
      <c r="N408" t="s">
        <v>79</v>
      </c>
      <c r="O408" t="s">
        <v>74</v>
      </c>
      <c r="P408" t="s">
        <v>74</v>
      </c>
      <c r="Q408" t="s">
        <v>74</v>
      </c>
      <c r="R408" t="s">
        <v>74</v>
      </c>
      <c r="S408" t="s">
        <v>74</v>
      </c>
      <c r="T408" t="s">
        <v>7780</v>
      </c>
      <c r="U408" t="s">
        <v>7781</v>
      </c>
      <c r="V408" t="s">
        <v>7782</v>
      </c>
      <c r="W408" t="s">
        <v>7783</v>
      </c>
      <c r="X408" t="s">
        <v>7784</v>
      </c>
      <c r="Y408" t="s">
        <v>7785</v>
      </c>
      <c r="Z408" t="s">
        <v>7786</v>
      </c>
      <c r="AA408" t="s">
        <v>7787</v>
      </c>
      <c r="AB408" t="s">
        <v>7788</v>
      </c>
      <c r="AC408" t="s">
        <v>7789</v>
      </c>
      <c r="AD408" t="s">
        <v>7790</v>
      </c>
      <c r="AE408" t="s">
        <v>7791</v>
      </c>
      <c r="AF408" t="s">
        <v>74</v>
      </c>
      <c r="AG408">
        <v>216</v>
      </c>
      <c r="AH408">
        <v>13</v>
      </c>
      <c r="AI408">
        <v>13</v>
      </c>
      <c r="AJ408">
        <v>1</v>
      </c>
      <c r="AK408">
        <v>4</v>
      </c>
      <c r="AL408" t="s">
        <v>448</v>
      </c>
      <c r="AM408" t="s">
        <v>449</v>
      </c>
      <c r="AN408" t="s">
        <v>450</v>
      </c>
      <c r="AO408" t="s">
        <v>74</v>
      </c>
      <c r="AP408" t="s">
        <v>7115</v>
      </c>
      <c r="AQ408" t="s">
        <v>74</v>
      </c>
      <c r="AR408" t="s">
        <v>7116</v>
      </c>
      <c r="AS408" t="s">
        <v>7117</v>
      </c>
      <c r="AT408" t="s">
        <v>7758</v>
      </c>
      <c r="AU408">
        <v>2022</v>
      </c>
      <c r="AV408">
        <v>9</v>
      </c>
      <c r="AW408" t="s">
        <v>74</v>
      </c>
      <c r="AX408" t="s">
        <v>74</v>
      </c>
      <c r="AY408" t="s">
        <v>74</v>
      </c>
      <c r="AZ408" t="s">
        <v>74</v>
      </c>
      <c r="BA408" t="s">
        <v>74</v>
      </c>
      <c r="BB408" t="s">
        <v>74</v>
      </c>
      <c r="BC408" t="s">
        <v>74</v>
      </c>
      <c r="BD408">
        <v>954959</v>
      </c>
      <c r="BE408" t="s">
        <v>7792</v>
      </c>
      <c r="BF408" t="str">
        <f>HYPERLINK("http://dx.doi.org/10.3389/fmars.2022.954959","http://dx.doi.org/10.3389/fmars.2022.954959")</f>
        <v>http://dx.doi.org/10.3389/fmars.2022.954959</v>
      </c>
      <c r="BG408" t="s">
        <v>74</v>
      </c>
      <c r="BH408" t="s">
        <v>74</v>
      </c>
      <c r="BI408">
        <v>24</v>
      </c>
      <c r="BJ408" t="s">
        <v>6728</v>
      </c>
      <c r="BK408" t="s">
        <v>104</v>
      </c>
      <c r="BL408" t="s">
        <v>6729</v>
      </c>
      <c r="BM408" t="s">
        <v>7793</v>
      </c>
      <c r="BN408" t="s">
        <v>74</v>
      </c>
      <c r="BO408" t="s">
        <v>165</v>
      </c>
      <c r="BP408" t="s">
        <v>74</v>
      </c>
      <c r="BQ408" t="s">
        <v>74</v>
      </c>
      <c r="BR408" t="s">
        <v>108</v>
      </c>
      <c r="BS408" t="s">
        <v>7794</v>
      </c>
      <c r="BT408" t="str">
        <f>HYPERLINK("https%3A%2F%2Fwww.webofscience.com%2Fwos%2Fwoscc%2Ffull-record%2FWOS:000905954800001","View Full Record in Web of Science")</f>
        <v>View Full Record in Web of Science</v>
      </c>
    </row>
    <row r="409" spans="1:72" x14ac:dyDescent="0.15">
      <c r="A409" t="s">
        <v>72</v>
      </c>
      <c r="B409" t="s">
        <v>7795</v>
      </c>
      <c r="C409" t="s">
        <v>74</v>
      </c>
      <c r="D409" t="s">
        <v>74</v>
      </c>
      <c r="E409" t="s">
        <v>74</v>
      </c>
      <c r="F409" t="s">
        <v>7796</v>
      </c>
      <c r="G409" t="s">
        <v>74</v>
      </c>
      <c r="H409" t="s">
        <v>74</v>
      </c>
      <c r="I409" t="s">
        <v>7797</v>
      </c>
      <c r="J409" t="s">
        <v>7798</v>
      </c>
      <c r="K409" t="s">
        <v>74</v>
      </c>
      <c r="L409" t="s">
        <v>74</v>
      </c>
      <c r="M409" t="s">
        <v>78</v>
      </c>
      <c r="N409" t="s">
        <v>79</v>
      </c>
      <c r="O409" t="s">
        <v>74</v>
      </c>
      <c r="P409" t="s">
        <v>74</v>
      </c>
      <c r="Q409" t="s">
        <v>74</v>
      </c>
      <c r="R409" t="s">
        <v>74</v>
      </c>
      <c r="S409" t="s">
        <v>74</v>
      </c>
      <c r="T409" t="s">
        <v>7799</v>
      </c>
      <c r="U409" t="s">
        <v>7800</v>
      </c>
      <c r="V409" t="s">
        <v>7801</v>
      </c>
      <c r="W409" t="s">
        <v>7802</v>
      </c>
      <c r="X409" t="s">
        <v>7803</v>
      </c>
      <c r="Y409" t="s">
        <v>7804</v>
      </c>
      <c r="Z409" t="s">
        <v>7805</v>
      </c>
      <c r="AA409" t="s">
        <v>7806</v>
      </c>
      <c r="AB409" t="s">
        <v>7807</v>
      </c>
      <c r="AC409" t="s">
        <v>7808</v>
      </c>
      <c r="AD409" t="s">
        <v>7809</v>
      </c>
      <c r="AE409" t="s">
        <v>7810</v>
      </c>
      <c r="AF409" t="s">
        <v>74</v>
      </c>
      <c r="AG409">
        <v>90</v>
      </c>
      <c r="AH409">
        <v>1</v>
      </c>
      <c r="AI409">
        <v>1</v>
      </c>
      <c r="AJ409">
        <v>2</v>
      </c>
      <c r="AK409">
        <v>3</v>
      </c>
      <c r="AL409" t="s">
        <v>92</v>
      </c>
      <c r="AM409" t="s">
        <v>7640</v>
      </c>
      <c r="AN409" t="s">
        <v>7811</v>
      </c>
      <c r="AO409" t="s">
        <v>7812</v>
      </c>
      <c r="AP409" t="s">
        <v>7813</v>
      </c>
      <c r="AQ409" t="s">
        <v>74</v>
      </c>
      <c r="AR409" t="s">
        <v>7814</v>
      </c>
      <c r="AS409" t="s">
        <v>7815</v>
      </c>
      <c r="AT409" t="s">
        <v>7816</v>
      </c>
      <c r="AU409">
        <v>2023</v>
      </c>
      <c r="AV409">
        <v>69</v>
      </c>
      <c r="AW409">
        <v>276</v>
      </c>
      <c r="AX409" t="s">
        <v>74</v>
      </c>
      <c r="AY409" t="s">
        <v>74</v>
      </c>
      <c r="AZ409" t="s">
        <v>74</v>
      </c>
      <c r="BA409" t="s">
        <v>74</v>
      </c>
      <c r="BB409">
        <v>773</v>
      </c>
      <c r="BC409">
        <v>789</v>
      </c>
      <c r="BD409" t="s">
        <v>7817</v>
      </c>
      <c r="BE409" t="s">
        <v>7818</v>
      </c>
      <c r="BF409" t="str">
        <f>HYPERLINK("http://dx.doi.org/10.1017/jog.2022.98","http://dx.doi.org/10.1017/jog.2022.98")</f>
        <v>http://dx.doi.org/10.1017/jog.2022.98</v>
      </c>
      <c r="BG409" t="s">
        <v>74</v>
      </c>
      <c r="BH409" t="s">
        <v>5796</v>
      </c>
      <c r="BI409">
        <v>17</v>
      </c>
      <c r="BJ409" t="s">
        <v>611</v>
      </c>
      <c r="BK409" t="s">
        <v>104</v>
      </c>
      <c r="BL409" t="s">
        <v>612</v>
      </c>
      <c r="BM409" t="s">
        <v>7819</v>
      </c>
      <c r="BN409" t="s">
        <v>74</v>
      </c>
      <c r="BO409" t="s">
        <v>165</v>
      </c>
      <c r="BP409" t="s">
        <v>74</v>
      </c>
      <c r="BQ409" t="s">
        <v>74</v>
      </c>
      <c r="BR409" t="s">
        <v>108</v>
      </c>
      <c r="BS409" t="s">
        <v>7820</v>
      </c>
      <c r="BT409" t="str">
        <f>HYPERLINK("https%3A%2F%2Fwww.webofscience.com%2Fwos%2Fwoscc%2Ffull-record%2FWOS:000899923800001","View Full Record in Web of Science")</f>
        <v>View Full Record in Web of Science</v>
      </c>
    </row>
    <row r="410" spans="1:72" x14ac:dyDescent="0.15">
      <c r="A410" t="s">
        <v>72</v>
      </c>
      <c r="B410" t="s">
        <v>7821</v>
      </c>
      <c r="C410" t="s">
        <v>74</v>
      </c>
      <c r="D410" t="s">
        <v>74</v>
      </c>
      <c r="E410" t="s">
        <v>74</v>
      </c>
      <c r="F410" t="s">
        <v>7822</v>
      </c>
      <c r="G410" t="s">
        <v>74</v>
      </c>
      <c r="H410" t="s">
        <v>74</v>
      </c>
      <c r="I410" t="s">
        <v>7823</v>
      </c>
      <c r="J410" t="s">
        <v>7824</v>
      </c>
      <c r="K410" t="s">
        <v>74</v>
      </c>
      <c r="L410" t="s">
        <v>74</v>
      </c>
      <c r="M410" t="s">
        <v>78</v>
      </c>
      <c r="N410" t="s">
        <v>79</v>
      </c>
      <c r="O410" t="s">
        <v>74</v>
      </c>
      <c r="P410" t="s">
        <v>74</v>
      </c>
      <c r="Q410" t="s">
        <v>74</v>
      </c>
      <c r="R410" t="s">
        <v>74</v>
      </c>
      <c r="S410" t="s">
        <v>74</v>
      </c>
      <c r="T410" t="s">
        <v>7825</v>
      </c>
      <c r="U410" t="s">
        <v>7826</v>
      </c>
      <c r="V410" t="s">
        <v>7827</v>
      </c>
      <c r="W410" t="s">
        <v>7828</v>
      </c>
      <c r="X410" t="s">
        <v>7829</v>
      </c>
      <c r="Y410" t="s">
        <v>7830</v>
      </c>
      <c r="Z410" t="s">
        <v>7831</v>
      </c>
      <c r="AA410" t="s">
        <v>7832</v>
      </c>
      <c r="AB410" t="s">
        <v>7833</v>
      </c>
      <c r="AC410" t="s">
        <v>7834</v>
      </c>
      <c r="AD410" t="s">
        <v>7835</v>
      </c>
      <c r="AE410" t="s">
        <v>7836</v>
      </c>
      <c r="AF410" t="s">
        <v>74</v>
      </c>
      <c r="AG410">
        <v>46</v>
      </c>
      <c r="AH410">
        <v>3</v>
      </c>
      <c r="AI410">
        <v>3</v>
      </c>
      <c r="AJ410">
        <v>1</v>
      </c>
      <c r="AK410">
        <v>10</v>
      </c>
      <c r="AL410" t="s">
        <v>207</v>
      </c>
      <c r="AM410" t="s">
        <v>208</v>
      </c>
      <c r="AN410" t="s">
        <v>209</v>
      </c>
      <c r="AO410" t="s">
        <v>7837</v>
      </c>
      <c r="AP410" t="s">
        <v>7838</v>
      </c>
      <c r="AQ410" t="s">
        <v>74</v>
      </c>
      <c r="AR410" t="s">
        <v>7839</v>
      </c>
      <c r="AS410" t="s">
        <v>7840</v>
      </c>
      <c r="AT410" t="s">
        <v>2592</v>
      </c>
      <c r="AU410">
        <v>2023</v>
      </c>
      <c r="AV410">
        <v>71</v>
      </c>
      <c r="AW410">
        <v>1</v>
      </c>
      <c r="AX410" t="s">
        <v>74</v>
      </c>
      <c r="AY410" t="s">
        <v>74</v>
      </c>
      <c r="AZ410" t="s">
        <v>74</v>
      </c>
      <c r="BA410" t="s">
        <v>74</v>
      </c>
      <c r="BB410">
        <v>869</v>
      </c>
      <c r="BC410">
        <v>882</v>
      </c>
      <c r="BD410" t="s">
        <v>74</v>
      </c>
      <c r="BE410" t="s">
        <v>7841</v>
      </c>
      <c r="BF410" t="str">
        <f>HYPERLINK("http://dx.doi.org/10.1016/j.asr.2022.08.017","http://dx.doi.org/10.1016/j.asr.2022.08.017")</f>
        <v>http://dx.doi.org/10.1016/j.asr.2022.08.017</v>
      </c>
      <c r="BG410" t="s">
        <v>74</v>
      </c>
      <c r="BH410" t="s">
        <v>5796</v>
      </c>
      <c r="BI410">
        <v>14</v>
      </c>
      <c r="BJ410" t="s">
        <v>7842</v>
      </c>
      <c r="BK410" t="s">
        <v>104</v>
      </c>
      <c r="BL410" t="s">
        <v>7843</v>
      </c>
      <c r="BM410" t="s">
        <v>7844</v>
      </c>
      <c r="BN410" t="s">
        <v>74</v>
      </c>
      <c r="BO410" t="s">
        <v>660</v>
      </c>
      <c r="BP410" t="s">
        <v>74</v>
      </c>
      <c r="BQ410" t="s">
        <v>74</v>
      </c>
      <c r="BR410" t="s">
        <v>108</v>
      </c>
      <c r="BS410" t="s">
        <v>7845</v>
      </c>
      <c r="BT410" t="str">
        <f>HYPERLINK("https%3A%2F%2Fwww.webofscience.com%2Fwos%2Fwoscc%2Ffull-record%2FWOS:000906679800001","View Full Record in Web of Science")</f>
        <v>View Full Record in Web of Science</v>
      </c>
    </row>
    <row r="411" spans="1:72" x14ac:dyDescent="0.15">
      <c r="A411" t="s">
        <v>72</v>
      </c>
      <c r="B411" t="s">
        <v>7846</v>
      </c>
      <c r="C411" t="s">
        <v>74</v>
      </c>
      <c r="D411" t="s">
        <v>74</v>
      </c>
      <c r="E411" t="s">
        <v>74</v>
      </c>
      <c r="F411" t="s">
        <v>7847</v>
      </c>
      <c r="G411" t="s">
        <v>74</v>
      </c>
      <c r="H411" t="s">
        <v>74</v>
      </c>
      <c r="I411" t="s">
        <v>7848</v>
      </c>
      <c r="J411" t="s">
        <v>7824</v>
      </c>
      <c r="K411" t="s">
        <v>74</v>
      </c>
      <c r="L411" t="s">
        <v>74</v>
      </c>
      <c r="M411" t="s">
        <v>78</v>
      </c>
      <c r="N411" t="s">
        <v>79</v>
      </c>
      <c r="O411" t="s">
        <v>74</v>
      </c>
      <c r="P411" t="s">
        <v>74</v>
      </c>
      <c r="Q411" t="s">
        <v>74</v>
      </c>
      <c r="R411" t="s">
        <v>74</v>
      </c>
      <c r="S411" t="s">
        <v>74</v>
      </c>
      <c r="T411" t="s">
        <v>7849</v>
      </c>
      <c r="U411" t="s">
        <v>7850</v>
      </c>
      <c r="V411" t="s">
        <v>7851</v>
      </c>
      <c r="W411" t="s">
        <v>7852</v>
      </c>
      <c r="X411" t="s">
        <v>7853</v>
      </c>
      <c r="Y411" t="s">
        <v>7854</v>
      </c>
      <c r="Z411" t="s">
        <v>7855</v>
      </c>
      <c r="AA411" t="s">
        <v>7856</v>
      </c>
      <c r="AB411" t="s">
        <v>7857</v>
      </c>
      <c r="AC411" t="s">
        <v>7858</v>
      </c>
      <c r="AD411" t="s">
        <v>7859</v>
      </c>
      <c r="AE411" t="s">
        <v>7860</v>
      </c>
      <c r="AF411" t="s">
        <v>74</v>
      </c>
      <c r="AG411">
        <v>53</v>
      </c>
      <c r="AH411">
        <v>0</v>
      </c>
      <c r="AI411">
        <v>0</v>
      </c>
      <c r="AJ411">
        <v>2</v>
      </c>
      <c r="AK411">
        <v>3</v>
      </c>
      <c r="AL411" t="s">
        <v>207</v>
      </c>
      <c r="AM411" t="s">
        <v>208</v>
      </c>
      <c r="AN411" t="s">
        <v>209</v>
      </c>
      <c r="AO411" t="s">
        <v>7837</v>
      </c>
      <c r="AP411" t="s">
        <v>7838</v>
      </c>
      <c r="AQ411" t="s">
        <v>74</v>
      </c>
      <c r="AR411" t="s">
        <v>7839</v>
      </c>
      <c r="AS411" t="s">
        <v>7840</v>
      </c>
      <c r="AT411" t="s">
        <v>2592</v>
      </c>
      <c r="AU411">
        <v>2023</v>
      </c>
      <c r="AV411">
        <v>71</v>
      </c>
      <c r="AW411">
        <v>1</v>
      </c>
      <c r="AX411" t="s">
        <v>74</v>
      </c>
      <c r="AY411" t="s">
        <v>74</v>
      </c>
      <c r="AZ411" t="s">
        <v>74</v>
      </c>
      <c r="BA411" t="s">
        <v>74</v>
      </c>
      <c r="BB411">
        <v>176</v>
      </c>
      <c r="BC411">
        <v>198</v>
      </c>
      <c r="BD411" t="s">
        <v>74</v>
      </c>
      <c r="BE411" t="s">
        <v>7861</v>
      </c>
      <c r="BF411" t="str">
        <f>HYPERLINK("http://dx.doi.org/10.1016/j.asr.2022.08.065","http://dx.doi.org/10.1016/j.asr.2022.08.065")</f>
        <v>http://dx.doi.org/10.1016/j.asr.2022.08.065</v>
      </c>
      <c r="BG411" t="s">
        <v>74</v>
      </c>
      <c r="BH411" t="s">
        <v>5796</v>
      </c>
      <c r="BI411">
        <v>23</v>
      </c>
      <c r="BJ411" t="s">
        <v>7842</v>
      </c>
      <c r="BK411" t="s">
        <v>104</v>
      </c>
      <c r="BL411" t="s">
        <v>7843</v>
      </c>
      <c r="BM411" t="s">
        <v>7862</v>
      </c>
      <c r="BN411" t="s">
        <v>74</v>
      </c>
      <c r="BO411" t="s">
        <v>660</v>
      </c>
      <c r="BP411" t="s">
        <v>74</v>
      </c>
      <c r="BQ411" t="s">
        <v>74</v>
      </c>
      <c r="BR411" t="s">
        <v>108</v>
      </c>
      <c r="BS411" t="s">
        <v>7863</v>
      </c>
      <c r="BT411" t="str">
        <f>HYPERLINK("https%3A%2F%2Fwww.webofscience.com%2Fwos%2Fwoscc%2Ffull-record%2FWOS:000906882500001","View Full Record in Web of Science")</f>
        <v>View Full Record in Web of Science</v>
      </c>
    </row>
    <row r="412" spans="1:72" x14ac:dyDescent="0.15">
      <c r="A412" t="s">
        <v>72</v>
      </c>
      <c r="B412" t="s">
        <v>7864</v>
      </c>
      <c r="C412" t="s">
        <v>74</v>
      </c>
      <c r="D412" t="s">
        <v>74</v>
      </c>
      <c r="E412" t="s">
        <v>74</v>
      </c>
      <c r="F412" t="s">
        <v>7865</v>
      </c>
      <c r="G412" t="s">
        <v>74</v>
      </c>
      <c r="H412" t="s">
        <v>74</v>
      </c>
      <c r="I412" t="s">
        <v>7866</v>
      </c>
      <c r="J412" t="s">
        <v>7824</v>
      </c>
      <c r="K412" t="s">
        <v>74</v>
      </c>
      <c r="L412" t="s">
        <v>74</v>
      </c>
      <c r="M412" t="s">
        <v>78</v>
      </c>
      <c r="N412" t="s">
        <v>79</v>
      </c>
      <c r="O412" t="s">
        <v>74</v>
      </c>
      <c r="P412" t="s">
        <v>74</v>
      </c>
      <c r="Q412" t="s">
        <v>74</v>
      </c>
      <c r="R412" t="s">
        <v>74</v>
      </c>
      <c r="S412" t="s">
        <v>74</v>
      </c>
      <c r="T412" t="s">
        <v>7867</v>
      </c>
      <c r="U412" t="s">
        <v>7868</v>
      </c>
      <c r="V412" t="s">
        <v>7869</v>
      </c>
      <c r="W412" t="s">
        <v>7870</v>
      </c>
      <c r="X412" t="s">
        <v>7871</v>
      </c>
      <c r="Y412" t="s">
        <v>7872</v>
      </c>
      <c r="Z412" t="s">
        <v>7873</v>
      </c>
      <c r="AA412" t="s">
        <v>7874</v>
      </c>
      <c r="AB412" t="s">
        <v>74</v>
      </c>
      <c r="AC412" t="s">
        <v>74</v>
      </c>
      <c r="AD412" t="s">
        <v>74</v>
      </c>
      <c r="AE412" t="s">
        <v>74</v>
      </c>
      <c r="AF412" t="s">
        <v>74</v>
      </c>
      <c r="AG412">
        <v>68</v>
      </c>
      <c r="AH412">
        <v>0</v>
      </c>
      <c r="AI412">
        <v>0</v>
      </c>
      <c r="AJ412">
        <v>5</v>
      </c>
      <c r="AK412">
        <v>9</v>
      </c>
      <c r="AL412" t="s">
        <v>207</v>
      </c>
      <c r="AM412" t="s">
        <v>208</v>
      </c>
      <c r="AN412" t="s">
        <v>209</v>
      </c>
      <c r="AO412" t="s">
        <v>7837</v>
      </c>
      <c r="AP412" t="s">
        <v>7838</v>
      </c>
      <c r="AQ412" t="s">
        <v>74</v>
      </c>
      <c r="AR412" t="s">
        <v>7839</v>
      </c>
      <c r="AS412" t="s">
        <v>7840</v>
      </c>
      <c r="AT412" t="s">
        <v>2592</v>
      </c>
      <c r="AU412">
        <v>2023</v>
      </c>
      <c r="AV412">
        <v>71</v>
      </c>
      <c r="AW412">
        <v>1</v>
      </c>
      <c r="AX412" t="s">
        <v>74</v>
      </c>
      <c r="AY412" t="s">
        <v>74</v>
      </c>
      <c r="AZ412" t="s">
        <v>74</v>
      </c>
      <c r="BA412" t="s">
        <v>74</v>
      </c>
      <c r="BB412">
        <v>80</v>
      </c>
      <c r="BC412">
        <v>96</v>
      </c>
      <c r="BD412" t="s">
        <v>74</v>
      </c>
      <c r="BE412" t="s">
        <v>7875</v>
      </c>
      <c r="BF412" t="str">
        <f>HYPERLINK("http://dx.doi.org/10.1016/j.asr.2022.08.021","http://dx.doi.org/10.1016/j.asr.2022.08.021")</f>
        <v>http://dx.doi.org/10.1016/j.asr.2022.08.021</v>
      </c>
      <c r="BG412" t="s">
        <v>74</v>
      </c>
      <c r="BH412" t="s">
        <v>5796</v>
      </c>
      <c r="BI412">
        <v>17</v>
      </c>
      <c r="BJ412" t="s">
        <v>7842</v>
      </c>
      <c r="BK412" t="s">
        <v>104</v>
      </c>
      <c r="BL412" t="s">
        <v>7843</v>
      </c>
      <c r="BM412" t="s">
        <v>7876</v>
      </c>
      <c r="BN412" t="s">
        <v>74</v>
      </c>
      <c r="BO412" t="s">
        <v>219</v>
      </c>
      <c r="BP412" t="s">
        <v>74</v>
      </c>
      <c r="BQ412" t="s">
        <v>74</v>
      </c>
      <c r="BR412" t="s">
        <v>108</v>
      </c>
      <c r="BS412" t="s">
        <v>7877</v>
      </c>
      <c r="BT412" t="str">
        <f>HYPERLINK("https%3A%2F%2Fwww.webofscience.com%2Fwos%2Fwoscc%2Ffull-record%2FWOS:000906274300001","View Full Record in Web of Science")</f>
        <v>View Full Record in Web of Science</v>
      </c>
    </row>
    <row r="413" spans="1:72" x14ac:dyDescent="0.15">
      <c r="A413" t="s">
        <v>72</v>
      </c>
      <c r="B413" t="s">
        <v>7878</v>
      </c>
      <c r="C413" t="s">
        <v>74</v>
      </c>
      <c r="D413" t="s">
        <v>74</v>
      </c>
      <c r="E413" t="s">
        <v>74</v>
      </c>
      <c r="F413" t="s">
        <v>7879</v>
      </c>
      <c r="G413" t="s">
        <v>74</v>
      </c>
      <c r="H413" t="s">
        <v>74</v>
      </c>
      <c r="I413" t="s">
        <v>7880</v>
      </c>
      <c r="J413" t="s">
        <v>6736</v>
      </c>
      <c r="K413" t="s">
        <v>74</v>
      </c>
      <c r="L413" t="s">
        <v>74</v>
      </c>
      <c r="M413" t="s">
        <v>78</v>
      </c>
      <c r="N413" t="s">
        <v>79</v>
      </c>
      <c r="O413" t="s">
        <v>74</v>
      </c>
      <c r="P413" t="s">
        <v>74</v>
      </c>
      <c r="Q413" t="s">
        <v>74</v>
      </c>
      <c r="R413" t="s">
        <v>74</v>
      </c>
      <c r="S413" t="s">
        <v>74</v>
      </c>
      <c r="T413" t="s">
        <v>74</v>
      </c>
      <c r="U413" t="s">
        <v>7881</v>
      </c>
      <c r="V413" t="s">
        <v>7882</v>
      </c>
      <c r="W413" t="s">
        <v>7883</v>
      </c>
      <c r="X413" t="s">
        <v>7884</v>
      </c>
      <c r="Y413" t="s">
        <v>7885</v>
      </c>
      <c r="Z413" t="s">
        <v>7886</v>
      </c>
      <c r="AA413" t="s">
        <v>7887</v>
      </c>
      <c r="AB413" t="s">
        <v>7888</v>
      </c>
      <c r="AC413" t="s">
        <v>7889</v>
      </c>
      <c r="AD413" t="s">
        <v>7890</v>
      </c>
      <c r="AE413" t="s">
        <v>7891</v>
      </c>
      <c r="AF413" t="s">
        <v>74</v>
      </c>
      <c r="AG413">
        <v>34</v>
      </c>
      <c r="AH413">
        <v>0</v>
      </c>
      <c r="AI413">
        <v>0</v>
      </c>
      <c r="AJ413">
        <v>2</v>
      </c>
      <c r="AK413">
        <v>3</v>
      </c>
      <c r="AL413" t="s">
        <v>1791</v>
      </c>
      <c r="AM413" t="s">
        <v>576</v>
      </c>
      <c r="AN413" t="s">
        <v>1792</v>
      </c>
      <c r="AO413" t="s">
        <v>6747</v>
      </c>
      <c r="AP413" t="s">
        <v>6748</v>
      </c>
      <c r="AQ413" t="s">
        <v>74</v>
      </c>
      <c r="AR413" t="s">
        <v>6749</v>
      </c>
      <c r="AS413" t="s">
        <v>6750</v>
      </c>
      <c r="AT413" t="s">
        <v>7892</v>
      </c>
      <c r="AU413">
        <v>2022</v>
      </c>
      <c r="AV413">
        <v>49</v>
      </c>
      <c r="AW413">
        <v>23</v>
      </c>
      <c r="AX413" t="s">
        <v>74</v>
      </c>
      <c r="AY413" t="s">
        <v>74</v>
      </c>
      <c r="AZ413" t="s">
        <v>74</v>
      </c>
      <c r="BA413" t="s">
        <v>74</v>
      </c>
      <c r="BB413" t="s">
        <v>74</v>
      </c>
      <c r="BC413" t="s">
        <v>74</v>
      </c>
      <c r="BD413" t="s">
        <v>7893</v>
      </c>
      <c r="BE413" t="s">
        <v>7894</v>
      </c>
      <c r="BF413" t="str">
        <f>HYPERLINK("http://dx.doi.org/10.1029/2022GL100334","http://dx.doi.org/10.1029/2022GL100334")</f>
        <v>http://dx.doi.org/10.1029/2022GL100334</v>
      </c>
      <c r="BG413" t="s">
        <v>74</v>
      </c>
      <c r="BH413" t="s">
        <v>74</v>
      </c>
      <c r="BI413">
        <v>9</v>
      </c>
      <c r="BJ413" t="s">
        <v>455</v>
      </c>
      <c r="BK413" t="s">
        <v>104</v>
      </c>
      <c r="BL413" t="s">
        <v>456</v>
      </c>
      <c r="BM413" t="s">
        <v>7895</v>
      </c>
      <c r="BN413" t="s">
        <v>74</v>
      </c>
      <c r="BO413" t="s">
        <v>219</v>
      </c>
      <c r="BP413" t="s">
        <v>74</v>
      </c>
      <c r="BQ413" t="s">
        <v>74</v>
      </c>
      <c r="BR413" t="s">
        <v>108</v>
      </c>
      <c r="BS413" t="s">
        <v>7896</v>
      </c>
      <c r="BT413" t="str">
        <f>HYPERLINK("https%3A%2F%2Fwww.webofscience.com%2Fwos%2Fwoscc%2Ffull-record%2FWOS:000928052000027","View Full Record in Web of Science")</f>
        <v>View Full Record in Web of Science</v>
      </c>
    </row>
    <row r="414" spans="1:72" x14ac:dyDescent="0.15">
      <c r="A414" t="s">
        <v>72</v>
      </c>
      <c r="B414" t="s">
        <v>7897</v>
      </c>
      <c r="C414" t="s">
        <v>74</v>
      </c>
      <c r="D414" t="s">
        <v>74</v>
      </c>
      <c r="E414" t="s">
        <v>74</v>
      </c>
      <c r="F414" t="s">
        <v>7898</v>
      </c>
      <c r="G414" t="s">
        <v>74</v>
      </c>
      <c r="H414" t="s">
        <v>74</v>
      </c>
      <c r="I414" t="s">
        <v>7899</v>
      </c>
      <c r="J414" t="s">
        <v>6736</v>
      </c>
      <c r="K414" t="s">
        <v>74</v>
      </c>
      <c r="L414" t="s">
        <v>74</v>
      </c>
      <c r="M414" t="s">
        <v>78</v>
      </c>
      <c r="N414" t="s">
        <v>79</v>
      </c>
      <c r="O414" t="s">
        <v>74</v>
      </c>
      <c r="P414" t="s">
        <v>74</v>
      </c>
      <c r="Q414" t="s">
        <v>74</v>
      </c>
      <c r="R414" t="s">
        <v>74</v>
      </c>
      <c r="S414" t="s">
        <v>74</v>
      </c>
      <c r="T414" t="s">
        <v>74</v>
      </c>
      <c r="U414" t="s">
        <v>7900</v>
      </c>
      <c r="V414" t="s">
        <v>7901</v>
      </c>
      <c r="W414" t="s">
        <v>7902</v>
      </c>
      <c r="X414" t="s">
        <v>7903</v>
      </c>
      <c r="Y414" t="s">
        <v>7904</v>
      </c>
      <c r="Z414" t="s">
        <v>7905</v>
      </c>
      <c r="AA414" t="s">
        <v>7906</v>
      </c>
      <c r="AB414" t="s">
        <v>7907</v>
      </c>
      <c r="AC414" t="s">
        <v>7908</v>
      </c>
      <c r="AD414" t="s">
        <v>7909</v>
      </c>
      <c r="AE414" t="s">
        <v>7910</v>
      </c>
      <c r="AF414" t="s">
        <v>74</v>
      </c>
      <c r="AG414">
        <v>38</v>
      </c>
      <c r="AH414">
        <v>11</v>
      </c>
      <c r="AI414">
        <v>11</v>
      </c>
      <c r="AJ414">
        <v>5</v>
      </c>
      <c r="AK414">
        <v>8</v>
      </c>
      <c r="AL414" t="s">
        <v>1791</v>
      </c>
      <c r="AM414" t="s">
        <v>576</v>
      </c>
      <c r="AN414" t="s">
        <v>1792</v>
      </c>
      <c r="AO414" t="s">
        <v>6747</v>
      </c>
      <c r="AP414" t="s">
        <v>6748</v>
      </c>
      <c r="AQ414" t="s">
        <v>74</v>
      </c>
      <c r="AR414" t="s">
        <v>6749</v>
      </c>
      <c r="AS414" t="s">
        <v>6750</v>
      </c>
      <c r="AT414" t="s">
        <v>7892</v>
      </c>
      <c r="AU414">
        <v>2022</v>
      </c>
      <c r="AV414">
        <v>49</v>
      </c>
      <c r="AW414">
        <v>23</v>
      </c>
      <c r="AX414" t="s">
        <v>74</v>
      </c>
      <c r="AY414" t="s">
        <v>74</v>
      </c>
      <c r="AZ414" t="s">
        <v>74</v>
      </c>
      <c r="BA414" t="s">
        <v>74</v>
      </c>
      <c r="BB414" t="s">
        <v>74</v>
      </c>
      <c r="BC414" t="s">
        <v>74</v>
      </c>
      <c r="BD414" t="s">
        <v>7911</v>
      </c>
      <c r="BE414" t="s">
        <v>7912</v>
      </c>
      <c r="BF414" t="str">
        <f>HYPERLINK("http://dx.doi.org/10.1029/2022GL100523","http://dx.doi.org/10.1029/2022GL100523")</f>
        <v>http://dx.doi.org/10.1029/2022GL100523</v>
      </c>
      <c r="BG414" t="s">
        <v>74</v>
      </c>
      <c r="BH414" t="s">
        <v>74</v>
      </c>
      <c r="BI414">
        <v>9</v>
      </c>
      <c r="BJ414" t="s">
        <v>455</v>
      </c>
      <c r="BK414" t="s">
        <v>104</v>
      </c>
      <c r="BL414" t="s">
        <v>456</v>
      </c>
      <c r="BM414" t="s">
        <v>7895</v>
      </c>
      <c r="BN414" t="s">
        <v>74</v>
      </c>
      <c r="BO414" t="s">
        <v>219</v>
      </c>
      <c r="BP414" t="s">
        <v>74</v>
      </c>
      <c r="BQ414" t="s">
        <v>74</v>
      </c>
      <c r="BR414" t="s">
        <v>108</v>
      </c>
      <c r="BS414" t="s">
        <v>7913</v>
      </c>
      <c r="BT414" t="str">
        <f>HYPERLINK("https%3A%2F%2Fwww.webofscience.com%2Fwos%2Fwoscc%2Ffull-record%2FWOS:000928052000071","View Full Record in Web of Science")</f>
        <v>View Full Record in Web of Science</v>
      </c>
    </row>
    <row r="415" spans="1:72" x14ac:dyDescent="0.15">
      <c r="A415" t="s">
        <v>72</v>
      </c>
      <c r="B415" t="s">
        <v>7914</v>
      </c>
      <c r="C415" t="s">
        <v>74</v>
      </c>
      <c r="D415" t="s">
        <v>74</v>
      </c>
      <c r="E415" t="s">
        <v>74</v>
      </c>
      <c r="F415" t="s">
        <v>7915</v>
      </c>
      <c r="G415" t="s">
        <v>74</v>
      </c>
      <c r="H415" t="s">
        <v>74</v>
      </c>
      <c r="I415" t="s">
        <v>7916</v>
      </c>
      <c r="J415" t="s">
        <v>6736</v>
      </c>
      <c r="K415" t="s">
        <v>74</v>
      </c>
      <c r="L415" t="s">
        <v>74</v>
      </c>
      <c r="M415" t="s">
        <v>78</v>
      </c>
      <c r="N415" t="s">
        <v>79</v>
      </c>
      <c r="O415" t="s">
        <v>74</v>
      </c>
      <c r="P415" t="s">
        <v>74</v>
      </c>
      <c r="Q415" t="s">
        <v>74</v>
      </c>
      <c r="R415" t="s">
        <v>74</v>
      </c>
      <c r="S415" t="s">
        <v>74</v>
      </c>
      <c r="T415" t="s">
        <v>7917</v>
      </c>
      <c r="U415" t="s">
        <v>7918</v>
      </c>
      <c r="V415" t="s">
        <v>7919</v>
      </c>
      <c r="W415" t="s">
        <v>7920</v>
      </c>
      <c r="X415" t="s">
        <v>7921</v>
      </c>
      <c r="Y415" t="s">
        <v>7922</v>
      </c>
      <c r="Z415" t="s">
        <v>7923</v>
      </c>
      <c r="AA415" t="s">
        <v>7924</v>
      </c>
      <c r="AB415" t="s">
        <v>7925</v>
      </c>
      <c r="AC415" t="s">
        <v>74</v>
      </c>
      <c r="AD415" t="s">
        <v>74</v>
      </c>
      <c r="AE415" t="s">
        <v>74</v>
      </c>
      <c r="AF415" t="s">
        <v>74</v>
      </c>
      <c r="AG415">
        <v>36</v>
      </c>
      <c r="AH415">
        <v>3</v>
      </c>
      <c r="AI415">
        <v>4</v>
      </c>
      <c r="AJ415">
        <v>3</v>
      </c>
      <c r="AK415">
        <v>12</v>
      </c>
      <c r="AL415" t="s">
        <v>1791</v>
      </c>
      <c r="AM415" t="s">
        <v>576</v>
      </c>
      <c r="AN415" t="s">
        <v>1792</v>
      </c>
      <c r="AO415" t="s">
        <v>6747</v>
      </c>
      <c r="AP415" t="s">
        <v>6748</v>
      </c>
      <c r="AQ415" t="s">
        <v>74</v>
      </c>
      <c r="AR415" t="s">
        <v>6749</v>
      </c>
      <c r="AS415" t="s">
        <v>6750</v>
      </c>
      <c r="AT415" t="s">
        <v>7892</v>
      </c>
      <c r="AU415">
        <v>2022</v>
      </c>
      <c r="AV415">
        <v>49</v>
      </c>
      <c r="AW415">
        <v>23</v>
      </c>
      <c r="AX415" t="s">
        <v>74</v>
      </c>
      <c r="AY415" t="s">
        <v>74</v>
      </c>
      <c r="AZ415" t="s">
        <v>74</v>
      </c>
      <c r="BA415" t="s">
        <v>74</v>
      </c>
      <c r="BB415" t="s">
        <v>74</v>
      </c>
      <c r="BC415" t="s">
        <v>74</v>
      </c>
      <c r="BD415" t="s">
        <v>74</v>
      </c>
      <c r="BE415" t="s">
        <v>7926</v>
      </c>
      <c r="BF415" t="str">
        <f>HYPERLINK("http://dx.doi.org/10.1029/2022GL100141","http://dx.doi.org/10.1029/2022GL100141")</f>
        <v>http://dx.doi.org/10.1029/2022GL100141</v>
      </c>
      <c r="BG415" t="s">
        <v>74</v>
      </c>
      <c r="BH415" t="s">
        <v>74</v>
      </c>
      <c r="BI415">
        <v>10</v>
      </c>
      <c r="BJ415" t="s">
        <v>455</v>
      </c>
      <c r="BK415" t="s">
        <v>104</v>
      </c>
      <c r="BL415" t="s">
        <v>456</v>
      </c>
      <c r="BM415" t="s">
        <v>7895</v>
      </c>
      <c r="BN415" t="s">
        <v>74</v>
      </c>
      <c r="BO415" t="s">
        <v>219</v>
      </c>
      <c r="BP415" t="s">
        <v>74</v>
      </c>
      <c r="BQ415" t="s">
        <v>74</v>
      </c>
      <c r="BR415" t="s">
        <v>108</v>
      </c>
      <c r="BS415" t="s">
        <v>7927</v>
      </c>
      <c r="BT415" t="str">
        <f>HYPERLINK("https%3A%2F%2Fwww.webofscience.com%2Fwos%2Fwoscc%2Ffull-record%2FWOS:000928052000004","View Full Record in Web of Science")</f>
        <v>View Full Record in Web of Science</v>
      </c>
    </row>
    <row r="416" spans="1:72" x14ac:dyDescent="0.15">
      <c r="A416" t="s">
        <v>72</v>
      </c>
      <c r="B416" t="s">
        <v>7928</v>
      </c>
      <c r="C416" t="s">
        <v>74</v>
      </c>
      <c r="D416" t="s">
        <v>74</v>
      </c>
      <c r="E416" t="s">
        <v>74</v>
      </c>
      <c r="F416" t="s">
        <v>7929</v>
      </c>
      <c r="G416" t="s">
        <v>74</v>
      </c>
      <c r="H416" t="s">
        <v>74</v>
      </c>
      <c r="I416" t="s">
        <v>7930</v>
      </c>
      <c r="J416" t="s">
        <v>6736</v>
      </c>
      <c r="K416" t="s">
        <v>74</v>
      </c>
      <c r="L416" t="s">
        <v>74</v>
      </c>
      <c r="M416" t="s">
        <v>78</v>
      </c>
      <c r="N416" t="s">
        <v>79</v>
      </c>
      <c r="O416" t="s">
        <v>74</v>
      </c>
      <c r="P416" t="s">
        <v>74</v>
      </c>
      <c r="Q416" t="s">
        <v>74</v>
      </c>
      <c r="R416" t="s">
        <v>74</v>
      </c>
      <c r="S416" t="s">
        <v>74</v>
      </c>
      <c r="T416" t="s">
        <v>7931</v>
      </c>
      <c r="U416" t="s">
        <v>7932</v>
      </c>
      <c r="V416" t="s">
        <v>7933</v>
      </c>
      <c r="W416" t="s">
        <v>7934</v>
      </c>
      <c r="X416" t="s">
        <v>7935</v>
      </c>
      <c r="Y416" t="s">
        <v>7936</v>
      </c>
      <c r="Z416" t="s">
        <v>7937</v>
      </c>
      <c r="AA416" t="s">
        <v>7938</v>
      </c>
      <c r="AB416" t="s">
        <v>7939</v>
      </c>
      <c r="AC416" t="s">
        <v>7940</v>
      </c>
      <c r="AD416" t="s">
        <v>7941</v>
      </c>
      <c r="AE416" t="s">
        <v>7942</v>
      </c>
      <c r="AF416" t="s">
        <v>74</v>
      </c>
      <c r="AG416">
        <v>86</v>
      </c>
      <c r="AH416">
        <v>9</v>
      </c>
      <c r="AI416">
        <v>9</v>
      </c>
      <c r="AJ416">
        <v>7</v>
      </c>
      <c r="AK416">
        <v>27</v>
      </c>
      <c r="AL416" t="s">
        <v>1791</v>
      </c>
      <c r="AM416" t="s">
        <v>576</v>
      </c>
      <c r="AN416" t="s">
        <v>1792</v>
      </c>
      <c r="AO416" t="s">
        <v>6747</v>
      </c>
      <c r="AP416" t="s">
        <v>6748</v>
      </c>
      <c r="AQ416" t="s">
        <v>74</v>
      </c>
      <c r="AR416" t="s">
        <v>6749</v>
      </c>
      <c r="AS416" t="s">
        <v>6750</v>
      </c>
      <c r="AT416" t="s">
        <v>7892</v>
      </c>
      <c r="AU416">
        <v>2022</v>
      </c>
      <c r="AV416">
        <v>49</v>
      </c>
      <c r="AW416">
        <v>23</v>
      </c>
      <c r="AX416" t="s">
        <v>74</v>
      </c>
      <c r="AY416" t="s">
        <v>74</v>
      </c>
      <c r="AZ416" t="s">
        <v>74</v>
      </c>
      <c r="BA416" t="s">
        <v>74</v>
      </c>
      <c r="BB416" t="s">
        <v>74</v>
      </c>
      <c r="BC416" t="s">
        <v>74</v>
      </c>
      <c r="BD416" t="s">
        <v>74</v>
      </c>
      <c r="BE416" t="s">
        <v>7943</v>
      </c>
      <c r="BF416" t="str">
        <f>HYPERLINK("http://dx.doi.org/10.1029/2022GL101280","http://dx.doi.org/10.1029/2022GL101280")</f>
        <v>http://dx.doi.org/10.1029/2022GL101280</v>
      </c>
      <c r="BG416" t="s">
        <v>74</v>
      </c>
      <c r="BH416" t="s">
        <v>74</v>
      </c>
      <c r="BI416">
        <v>11</v>
      </c>
      <c r="BJ416" t="s">
        <v>455</v>
      </c>
      <c r="BK416" t="s">
        <v>104</v>
      </c>
      <c r="BL416" t="s">
        <v>456</v>
      </c>
      <c r="BM416" t="s">
        <v>7895</v>
      </c>
      <c r="BN416" t="s">
        <v>74</v>
      </c>
      <c r="BO416" t="s">
        <v>248</v>
      </c>
      <c r="BP416" t="s">
        <v>74</v>
      </c>
      <c r="BQ416" t="s">
        <v>74</v>
      </c>
      <c r="BR416" t="s">
        <v>108</v>
      </c>
      <c r="BS416" t="s">
        <v>7944</v>
      </c>
      <c r="BT416" t="str">
        <f>HYPERLINK("https%3A%2F%2Fwww.webofscience.com%2Fwos%2Fwoscc%2Ffull-record%2FWOS:000928052000079","View Full Record in Web of Science")</f>
        <v>View Full Record in Web of Science</v>
      </c>
    </row>
    <row r="417" spans="1:72" x14ac:dyDescent="0.15">
      <c r="A417" t="s">
        <v>72</v>
      </c>
      <c r="B417" t="s">
        <v>7945</v>
      </c>
      <c r="C417" t="s">
        <v>74</v>
      </c>
      <c r="D417" t="s">
        <v>74</v>
      </c>
      <c r="E417" t="s">
        <v>74</v>
      </c>
      <c r="F417" t="s">
        <v>7946</v>
      </c>
      <c r="G417" t="s">
        <v>74</v>
      </c>
      <c r="H417" t="s">
        <v>74</v>
      </c>
      <c r="I417" t="s">
        <v>7947</v>
      </c>
      <c r="J417" t="s">
        <v>6736</v>
      </c>
      <c r="K417" t="s">
        <v>74</v>
      </c>
      <c r="L417" t="s">
        <v>74</v>
      </c>
      <c r="M417" t="s">
        <v>78</v>
      </c>
      <c r="N417" t="s">
        <v>79</v>
      </c>
      <c r="O417" t="s">
        <v>74</v>
      </c>
      <c r="P417" t="s">
        <v>74</v>
      </c>
      <c r="Q417" t="s">
        <v>74</v>
      </c>
      <c r="R417" t="s">
        <v>74</v>
      </c>
      <c r="S417" t="s">
        <v>74</v>
      </c>
      <c r="T417" t="s">
        <v>7948</v>
      </c>
      <c r="U417" t="s">
        <v>7949</v>
      </c>
      <c r="V417" t="s">
        <v>7950</v>
      </c>
      <c r="W417" t="s">
        <v>7951</v>
      </c>
      <c r="X417" t="s">
        <v>7952</v>
      </c>
      <c r="Y417" t="s">
        <v>7953</v>
      </c>
      <c r="Z417" t="s">
        <v>7954</v>
      </c>
      <c r="AA417" t="s">
        <v>74</v>
      </c>
      <c r="AB417" t="s">
        <v>7955</v>
      </c>
      <c r="AC417" t="s">
        <v>7956</v>
      </c>
      <c r="AD417" t="s">
        <v>7957</v>
      </c>
      <c r="AE417" t="s">
        <v>7958</v>
      </c>
      <c r="AF417" t="s">
        <v>74</v>
      </c>
      <c r="AG417">
        <v>70</v>
      </c>
      <c r="AH417">
        <v>1</v>
      </c>
      <c r="AI417">
        <v>1</v>
      </c>
      <c r="AJ417">
        <v>3</v>
      </c>
      <c r="AK417">
        <v>9</v>
      </c>
      <c r="AL417" t="s">
        <v>1791</v>
      </c>
      <c r="AM417" t="s">
        <v>576</v>
      </c>
      <c r="AN417" t="s">
        <v>1792</v>
      </c>
      <c r="AO417" t="s">
        <v>6747</v>
      </c>
      <c r="AP417" t="s">
        <v>6748</v>
      </c>
      <c r="AQ417" t="s">
        <v>74</v>
      </c>
      <c r="AR417" t="s">
        <v>6749</v>
      </c>
      <c r="AS417" t="s">
        <v>6750</v>
      </c>
      <c r="AT417" t="s">
        <v>7892</v>
      </c>
      <c r="AU417">
        <v>2022</v>
      </c>
      <c r="AV417">
        <v>49</v>
      </c>
      <c r="AW417">
        <v>23</v>
      </c>
      <c r="AX417" t="s">
        <v>74</v>
      </c>
      <c r="AY417" t="s">
        <v>74</v>
      </c>
      <c r="AZ417" t="s">
        <v>74</v>
      </c>
      <c r="BA417" t="s">
        <v>74</v>
      </c>
      <c r="BB417" t="s">
        <v>74</v>
      </c>
      <c r="BC417" t="s">
        <v>74</v>
      </c>
      <c r="BD417" t="s">
        <v>74</v>
      </c>
      <c r="BE417" t="s">
        <v>7959</v>
      </c>
      <c r="BF417" t="str">
        <f>HYPERLINK("http://dx.doi.org/10.1029/2022GL099897","http://dx.doi.org/10.1029/2022GL099897")</f>
        <v>http://dx.doi.org/10.1029/2022GL099897</v>
      </c>
      <c r="BG417" t="s">
        <v>74</v>
      </c>
      <c r="BH417" t="s">
        <v>74</v>
      </c>
      <c r="BI417">
        <v>11</v>
      </c>
      <c r="BJ417" t="s">
        <v>455</v>
      </c>
      <c r="BK417" t="s">
        <v>104</v>
      </c>
      <c r="BL417" t="s">
        <v>456</v>
      </c>
      <c r="BM417" t="s">
        <v>7895</v>
      </c>
      <c r="BN417" t="s">
        <v>74</v>
      </c>
      <c r="BO417" t="s">
        <v>219</v>
      </c>
      <c r="BP417" t="s">
        <v>74</v>
      </c>
      <c r="BQ417" t="s">
        <v>74</v>
      </c>
      <c r="BR417" t="s">
        <v>108</v>
      </c>
      <c r="BS417" t="s">
        <v>7960</v>
      </c>
      <c r="BT417" t="str">
        <f>HYPERLINK("https%3A%2F%2Fwww.webofscience.com%2Fwos%2Fwoscc%2Ffull-record%2FWOS:000928052000061","View Full Record in Web of Science")</f>
        <v>View Full Record in Web of Science</v>
      </c>
    </row>
    <row r="418" spans="1:72" x14ac:dyDescent="0.15">
      <c r="A418" t="s">
        <v>72</v>
      </c>
      <c r="B418" t="s">
        <v>7961</v>
      </c>
      <c r="C418" t="s">
        <v>74</v>
      </c>
      <c r="D418" t="s">
        <v>74</v>
      </c>
      <c r="E418" t="s">
        <v>74</v>
      </c>
      <c r="F418" t="s">
        <v>7962</v>
      </c>
      <c r="G418" t="s">
        <v>74</v>
      </c>
      <c r="H418" t="s">
        <v>74</v>
      </c>
      <c r="I418" t="s">
        <v>7963</v>
      </c>
      <c r="J418" t="s">
        <v>6736</v>
      </c>
      <c r="K418" t="s">
        <v>74</v>
      </c>
      <c r="L418" t="s">
        <v>74</v>
      </c>
      <c r="M418" t="s">
        <v>78</v>
      </c>
      <c r="N418" t="s">
        <v>79</v>
      </c>
      <c r="O418" t="s">
        <v>74</v>
      </c>
      <c r="P418" t="s">
        <v>74</v>
      </c>
      <c r="Q418" t="s">
        <v>74</v>
      </c>
      <c r="R418" t="s">
        <v>74</v>
      </c>
      <c r="S418" t="s">
        <v>74</v>
      </c>
      <c r="T418" t="s">
        <v>7964</v>
      </c>
      <c r="U418" t="s">
        <v>7965</v>
      </c>
      <c r="V418" t="s">
        <v>7966</v>
      </c>
      <c r="W418" t="s">
        <v>7967</v>
      </c>
      <c r="X418" t="s">
        <v>7968</v>
      </c>
      <c r="Y418" t="s">
        <v>7969</v>
      </c>
      <c r="Z418" t="s">
        <v>7970</v>
      </c>
      <c r="AA418" t="s">
        <v>7971</v>
      </c>
      <c r="AB418" t="s">
        <v>7972</v>
      </c>
      <c r="AC418" t="s">
        <v>7973</v>
      </c>
      <c r="AD418" t="s">
        <v>7974</v>
      </c>
      <c r="AE418" t="s">
        <v>7975</v>
      </c>
      <c r="AF418" t="s">
        <v>74</v>
      </c>
      <c r="AG418">
        <v>66</v>
      </c>
      <c r="AH418">
        <v>0</v>
      </c>
      <c r="AI418">
        <v>0</v>
      </c>
      <c r="AJ418">
        <v>4</v>
      </c>
      <c r="AK418">
        <v>13</v>
      </c>
      <c r="AL418" t="s">
        <v>1791</v>
      </c>
      <c r="AM418" t="s">
        <v>576</v>
      </c>
      <c r="AN418" t="s">
        <v>1792</v>
      </c>
      <c r="AO418" t="s">
        <v>6747</v>
      </c>
      <c r="AP418" t="s">
        <v>6748</v>
      </c>
      <c r="AQ418" t="s">
        <v>74</v>
      </c>
      <c r="AR418" t="s">
        <v>6749</v>
      </c>
      <c r="AS418" t="s">
        <v>6750</v>
      </c>
      <c r="AT418" t="s">
        <v>7892</v>
      </c>
      <c r="AU418">
        <v>2022</v>
      </c>
      <c r="AV418">
        <v>49</v>
      </c>
      <c r="AW418">
        <v>23</v>
      </c>
      <c r="AX418" t="s">
        <v>74</v>
      </c>
      <c r="AY418" t="s">
        <v>74</v>
      </c>
      <c r="AZ418" t="s">
        <v>74</v>
      </c>
      <c r="BA418" t="s">
        <v>74</v>
      </c>
      <c r="BB418" t="s">
        <v>74</v>
      </c>
      <c r="BC418" t="s">
        <v>74</v>
      </c>
      <c r="BD418" t="s">
        <v>74</v>
      </c>
      <c r="BE418" t="s">
        <v>7976</v>
      </c>
      <c r="BF418" t="str">
        <f>HYPERLINK("http://dx.doi.org/10.1029/2022GL101113","http://dx.doi.org/10.1029/2022GL101113")</f>
        <v>http://dx.doi.org/10.1029/2022GL101113</v>
      </c>
      <c r="BG418" t="s">
        <v>74</v>
      </c>
      <c r="BH418" t="s">
        <v>74</v>
      </c>
      <c r="BI418">
        <v>10</v>
      </c>
      <c r="BJ418" t="s">
        <v>455</v>
      </c>
      <c r="BK418" t="s">
        <v>104</v>
      </c>
      <c r="BL418" t="s">
        <v>456</v>
      </c>
      <c r="BM418" t="s">
        <v>7895</v>
      </c>
      <c r="BN418" t="s">
        <v>74</v>
      </c>
      <c r="BO418" t="s">
        <v>219</v>
      </c>
      <c r="BP418" t="s">
        <v>74</v>
      </c>
      <c r="BQ418" t="s">
        <v>74</v>
      </c>
      <c r="BR418" t="s">
        <v>108</v>
      </c>
      <c r="BS418" t="s">
        <v>7977</v>
      </c>
      <c r="BT418" t="str">
        <f>HYPERLINK("https%3A%2F%2Fwww.webofscience.com%2Fwos%2Fwoscc%2Ffull-record%2FWOS:000928052000068","View Full Record in Web of Science")</f>
        <v>View Full Record in Web of Science</v>
      </c>
    </row>
    <row r="419" spans="1:72" x14ac:dyDescent="0.15">
      <c r="A419" t="s">
        <v>72</v>
      </c>
      <c r="B419" t="s">
        <v>7978</v>
      </c>
      <c r="C419" t="s">
        <v>74</v>
      </c>
      <c r="D419" t="s">
        <v>74</v>
      </c>
      <c r="E419" t="s">
        <v>74</v>
      </c>
      <c r="F419" t="s">
        <v>7979</v>
      </c>
      <c r="G419" t="s">
        <v>74</v>
      </c>
      <c r="H419" t="s">
        <v>74</v>
      </c>
      <c r="I419" t="s">
        <v>7980</v>
      </c>
      <c r="J419" t="s">
        <v>6736</v>
      </c>
      <c r="K419" t="s">
        <v>74</v>
      </c>
      <c r="L419" t="s">
        <v>74</v>
      </c>
      <c r="M419" t="s">
        <v>78</v>
      </c>
      <c r="N419" t="s">
        <v>79</v>
      </c>
      <c r="O419" t="s">
        <v>74</v>
      </c>
      <c r="P419" t="s">
        <v>74</v>
      </c>
      <c r="Q419" t="s">
        <v>74</v>
      </c>
      <c r="R419" t="s">
        <v>74</v>
      </c>
      <c r="S419" t="s">
        <v>74</v>
      </c>
      <c r="T419" t="s">
        <v>7981</v>
      </c>
      <c r="U419" t="s">
        <v>7982</v>
      </c>
      <c r="V419" t="s">
        <v>7983</v>
      </c>
      <c r="W419" t="s">
        <v>7984</v>
      </c>
      <c r="X419" t="s">
        <v>7985</v>
      </c>
      <c r="Y419" t="s">
        <v>7986</v>
      </c>
      <c r="Z419" t="s">
        <v>7987</v>
      </c>
      <c r="AA419" t="s">
        <v>7988</v>
      </c>
      <c r="AB419" t="s">
        <v>7989</v>
      </c>
      <c r="AC419" t="s">
        <v>7990</v>
      </c>
      <c r="AD419" t="s">
        <v>7991</v>
      </c>
      <c r="AE419" t="s">
        <v>7992</v>
      </c>
      <c r="AF419" t="s">
        <v>74</v>
      </c>
      <c r="AG419">
        <v>24</v>
      </c>
      <c r="AH419">
        <v>4</v>
      </c>
      <c r="AI419">
        <v>4</v>
      </c>
      <c r="AJ419">
        <v>2</v>
      </c>
      <c r="AK419">
        <v>10</v>
      </c>
      <c r="AL419" t="s">
        <v>1791</v>
      </c>
      <c r="AM419" t="s">
        <v>576</v>
      </c>
      <c r="AN419" t="s">
        <v>1792</v>
      </c>
      <c r="AO419" t="s">
        <v>6747</v>
      </c>
      <c r="AP419" t="s">
        <v>6748</v>
      </c>
      <c r="AQ419" t="s">
        <v>74</v>
      </c>
      <c r="AR419" t="s">
        <v>6749</v>
      </c>
      <c r="AS419" t="s">
        <v>6750</v>
      </c>
      <c r="AT419" t="s">
        <v>7892</v>
      </c>
      <c r="AU419">
        <v>2022</v>
      </c>
      <c r="AV419">
        <v>49</v>
      </c>
      <c r="AW419">
        <v>23</v>
      </c>
      <c r="AX419" t="s">
        <v>74</v>
      </c>
      <c r="AY419" t="s">
        <v>74</v>
      </c>
      <c r="AZ419" t="s">
        <v>74</v>
      </c>
      <c r="BA419" t="s">
        <v>74</v>
      </c>
      <c r="BB419" t="s">
        <v>74</v>
      </c>
      <c r="BC419" t="s">
        <v>74</v>
      </c>
      <c r="BD419" t="s">
        <v>74</v>
      </c>
      <c r="BE419" t="s">
        <v>7993</v>
      </c>
      <c r="BF419" t="str">
        <f>HYPERLINK("http://dx.doi.org/10.1029/2022GL101217","http://dx.doi.org/10.1029/2022GL101217")</f>
        <v>http://dx.doi.org/10.1029/2022GL101217</v>
      </c>
      <c r="BG419" t="s">
        <v>74</v>
      </c>
      <c r="BH419" t="s">
        <v>74</v>
      </c>
      <c r="BI419">
        <v>9</v>
      </c>
      <c r="BJ419" t="s">
        <v>455</v>
      </c>
      <c r="BK419" t="s">
        <v>104</v>
      </c>
      <c r="BL419" t="s">
        <v>456</v>
      </c>
      <c r="BM419" t="s">
        <v>7895</v>
      </c>
      <c r="BN419" t="s">
        <v>74</v>
      </c>
      <c r="BO419" t="s">
        <v>219</v>
      </c>
      <c r="BP419" t="s">
        <v>74</v>
      </c>
      <c r="BQ419" t="s">
        <v>74</v>
      </c>
      <c r="BR419" t="s">
        <v>108</v>
      </c>
      <c r="BS419" t="s">
        <v>7994</v>
      </c>
      <c r="BT419" t="str">
        <f>HYPERLINK("https%3A%2F%2Fwww.webofscience.com%2Fwos%2Fwoscc%2Ffull-record%2FWOS:000928052000048","View Full Record in Web of Science")</f>
        <v>View Full Record in Web of Science</v>
      </c>
    </row>
    <row r="420" spans="1:72" x14ac:dyDescent="0.15">
      <c r="A420" t="s">
        <v>72</v>
      </c>
      <c r="B420" t="s">
        <v>7995</v>
      </c>
      <c r="C420" t="s">
        <v>74</v>
      </c>
      <c r="D420" t="s">
        <v>74</v>
      </c>
      <c r="E420" t="s">
        <v>74</v>
      </c>
      <c r="F420" t="s">
        <v>7996</v>
      </c>
      <c r="G420" t="s">
        <v>74</v>
      </c>
      <c r="H420" t="s">
        <v>74</v>
      </c>
      <c r="I420" t="s">
        <v>7997</v>
      </c>
      <c r="J420" t="s">
        <v>7998</v>
      </c>
      <c r="K420" t="s">
        <v>74</v>
      </c>
      <c r="L420" t="s">
        <v>74</v>
      </c>
      <c r="M420" t="s">
        <v>78</v>
      </c>
      <c r="N420" t="s">
        <v>256</v>
      </c>
      <c r="O420" t="s">
        <v>74</v>
      </c>
      <c r="P420" t="s">
        <v>74</v>
      </c>
      <c r="Q420" t="s">
        <v>74</v>
      </c>
      <c r="R420" t="s">
        <v>74</v>
      </c>
      <c r="S420" t="s">
        <v>74</v>
      </c>
      <c r="T420" t="s">
        <v>7999</v>
      </c>
      <c r="U420" t="s">
        <v>8000</v>
      </c>
      <c r="V420" t="s">
        <v>8001</v>
      </c>
      <c r="W420" t="s">
        <v>8002</v>
      </c>
      <c r="X420" t="s">
        <v>8003</v>
      </c>
      <c r="Y420" t="s">
        <v>8004</v>
      </c>
      <c r="Z420" t="s">
        <v>8005</v>
      </c>
      <c r="AA420" t="s">
        <v>8006</v>
      </c>
      <c r="AB420" t="s">
        <v>8007</v>
      </c>
      <c r="AC420" t="s">
        <v>8008</v>
      </c>
      <c r="AD420" t="s">
        <v>8009</v>
      </c>
      <c r="AE420" t="s">
        <v>8010</v>
      </c>
      <c r="AF420" t="s">
        <v>74</v>
      </c>
      <c r="AG420">
        <v>104</v>
      </c>
      <c r="AH420">
        <v>0</v>
      </c>
      <c r="AI420">
        <v>0</v>
      </c>
      <c r="AJ420">
        <v>0</v>
      </c>
      <c r="AK420">
        <v>7</v>
      </c>
      <c r="AL420" t="s">
        <v>603</v>
      </c>
      <c r="AM420" t="s">
        <v>208</v>
      </c>
      <c r="AN420" t="s">
        <v>604</v>
      </c>
      <c r="AO420" t="s">
        <v>8011</v>
      </c>
      <c r="AP420" t="s">
        <v>8012</v>
      </c>
      <c r="AQ420" t="s">
        <v>74</v>
      </c>
      <c r="AR420" t="s">
        <v>8013</v>
      </c>
      <c r="AS420" t="s">
        <v>8014</v>
      </c>
      <c r="AT420" t="s">
        <v>276</v>
      </c>
      <c r="AU420">
        <v>2023</v>
      </c>
      <c r="AV420">
        <v>210</v>
      </c>
      <c r="AW420" t="s">
        <v>74</v>
      </c>
      <c r="AX420" t="s">
        <v>74</v>
      </c>
      <c r="AY420" t="s">
        <v>74</v>
      </c>
      <c r="AZ420" t="s">
        <v>74</v>
      </c>
      <c r="BA420" t="s">
        <v>74</v>
      </c>
      <c r="BB420" t="s">
        <v>74</v>
      </c>
      <c r="BC420" t="s">
        <v>74</v>
      </c>
      <c r="BD420">
        <v>102930</v>
      </c>
      <c r="BE420" t="s">
        <v>8015</v>
      </c>
      <c r="BF420" t="str">
        <f>HYPERLINK("http://dx.doi.org/10.1016/j.pocean.2022.102930","http://dx.doi.org/10.1016/j.pocean.2022.102930")</f>
        <v>http://dx.doi.org/10.1016/j.pocean.2022.102930</v>
      </c>
      <c r="BG420" t="s">
        <v>74</v>
      </c>
      <c r="BH420" t="s">
        <v>5796</v>
      </c>
      <c r="BI420">
        <v>14</v>
      </c>
      <c r="BJ420" t="s">
        <v>403</v>
      </c>
      <c r="BK420" t="s">
        <v>104</v>
      </c>
      <c r="BL420" t="s">
        <v>403</v>
      </c>
      <c r="BM420" t="s">
        <v>8016</v>
      </c>
      <c r="BN420" t="s">
        <v>74</v>
      </c>
      <c r="BO420" t="s">
        <v>8017</v>
      </c>
      <c r="BP420" t="s">
        <v>74</v>
      </c>
      <c r="BQ420" t="s">
        <v>74</v>
      </c>
      <c r="BR420" t="s">
        <v>108</v>
      </c>
      <c r="BS420" t="s">
        <v>8018</v>
      </c>
      <c r="BT420" t="str">
        <f>HYPERLINK("https%3A%2F%2Fwww.webofscience.com%2Fwos%2Fwoscc%2Ffull-record%2FWOS:000914427100001","View Full Record in Web of Science")</f>
        <v>View Full Record in Web of Science</v>
      </c>
    </row>
    <row r="421" spans="1:72" x14ac:dyDescent="0.15">
      <c r="A421" t="s">
        <v>72</v>
      </c>
      <c r="B421" t="s">
        <v>8019</v>
      </c>
      <c r="C421" t="s">
        <v>74</v>
      </c>
      <c r="D421" t="s">
        <v>74</v>
      </c>
      <c r="E421" t="s">
        <v>74</v>
      </c>
      <c r="F421" t="s">
        <v>8020</v>
      </c>
      <c r="G421" t="s">
        <v>74</v>
      </c>
      <c r="H421" t="s">
        <v>74</v>
      </c>
      <c r="I421" t="s">
        <v>8021</v>
      </c>
      <c r="J421" t="s">
        <v>7124</v>
      </c>
      <c r="K421" t="s">
        <v>74</v>
      </c>
      <c r="L421" t="s">
        <v>74</v>
      </c>
      <c r="M421" t="s">
        <v>78</v>
      </c>
      <c r="N421" t="s">
        <v>6601</v>
      </c>
      <c r="O421" t="s">
        <v>74</v>
      </c>
      <c r="P421" t="s">
        <v>74</v>
      </c>
      <c r="Q421" t="s">
        <v>74</v>
      </c>
      <c r="R421" t="s">
        <v>74</v>
      </c>
      <c r="S421" t="s">
        <v>74</v>
      </c>
      <c r="T421" t="s">
        <v>74</v>
      </c>
      <c r="U421" t="s">
        <v>8022</v>
      </c>
      <c r="V421" t="s">
        <v>8023</v>
      </c>
      <c r="W421" t="s">
        <v>8024</v>
      </c>
      <c r="X421" t="s">
        <v>8025</v>
      </c>
      <c r="Y421" t="s">
        <v>8026</v>
      </c>
      <c r="Z421" t="s">
        <v>8027</v>
      </c>
      <c r="AA421" t="s">
        <v>8028</v>
      </c>
      <c r="AB421" t="s">
        <v>8029</v>
      </c>
      <c r="AC421" t="s">
        <v>8030</v>
      </c>
      <c r="AD421" t="s">
        <v>8031</v>
      </c>
      <c r="AE421" t="s">
        <v>8032</v>
      </c>
      <c r="AF421" t="s">
        <v>74</v>
      </c>
      <c r="AG421">
        <v>67</v>
      </c>
      <c r="AH421">
        <v>32</v>
      </c>
      <c r="AI421">
        <v>32</v>
      </c>
      <c r="AJ421">
        <v>7</v>
      </c>
      <c r="AK421">
        <v>20</v>
      </c>
      <c r="AL421" t="s">
        <v>126</v>
      </c>
      <c r="AM421" t="s">
        <v>127</v>
      </c>
      <c r="AN421" t="s">
        <v>128</v>
      </c>
      <c r="AO421" t="s">
        <v>7136</v>
      </c>
      <c r="AP421" t="s">
        <v>7137</v>
      </c>
      <c r="AQ421" t="s">
        <v>74</v>
      </c>
      <c r="AR421" t="s">
        <v>7138</v>
      </c>
      <c r="AS421" t="s">
        <v>7139</v>
      </c>
      <c r="AT421" t="s">
        <v>7892</v>
      </c>
      <c r="AU421">
        <v>2022</v>
      </c>
      <c r="AV421">
        <v>14</v>
      </c>
      <c r="AW421">
        <v>12</v>
      </c>
      <c r="AX421" t="s">
        <v>74</v>
      </c>
      <c r="AY421" t="s">
        <v>74</v>
      </c>
      <c r="AZ421" t="s">
        <v>74</v>
      </c>
      <c r="BA421" t="s">
        <v>74</v>
      </c>
      <c r="BB421">
        <v>5543</v>
      </c>
      <c r="BC421">
        <v>5572</v>
      </c>
      <c r="BD421" t="s">
        <v>74</v>
      </c>
      <c r="BE421" t="s">
        <v>8033</v>
      </c>
      <c r="BF421" t="str">
        <f>HYPERLINK("http://dx.doi.org/10.5194/essd-14-5543-2022","http://dx.doi.org/10.5194/essd-14-5543-2022")</f>
        <v>http://dx.doi.org/10.5194/essd-14-5543-2022</v>
      </c>
      <c r="BG421" t="s">
        <v>74</v>
      </c>
      <c r="BH421" t="s">
        <v>74</v>
      </c>
      <c r="BI421">
        <v>30</v>
      </c>
      <c r="BJ421" t="s">
        <v>135</v>
      </c>
      <c r="BK421" t="s">
        <v>104</v>
      </c>
      <c r="BL421" t="s">
        <v>136</v>
      </c>
      <c r="BM421" t="s">
        <v>8034</v>
      </c>
      <c r="BN421" t="s">
        <v>74</v>
      </c>
      <c r="BO421" t="s">
        <v>8035</v>
      </c>
      <c r="BP421" t="s">
        <v>74</v>
      </c>
      <c r="BQ421" t="s">
        <v>74</v>
      </c>
      <c r="BR421" t="s">
        <v>108</v>
      </c>
      <c r="BS421" t="s">
        <v>8036</v>
      </c>
      <c r="BT421" t="str">
        <f>HYPERLINK("https%3A%2F%2Fwww.webofscience.com%2Fwos%2Fwoscc%2Ffull-record%2FWOS:000901153400001","View Full Record in Web of Science")</f>
        <v>View Full Record in Web of Science</v>
      </c>
    </row>
    <row r="422" spans="1:72" x14ac:dyDescent="0.15">
      <c r="A422" t="s">
        <v>72</v>
      </c>
      <c r="B422" t="s">
        <v>8037</v>
      </c>
      <c r="C422" t="s">
        <v>74</v>
      </c>
      <c r="D422" t="s">
        <v>74</v>
      </c>
      <c r="E422" t="s">
        <v>74</v>
      </c>
      <c r="F422" t="s">
        <v>8038</v>
      </c>
      <c r="G422" t="s">
        <v>74</v>
      </c>
      <c r="H422" t="s">
        <v>74</v>
      </c>
      <c r="I422" t="s">
        <v>8039</v>
      </c>
      <c r="J422" t="s">
        <v>8040</v>
      </c>
      <c r="K422" t="s">
        <v>74</v>
      </c>
      <c r="L422" t="s">
        <v>74</v>
      </c>
      <c r="M422" t="s">
        <v>78</v>
      </c>
      <c r="N422" t="s">
        <v>79</v>
      </c>
      <c r="O422" t="s">
        <v>74</v>
      </c>
      <c r="P422" t="s">
        <v>74</v>
      </c>
      <c r="Q422" t="s">
        <v>74</v>
      </c>
      <c r="R422" t="s">
        <v>74</v>
      </c>
      <c r="S422" t="s">
        <v>74</v>
      </c>
      <c r="T422" t="s">
        <v>8041</v>
      </c>
      <c r="U422" t="s">
        <v>8042</v>
      </c>
      <c r="V422" t="s">
        <v>8043</v>
      </c>
      <c r="W422" t="s">
        <v>8044</v>
      </c>
      <c r="X422" t="s">
        <v>74</v>
      </c>
      <c r="Y422" t="s">
        <v>8045</v>
      </c>
      <c r="Z422" t="s">
        <v>8046</v>
      </c>
      <c r="AA422" t="s">
        <v>74</v>
      </c>
      <c r="AB422" t="s">
        <v>8047</v>
      </c>
      <c r="AC422" t="s">
        <v>8048</v>
      </c>
      <c r="AD422" t="s">
        <v>8049</v>
      </c>
      <c r="AE422" t="s">
        <v>8050</v>
      </c>
      <c r="AF422" t="s">
        <v>74</v>
      </c>
      <c r="AG422">
        <v>61</v>
      </c>
      <c r="AH422">
        <v>2</v>
      </c>
      <c r="AI422">
        <v>2</v>
      </c>
      <c r="AJ422">
        <v>3</v>
      </c>
      <c r="AK422">
        <v>19</v>
      </c>
      <c r="AL422" t="s">
        <v>237</v>
      </c>
      <c r="AM422" t="s">
        <v>238</v>
      </c>
      <c r="AN422" t="s">
        <v>239</v>
      </c>
      <c r="AO422" t="s">
        <v>8051</v>
      </c>
      <c r="AP422" t="s">
        <v>8052</v>
      </c>
      <c r="AQ422" t="s">
        <v>74</v>
      </c>
      <c r="AR422" t="s">
        <v>8053</v>
      </c>
      <c r="AS422" t="s">
        <v>8054</v>
      </c>
      <c r="AT422" t="s">
        <v>2592</v>
      </c>
      <c r="AU422">
        <v>2023</v>
      </c>
      <c r="AV422">
        <v>173</v>
      </c>
      <c r="AW422" t="s">
        <v>74</v>
      </c>
      <c r="AX422" t="s">
        <v>74</v>
      </c>
      <c r="AY422" t="s">
        <v>74</v>
      </c>
      <c r="AZ422" t="s">
        <v>74</v>
      </c>
      <c r="BA422" t="s">
        <v>74</v>
      </c>
      <c r="BB422" t="s">
        <v>74</v>
      </c>
      <c r="BC422" t="s">
        <v>74</v>
      </c>
      <c r="BD422">
        <v>114254</v>
      </c>
      <c r="BE422" t="s">
        <v>8055</v>
      </c>
      <c r="BF422" t="str">
        <f>HYPERLINK("http://dx.doi.org/10.1016/j.lwt.2022.114254","http://dx.doi.org/10.1016/j.lwt.2022.114254")</f>
        <v>http://dx.doi.org/10.1016/j.lwt.2022.114254</v>
      </c>
      <c r="BG422" t="s">
        <v>74</v>
      </c>
      <c r="BH422" t="s">
        <v>5796</v>
      </c>
      <c r="BI422">
        <v>11</v>
      </c>
      <c r="BJ422" t="s">
        <v>8056</v>
      </c>
      <c r="BK422" t="s">
        <v>104</v>
      </c>
      <c r="BL422" t="s">
        <v>8056</v>
      </c>
      <c r="BM422" t="s">
        <v>8057</v>
      </c>
      <c r="BN422" t="s">
        <v>74</v>
      </c>
      <c r="BO422" t="s">
        <v>165</v>
      </c>
      <c r="BP422" t="s">
        <v>74</v>
      </c>
      <c r="BQ422" t="s">
        <v>74</v>
      </c>
      <c r="BR422" t="s">
        <v>108</v>
      </c>
      <c r="BS422" t="s">
        <v>8058</v>
      </c>
      <c r="BT422" t="str">
        <f>HYPERLINK("https%3A%2F%2Fwww.webofscience.com%2Fwos%2Fwoscc%2Ffull-record%2FWOS:000903521400003","View Full Record in Web of Science")</f>
        <v>View Full Record in Web of Science</v>
      </c>
    </row>
    <row r="423" spans="1:72" x14ac:dyDescent="0.15">
      <c r="A423" t="s">
        <v>72</v>
      </c>
      <c r="B423" t="s">
        <v>8059</v>
      </c>
      <c r="C423" t="s">
        <v>74</v>
      </c>
      <c r="D423" t="s">
        <v>74</v>
      </c>
      <c r="E423" t="s">
        <v>74</v>
      </c>
      <c r="F423" t="s">
        <v>8060</v>
      </c>
      <c r="G423" t="s">
        <v>74</v>
      </c>
      <c r="H423" t="s">
        <v>74</v>
      </c>
      <c r="I423" t="s">
        <v>8061</v>
      </c>
      <c r="J423" t="s">
        <v>7102</v>
      </c>
      <c r="K423" t="s">
        <v>74</v>
      </c>
      <c r="L423" t="s">
        <v>74</v>
      </c>
      <c r="M423" t="s">
        <v>78</v>
      </c>
      <c r="N423" t="s">
        <v>79</v>
      </c>
      <c r="O423" t="s">
        <v>74</v>
      </c>
      <c r="P423" t="s">
        <v>74</v>
      </c>
      <c r="Q423" t="s">
        <v>74</v>
      </c>
      <c r="R423" t="s">
        <v>74</v>
      </c>
      <c r="S423" t="s">
        <v>74</v>
      </c>
      <c r="T423" t="s">
        <v>8062</v>
      </c>
      <c r="U423" t="s">
        <v>8063</v>
      </c>
      <c r="V423" t="s">
        <v>8064</v>
      </c>
      <c r="W423" t="s">
        <v>8065</v>
      </c>
      <c r="X423" t="s">
        <v>8066</v>
      </c>
      <c r="Y423" t="s">
        <v>8067</v>
      </c>
      <c r="Z423" t="s">
        <v>8068</v>
      </c>
      <c r="AA423" t="s">
        <v>8069</v>
      </c>
      <c r="AB423" t="s">
        <v>8070</v>
      </c>
      <c r="AC423" t="s">
        <v>8071</v>
      </c>
      <c r="AD423" t="s">
        <v>8072</v>
      </c>
      <c r="AE423" t="s">
        <v>8073</v>
      </c>
      <c r="AF423" t="s">
        <v>74</v>
      </c>
      <c r="AG423">
        <v>65</v>
      </c>
      <c r="AH423">
        <v>3</v>
      </c>
      <c r="AI423">
        <v>3</v>
      </c>
      <c r="AJ423">
        <v>3</v>
      </c>
      <c r="AK423">
        <v>6</v>
      </c>
      <c r="AL423" t="s">
        <v>448</v>
      </c>
      <c r="AM423" t="s">
        <v>449</v>
      </c>
      <c r="AN423" t="s">
        <v>450</v>
      </c>
      <c r="AO423" t="s">
        <v>74</v>
      </c>
      <c r="AP423" t="s">
        <v>7115</v>
      </c>
      <c r="AQ423" t="s">
        <v>74</v>
      </c>
      <c r="AR423" t="s">
        <v>7116</v>
      </c>
      <c r="AS423" t="s">
        <v>7117</v>
      </c>
      <c r="AT423" t="s">
        <v>7892</v>
      </c>
      <c r="AU423">
        <v>2022</v>
      </c>
      <c r="AV423">
        <v>9</v>
      </c>
      <c r="AW423" t="s">
        <v>74</v>
      </c>
      <c r="AX423" t="s">
        <v>74</v>
      </c>
      <c r="AY423" t="s">
        <v>74</v>
      </c>
      <c r="AZ423" t="s">
        <v>74</v>
      </c>
      <c r="BA423" t="s">
        <v>74</v>
      </c>
      <c r="BB423" t="s">
        <v>74</v>
      </c>
      <c r="BC423" t="s">
        <v>74</v>
      </c>
      <c r="BD423">
        <v>1040512</v>
      </c>
      <c r="BE423" t="s">
        <v>8074</v>
      </c>
      <c r="BF423" t="str">
        <f>HYPERLINK("http://dx.doi.org/10.3389/fmars.2022.1040512","http://dx.doi.org/10.3389/fmars.2022.1040512")</f>
        <v>http://dx.doi.org/10.3389/fmars.2022.1040512</v>
      </c>
      <c r="BG423" t="s">
        <v>74</v>
      </c>
      <c r="BH423" t="s">
        <v>74</v>
      </c>
      <c r="BI423">
        <v>19</v>
      </c>
      <c r="BJ423" t="s">
        <v>6728</v>
      </c>
      <c r="BK423" t="s">
        <v>104</v>
      </c>
      <c r="BL423" t="s">
        <v>6729</v>
      </c>
      <c r="BM423" t="s">
        <v>8075</v>
      </c>
      <c r="BN423" t="s">
        <v>74</v>
      </c>
      <c r="BO423" t="s">
        <v>7278</v>
      </c>
      <c r="BP423" t="s">
        <v>74</v>
      </c>
      <c r="BQ423" t="s">
        <v>74</v>
      </c>
      <c r="BR423" t="s">
        <v>108</v>
      </c>
      <c r="BS423" t="s">
        <v>8076</v>
      </c>
      <c r="BT423" t="str">
        <f>HYPERLINK("https%3A%2F%2Fwww.webofscience.com%2Fwos%2Fwoscc%2Ffull-record%2FWOS:000905773700001","View Full Record in Web of Science")</f>
        <v>View Full Record in Web of Science</v>
      </c>
    </row>
    <row r="424" spans="1:72" x14ac:dyDescent="0.15">
      <c r="A424" t="s">
        <v>72</v>
      </c>
      <c r="B424" t="s">
        <v>8077</v>
      </c>
      <c r="C424" t="s">
        <v>74</v>
      </c>
      <c r="D424" t="s">
        <v>74</v>
      </c>
      <c r="E424" t="s">
        <v>74</v>
      </c>
      <c r="F424" t="s">
        <v>8078</v>
      </c>
      <c r="G424" t="s">
        <v>74</v>
      </c>
      <c r="H424" t="s">
        <v>74</v>
      </c>
      <c r="I424" t="s">
        <v>8079</v>
      </c>
      <c r="J424" t="s">
        <v>8080</v>
      </c>
      <c r="K424" t="s">
        <v>74</v>
      </c>
      <c r="L424" t="s">
        <v>74</v>
      </c>
      <c r="M424" t="s">
        <v>78</v>
      </c>
      <c r="N424" t="s">
        <v>79</v>
      </c>
      <c r="O424" t="s">
        <v>74</v>
      </c>
      <c r="P424" t="s">
        <v>74</v>
      </c>
      <c r="Q424" t="s">
        <v>74</v>
      </c>
      <c r="R424" t="s">
        <v>74</v>
      </c>
      <c r="S424" t="s">
        <v>74</v>
      </c>
      <c r="T424" t="s">
        <v>8081</v>
      </c>
      <c r="U424" t="s">
        <v>8082</v>
      </c>
      <c r="V424" t="s">
        <v>8083</v>
      </c>
      <c r="W424" t="s">
        <v>8084</v>
      </c>
      <c r="X424" t="s">
        <v>8085</v>
      </c>
      <c r="Y424" t="s">
        <v>8086</v>
      </c>
      <c r="Z424" t="s">
        <v>8087</v>
      </c>
      <c r="AA424" t="s">
        <v>8088</v>
      </c>
      <c r="AB424" t="s">
        <v>8089</v>
      </c>
      <c r="AC424" t="s">
        <v>74</v>
      </c>
      <c r="AD424" t="s">
        <v>74</v>
      </c>
      <c r="AE424" t="s">
        <v>74</v>
      </c>
      <c r="AF424" t="s">
        <v>74</v>
      </c>
      <c r="AG424">
        <v>41</v>
      </c>
      <c r="AH424">
        <v>4</v>
      </c>
      <c r="AI424">
        <v>4</v>
      </c>
      <c r="AJ424">
        <v>3</v>
      </c>
      <c r="AK424">
        <v>11</v>
      </c>
      <c r="AL424" t="s">
        <v>297</v>
      </c>
      <c r="AM424" t="s">
        <v>298</v>
      </c>
      <c r="AN424" t="s">
        <v>299</v>
      </c>
      <c r="AO424" t="s">
        <v>74</v>
      </c>
      <c r="AP424" t="s">
        <v>8090</v>
      </c>
      <c r="AQ424" t="s">
        <v>74</v>
      </c>
      <c r="AR424" t="s">
        <v>8091</v>
      </c>
      <c r="AS424" t="s">
        <v>8092</v>
      </c>
      <c r="AT424" t="s">
        <v>276</v>
      </c>
      <c r="AU424">
        <v>2023</v>
      </c>
      <c r="AV424">
        <v>5</v>
      </c>
      <c r="AW424">
        <v>1</v>
      </c>
      <c r="AX424" t="s">
        <v>74</v>
      </c>
      <c r="AY424" t="s">
        <v>74</v>
      </c>
      <c r="AZ424" t="s">
        <v>74</v>
      </c>
      <c r="BA424" t="s">
        <v>74</v>
      </c>
      <c r="BB424" t="s">
        <v>74</v>
      </c>
      <c r="BC424" t="s">
        <v>74</v>
      </c>
      <c r="BD424" t="s">
        <v>74</v>
      </c>
      <c r="BE424" t="s">
        <v>8093</v>
      </c>
      <c r="BF424" t="str">
        <f>HYPERLINK("http://dx.doi.org/10.1111/csp2.12854","http://dx.doi.org/10.1111/csp2.12854")</f>
        <v>http://dx.doi.org/10.1111/csp2.12854</v>
      </c>
      <c r="BG424" t="s">
        <v>74</v>
      </c>
      <c r="BH424" t="s">
        <v>5796</v>
      </c>
      <c r="BI424">
        <v>12</v>
      </c>
      <c r="BJ424" t="s">
        <v>6619</v>
      </c>
      <c r="BK424" t="s">
        <v>104</v>
      </c>
      <c r="BL424" t="s">
        <v>6620</v>
      </c>
      <c r="BM424" t="s">
        <v>8094</v>
      </c>
      <c r="BN424" t="s">
        <v>74</v>
      </c>
      <c r="BO424" t="s">
        <v>3181</v>
      </c>
      <c r="BP424" t="s">
        <v>74</v>
      </c>
      <c r="BQ424" t="s">
        <v>74</v>
      </c>
      <c r="BR424" t="s">
        <v>108</v>
      </c>
      <c r="BS424" t="s">
        <v>8095</v>
      </c>
      <c r="BT424" t="str">
        <f>HYPERLINK("https%3A%2F%2Fwww.webofscience.com%2Fwos%2Fwoscc%2Ffull-record%2FWOS:000899745400001","View Full Record in Web of Science")</f>
        <v>View Full Record in Web of Science</v>
      </c>
    </row>
    <row r="425" spans="1:72" x14ac:dyDescent="0.15">
      <c r="A425" t="s">
        <v>72</v>
      </c>
      <c r="B425" t="s">
        <v>8096</v>
      </c>
      <c r="C425" t="s">
        <v>74</v>
      </c>
      <c r="D425" t="s">
        <v>74</v>
      </c>
      <c r="E425" t="s">
        <v>74</v>
      </c>
      <c r="F425" t="s">
        <v>8097</v>
      </c>
      <c r="G425" t="s">
        <v>74</v>
      </c>
      <c r="H425" t="s">
        <v>74</v>
      </c>
      <c r="I425" t="s">
        <v>8098</v>
      </c>
      <c r="J425" t="s">
        <v>8099</v>
      </c>
      <c r="K425" t="s">
        <v>74</v>
      </c>
      <c r="L425" t="s">
        <v>74</v>
      </c>
      <c r="M425" t="s">
        <v>78</v>
      </c>
      <c r="N425" t="s">
        <v>79</v>
      </c>
      <c r="O425" t="s">
        <v>74</v>
      </c>
      <c r="P425" t="s">
        <v>74</v>
      </c>
      <c r="Q425" t="s">
        <v>74</v>
      </c>
      <c r="R425" t="s">
        <v>74</v>
      </c>
      <c r="S425" t="s">
        <v>74</v>
      </c>
      <c r="T425" t="s">
        <v>8100</v>
      </c>
      <c r="U425" t="s">
        <v>8101</v>
      </c>
      <c r="V425" t="s">
        <v>8102</v>
      </c>
      <c r="W425" t="s">
        <v>8103</v>
      </c>
      <c r="X425" t="s">
        <v>8104</v>
      </c>
      <c r="Y425" t="s">
        <v>8105</v>
      </c>
      <c r="Z425" t="s">
        <v>8106</v>
      </c>
      <c r="AA425" t="s">
        <v>74</v>
      </c>
      <c r="AB425" t="s">
        <v>8107</v>
      </c>
      <c r="AC425" t="s">
        <v>8108</v>
      </c>
      <c r="AD425" t="s">
        <v>8108</v>
      </c>
      <c r="AE425" t="s">
        <v>8109</v>
      </c>
      <c r="AF425" t="s">
        <v>74</v>
      </c>
      <c r="AG425">
        <v>89</v>
      </c>
      <c r="AH425">
        <v>0</v>
      </c>
      <c r="AI425">
        <v>0</v>
      </c>
      <c r="AJ425">
        <v>0</v>
      </c>
      <c r="AK425">
        <v>10</v>
      </c>
      <c r="AL425" t="s">
        <v>703</v>
      </c>
      <c r="AM425" t="s">
        <v>704</v>
      </c>
      <c r="AN425" t="s">
        <v>705</v>
      </c>
      <c r="AO425" t="s">
        <v>8110</v>
      </c>
      <c r="AP425" t="s">
        <v>8111</v>
      </c>
      <c r="AQ425" t="s">
        <v>74</v>
      </c>
      <c r="AR425" t="s">
        <v>8112</v>
      </c>
      <c r="AS425" t="s">
        <v>8113</v>
      </c>
      <c r="AT425" t="s">
        <v>8114</v>
      </c>
      <c r="AU425">
        <v>2023</v>
      </c>
      <c r="AV425">
        <v>61</v>
      </c>
      <c r="AW425">
        <v>3</v>
      </c>
      <c r="AX425" t="s">
        <v>74</v>
      </c>
      <c r="AY425" t="s">
        <v>74</v>
      </c>
      <c r="AZ425" t="s">
        <v>74</v>
      </c>
      <c r="BA425" t="s">
        <v>74</v>
      </c>
      <c r="BB425">
        <v>173</v>
      </c>
      <c r="BC425">
        <v>185</v>
      </c>
      <c r="BD425" t="s">
        <v>74</v>
      </c>
      <c r="BE425" t="s">
        <v>8115</v>
      </c>
      <c r="BF425" t="str">
        <f>HYPERLINK("http://dx.doi.org/10.1080/07055900.2022.2153325","http://dx.doi.org/10.1080/07055900.2022.2153325")</f>
        <v>http://dx.doi.org/10.1080/07055900.2022.2153325</v>
      </c>
      <c r="BG425" t="s">
        <v>74</v>
      </c>
      <c r="BH425" t="s">
        <v>5796</v>
      </c>
      <c r="BI425">
        <v>13</v>
      </c>
      <c r="BJ425" t="s">
        <v>8116</v>
      </c>
      <c r="BK425" t="s">
        <v>104</v>
      </c>
      <c r="BL425" t="s">
        <v>8116</v>
      </c>
      <c r="BM425" t="s">
        <v>8117</v>
      </c>
      <c r="BN425" t="s">
        <v>74</v>
      </c>
      <c r="BO425" t="s">
        <v>1279</v>
      </c>
      <c r="BP425" t="s">
        <v>74</v>
      </c>
      <c r="BQ425" t="s">
        <v>74</v>
      </c>
      <c r="BR425" t="s">
        <v>108</v>
      </c>
      <c r="BS425" t="s">
        <v>8118</v>
      </c>
      <c r="BT425" t="str">
        <f>HYPERLINK("https%3A%2F%2Fwww.webofscience.com%2Fwos%2Fwoscc%2Ffull-record%2FWOS:000899113200001","View Full Record in Web of Science")</f>
        <v>View Full Record in Web of Science</v>
      </c>
    </row>
    <row r="426" spans="1:72" x14ac:dyDescent="0.15">
      <c r="A426" t="s">
        <v>72</v>
      </c>
      <c r="B426" t="s">
        <v>8119</v>
      </c>
      <c r="C426" t="s">
        <v>74</v>
      </c>
      <c r="D426" t="s">
        <v>74</v>
      </c>
      <c r="E426" t="s">
        <v>74</v>
      </c>
      <c r="F426" t="s">
        <v>8120</v>
      </c>
      <c r="G426" t="s">
        <v>74</v>
      </c>
      <c r="H426" t="s">
        <v>74</v>
      </c>
      <c r="I426" t="s">
        <v>8121</v>
      </c>
      <c r="J426" t="s">
        <v>8122</v>
      </c>
      <c r="K426" t="s">
        <v>74</v>
      </c>
      <c r="L426" t="s">
        <v>74</v>
      </c>
      <c r="M426" t="s">
        <v>78</v>
      </c>
      <c r="N426" t="s">
        <v>6601</v>
      </c>
      <c r="O426" t="s">
        <v>74</v>
      </c>
      <c r="P426" t="s">
        <v>74</v>
      </c>
      <c r="Q426" t="s">
        <v>74</v>
      </c>
      <c r="R426" t="s">
        <v>74</v>
      </c>
      <c r="S426" t="s">
        <v>74</v>
      </c>
      <c r="T426" t="s">
        <v>74</v>
      </c>
      <c r="U426" t="s">
        <v>8123</v>
      </c>
      <c r="V426" t="s">
        <v>8124</v>
      </c>
      <c r="W426" t="s">
        <v>8125</v>
      </c>
      <c r="X426" t="s">
        <v>8126</v>
      </c>
      <c r="Y426" t="s">
        <v>8127</v>
      </c>
      <c r="Z426" t="s">
        <v>8128</v>
      </c>
      <c r="AA426" t="s">
        <v>8129</v>
      </c>
      <c r="AB426" t="s">
        <v>8130</v>
      </c>
      <c r="AC426" t="s">
        <v>8131</v>
      </c>
      <c r="AD426" t="s">
        <v>8132</v>
      </c>
      <c r="AE426" t="s">
        <v>8133</v>
      </c>
      <c r="AF426" t="s">
        <v>74</v>
      </c>
      <c r="AG426">
        <v>38</v>
      </c>
      <c r="AH426">
        <v>7</v>
      </c>
      <c r="AI426">
        <v>7</v>
      </c>
      <c r="AJ426">
        <v>13</v>
      </c>
      <c r="AK426">
        <v>26</v>
      </c>
      <c r="AL426" t="s">
        <v>182</v>
      </c>
      <c r="AM426" t="s">
        <v>183</v>
      </c>
      <c r="AN426" t="s">
        <v>184</v>
      </c>
      <c r="AO426" t="s">
        <v>74</v>
      </c>
      <c r="AP426" t="s">
        <v>8134</v>
      </c>
      <c r="AQ426" t="s">
        <v>74</v>
      </c>
      <c r="AR426" t="s">
        <v>8135</v>
      </c>
      <c r="AS426" t="s">
        <v>8136</v>
      </c>
      <c r="AT426" t="s">
        <v>7892</v>
      </c>
      <c r="AU426">
        <v>2022</v>
      </c>
      <c r="AV426">
        <v>9</v>
      </c>
      <c r="AW426">
        <v>1</v>
      </c>
      <c r="AX426" t="s">
        <v>74</v>
      </c>
      <c r="AY426" t="s">
        <v>74</v>
      </c>
      <c r="AZ426" t="s">
        <v>74</v>
      </c>
      <c r="BA426" t="s">
        <v>74</v>
      </c>
      <c r="BB426" t="s">
        <v>74</v>
      </c>
      <c r="BC426" t="s">
        <v>74</v>
      </c>
      <c r="BD426">
        <v>772</v>
      </c>
      <c r="BE426" t="s">
        <v>8137</v>
      </c>
      <c r="BF426" t="str">
        <f>HYPERLINK("http://dx.doi.org/10.1038/s41597-022-01873-7","http://dx.doi.org/10.1038/s41597-022-01873-7")</f>
        <v>http://dx.doi.org/10.1038/s41597-022-01873-7</v>
      </c>
      <c r="BG426" t="s">
        <v>74</v>
      </c>
      <c r="BH426" t="s">
        <v>74</v>
      </c>
      <c r="BI426">
        <v>9</v>
      </c>
      <c r="BJ426" t="s">
        <v>189</v>
      </c>
      <c r="BK426" t="s">
        <v>104</v>
      </c>
      <c r="BL426" t="s">
        <v>190</v>
      </c>
      <c r="BM426" t="s">
        <v>8138</v>
      </c>
      <c r="BN426">
        <v>36526638</v>
      </c>
      <c r="BO426" t="s">
        <v>8139</v>
      </c>
      <c r="BP426" t="s">
        <v>74</v>
      </c>
      <c r="BQ426" t="s">
        <v>74</v>
      </c>
      <c r="BR426" t="s">
        <v>108</v>
      </c>
      <c r="BS426" t="s">
        <v>8140</v>
      </c>
      <c r="BT426" t="str">
        <f>HYPERLINK("https%3A%2F%2Fwww.webofscience.com%2Fwos%2Fwoscc%2Ffull-record%2FWOS:000899770800001","View Full Record in Web of Science")</f>
        <v>View Full Record in Web of Science</v>
      </c>
    </row>
    <row r="427" spans="1:72" x14ac:dyDescent="0.15">
      <c r="A427" t="s">
        <v>72</v>
      </c>
      <c r="B427" t="s">
        <v>8141</v>
      </c>
      <c r="C427" t="s">
        <v>74</v>
      </c>
      <c r="D427" t="s">
        <v>74</v>
      </c>
      <c r="E427" t="s">
        <v>74</v>
      </c>
      <c r="F427" t="s">
        <v>8142</v>
      </c>
      <c r="G427" t="s">
        <v>74</v>
      </c>
      <c r="H427" t="s">
        <v>74</v>
      </c>
      <c r="I427" t="s">
        <v>8143</v>
      </c>
      <c r="J427" t="s">
        <v>8144</v>
      </c>
      <c r="K427" t="s">
        <v>74</v>
      </c>
      <c r="L427" t="s">
        <v>74</v>
      </c>
      <c r="M427" t="s">
        <v>78</v>
      </c>
      <c r="N427" t="s">
        <v>79</v>
      </c>
      <c r="O427" t="s">
        <v>74</v>
      </c>
      <c r="P427" t="s">
        <v>74</v>
      </c>
      <c r="Q427" t="s">
        <v>74</v>
      </c>
      <c r="R427" t="s">
        <v>74</v>
      </c>
      <c r="S427" t="s">
        <v>74</v>
      </c>
      <c r="T427" t="s">
        <v>74</v>
      </c>
      <c r="U427" t="s">
        <v>8145</v>
      </c>
      <c r="V427" t="s">
        <v>8146</v>
      </c>
      <c r="W427" t="s">
        <v>8147</v>
      </c>
      <c r="X427" t="s">
        <v>8148</v>
      </c>
      <c r="Y427" t="s">
        <v>8149</v>
      </c>
      <c r="Z427" t="s">
        <v>8150</v>
      </c>
      <c r="AA427" t="s">
        <v>8151</v>
      </c>
      <c r="AB427" t="s">
        <v>8152</v>
      </c>
      <c r="AC427" t="s">
        <v>8153</v>
      </c>
      <c r="AD427" t="s">
        <v>8154</v>
      </c>
      <c r="AE427" t="s">
        <v>8155</v>
      </c>
      <c r="AF427" t="s">
        <v>74</v>
      </c>
      <c r="AG427">
        <v>61</v>
      </c>
      <c r="AH427">
        <v>3</v>
      </c>
      <c r="AI427">
        <v>3</v>
      </c>
      <c r="AJ427">
        <v>0</v>
      </c>
      <c r="AK427">
        <v>2</v>
      </c>
      <c r="AL427" t="s">
        <v>126</v>
      </c>
      <c r="AM427" t="s">
        <v>127</v>
      </c>
      <c r="AN427" t="s">
        <v>128</v>
      </c>
      <c r="AO427" t="s">
        <v>8156</v>
      </c>
      <c r="AP427" t="s">
        <v>8157</v>
      </c>
      <c r="AQ427" t="s">
        <v>74</v>
      </c>
      <c r="AR427" t="s">
        <v>8158</v>
      </c>
      <c r="AS427" t="s">
        <v>8159</v>
      </c>
      <c r="AT427" t="s">
        <v>7892</v>
      </c>
      <c r="AU427">
        <v>2022</v>
      </c>
      <c r="AV427">
        <v>15</v>
      </c>
      <c r="AW427">
        <v>24</v>
      </c>
      <c r="AX427" t="s">
        <v>74</v>
      </c>
      <c r="AY427" t="s">
        <v>74</v>
      </c>
      <c r="AZ427" t="s">
        <v>74</v>
      </c>
      <c r="BA427" t="s">
        <v>74</v>
      </c>
      <c r="BB427">
        <v>7235</v>
      </c>
      <c r="BC427">
        <v>7258</v>
      </c>
      <c r="BD427" t="s">
        <v>74</v>
      </c>
      <c r="BE427" t="s">
        <v>8160</v>
      </c>
      <c r="BF427" t="str">
        <f>HYPERLINK("http://dx.doi.org/10.5194/amt-15-7235-2022","http://dx.doi.org/10.5194/amt-15-7235-2022")</f>
        <v>http://dx.doi.org/10.5194/amt-15-7235-2022</v>
      </c>
      <c r="BG427" t="s">
        <v>74</v>
      </c>
      <c r="BH427" t="s">
        <v>74</v>
      </c>
      <c r="BI427">
        <v>24</v>
      </c>
      <c r="BJ427" t="s">
        <v>532</v>
      </c>
      <c r="BK427" t="s">
        <v>104</v>
      </c>
      <c r="BL427" t="s">
        <v>532</v>
      </c>
      <c r="BM427" t="s">
        <v>8161</v>
      </c>
      <c r="BN427" t="s">
        <v>74</v>
      </c>
      <c r="BO427" t="s">
        <v>737</v>
      </c>
      <c r="BP427" t="s">
        <v>74</v>
      </c>
      <c r="BQ427" t="s">
        <v>74</v>
      </c>
      <c r="BR427" t="s">
        <v>108</v>
      </c>
      <c r="BS427" t="s">
        <v>8162</v>
      </c>
      <c r="BT427" t="str">
        <f>HYPERLINK("https%3A%2F%2Fwww.webofscience.com%2Fwos%2Fwoscc%2Ffull-record%2FWOS:000899755500001","View Full Record in Web of Science")</f>
        <v>View Full Record in Web of Science</v>
      </c>
    </row>
    <row r="428" spans="1:72" x14ac:dyDescent="0.15">
      <c r="A428" t="s">
        <v>72</v>
      </c>
      <c r="B428" t="s">
        <v>8163</v>
      </c>
      <c r="C428" t="s">
        <v>74</v>
      </c>
      <c r="D428" t="s">
        <v>74</v>
      </c>
      <c r="E428" t="s">
        <v>74</v>
      </c>
      <c r="F428" t="s">
        <v>8164</v>
      </c>
      <c r="G428" t="s">
        <v>74</v>
      </c>
      <c r="H428" t="s">
        <v>74</v>
      </c>
      <c r="I428" t="s">
        <v>8165</v>
      </c>
      <c r="J428" t="s">
        <v>8166</v>
      </c>
      <c r="K428" t="s">
        <v>74</v>
      </c>
      <c r="L428" t="s">
        <v>74</v>
      </c>
      <c r="M428" t="s">
        <v>78</v>
      </c>
      <c r="N428" t="s">
        <v>79</v>
      </c>
      <c r="O428" t="s">
        <v>74</v>
      </c>
      <c r="P428" t="s">
        <v>74</v>
      </c>
      <c r="Q428" t="s">
        <v>74</v>
      </c>
      <c r="R428" t="s">
        <v>74</v>
      </c>
      <c r="S428" t="s">
        <v>74</v>
      </c>
      <c r="T428" t="s">
        <v>8167</v>
      </c>
      <c r="U428" t="s">
        <v>8168</v>
      </c>
      <c r="V428" t="s">
        <v>8169</v>
      </c>
      <c r="W428" t="s">
        <v>8170</v>
      </c>
      <c r="X428" t="s">
        <v>8171</v>
      </c>
      <c r="Y428" t="s">
        <v>8172</v>
      </c>
      <c r="Z428" t="s">
        <v>8173</v>
      </c>
      <c r="AA428" t="s">
        <v>8174</v>
      </c>
      <c r="AB428" t="s">
        <v>8175</v>
      </c>
      <c r="AC428" t="s">
        <v>8176</v>
      </c>
      <c r="AD428" t="s">
        <v>8177</v>
      </c>
      <c r="AE428" t="s">
        <v>8178</v>
      </c>
      <c r="AF428" t="s">
        <v>74</v>
      </c>
      <c r="AG428">
        <v>84</v>
      </c>
      <c r="AH428">
        <v>5</v>
      </c>
      <c r="AI428">
        <v>5</v>
      </c>
      <c r="AJ428">
        <v>3</v>
      </c>
      <c r="AK428">
        <v>10</v>
      </c>
      <c r="AL428" t="s">
        <v>8179</v>
      </c>
      <c r="AM428" t="s">
        <v>375</v>
      </c>
      <c r="AN428" t="s">
        <v>8180</v>
      </c>
      <c r="AO428" t="s">
        <v>74</v>
      </c>
      <c r="AP428" t="s">
        <v>8181</v>
      </c>
      <c r="AQ428" t="s">
        <v>74</v>
      </c>
      <c r="AR428" t="s">
        <v>8182</v>
      </c>
      <c r="AS428" t="s">
        <v>8183</v>
      </c>
      <c r="AT428" t="s">
        <v>7892</v>
      </c>
      <c r="AU428">
        <v>2022</v>
      </c>
      <c r="AV428">
        <v>21</v>
      </c>
      <c r="AW428">
        <v>1</v>
      </c>
      <c r="AX428" t="s">
        <v>74</v>
      </c>
      <c r="AY428" t="s">
        <v>74</v>
      </c>
      <c r="AZ428" t="s">
        <v>74</v>
      </c>
      <c r="BA428" t="s">
        <v>74</v>
      </c>
      <c r="BB428" t="s">
        <v>74</v>
      </c>
      <c r="BC428" t="s">
        <v>74</v>
      </c>
      <c r="BD428">
        <v>261</v>
      </c>
      <c r="BE428" t="s">
        <v>8184</v>
      </c>
      <c r="BF428" t="str">
        <f>HYPERLINK("http://dx.doi.org/10.1186/s12934-022-01990-3","http://dx.doi.org/10.1186/s12934-022-01990-3")</f>
        <v>http://dx.doi.org/10.1186/s12934-022-01990-3</v>
      </c>
      <c r="BG428" t="s">
        <v>74</v>
      </c>
      <c r="BH428" t="s">
        <v>74</v>
      </c>
      <c r="BI428">
        <v>17</v>
      </c>
      <c r="BJ428" t="s">
        <v>8185</v>
      </c>
      <c r="BK428" t="s">
        <v>104</v>
      </c>
      <c r="BL428" t="s">
        <v>8185</v>
      </c>
      <c r="BM428" t="s">
        <v>8186</v>
      </c>
      <c r="BN428">
        <v>36527127</v>
      </c>
      <c r="BO428" t="s">
        <v>3181</v>
      </c>
      <c r="BP428" t="s">
        <v>74</v>
      </c>
      <c r="BQ428" t="s">
        <v>74</v>
      </c>
      <c r="BR428" t="s">
        <v>108</v>
      </c>
      <c r="BS428" t="s">
        <v>8187</v>
      </c>
      <c r="BT428" t="str">
        <f>HYPERLINK("https%3A%2F%2Fwww.webofscience.com%2Fwos%2Fwoscc%2Ffull-record%2FWOS:000895897100001","View Full Record in Web of Science")</f>
        <v>View Full Record in Web of Science</v>
      </c>
    </row>
    <row r="429" spans="1:72" x14ac:dyDescent="0.15">
      <c r="A429" t="s">
        <v>72</v>
      </c>
      <c r="B429" t="s">
        <v>8188</v>
      </c>
      <c r="C429" t="s">
        <v>74</v>
      </c>
      <c r="D429" t="s">
        <v>74</v>
      </c>
      <c r="E429" t="s">
        <v>74</v>
      </c>
      <c r="F429" t="s">
        <v>8189</v>
      </c>
      <c r="G429" t="s">
        <v>74</v>
      </c>
      <c r="H429" t="s">
        <v>74</v>
      </c>
      <c r="I429" t="s">
        <v>8190</v>
      </c>
      <c r="J429" t="s">
        <v>8191</v>
      </c>
      <c r="K429" t="s">
        <v>74</v>
      </c>
      <c r="L429" t="s">
        <v>74</v>
      </c>
      <c r="M429" t="s">
        <v>78</v>
      </c>
      <c r="N429" t="s">
        <v>79</v>
      </c>
      <c r="O429" t="s">
        <v>74</v>
      </c>
      <c r="P429" t="s">
        <v>74</v>
      </c>
      <c r="Q429" t="s">
        <v>74</v>
      </c>
      <c r="R429" t="s">
        <v>74</v>
      </c>
      <c r="S429" t="s">
        <v>74</v>
      </c>
      <c r="T429" t="s">
        <v>8192</v>
      </c>
      <c r="U429" t="s">
        <v>8193</v>
      </c>
      <c r="V429" t="s">
        <v>8194</v>
      </c>
      <c r="W429" t="s">
        <v>8195</v>
      </c>
      <c r="X429" t="s">
        <v>8196</v>
      </c>
      <c r="Y429" t="s">
        <v>8197</v>
      </c>
      <c r="Z429" t="s">
        <v>8198</v>
      </c>
      <c r="AA429" t="s">
        <v>8199</v>
      </c>
      <c r="AB429" t="s">
        <v>8200</v>
      </c>
      <c r="AC429" t="s">
        <v>8201</v>
      </c>
      <c r="AD429" t="s">
        <v>8202</v>
      </c>
      <c r="AE429" t="s">
        <v>8203</v>
      </c>
      <c r="AF429" t="s">
        <v>74</v>
      </c>
      <c r="AG429">
        <v>132</v>
      </c>
      <c r="AH429">
        <v>0</v>
      </c>
      <c r="AI429">
        <v>0</v>
      </c>
      <c r="AJ429">
        <v>3</v>
      </c>
      <c r="AK429">
        <v>30</v>
      </c>
      <c r="AL429" t="s">
        <v>297</v>
      </c>
      <c r="AM429" t="s">
        <v>298</v>
      </c>
      <c r="AN429" t="s">
        <v>299</v>
      </c>
      <c r="AO429" t="s">
        <v>8204</v>
      </c>
      <c r="AP429" t="s">
        <v>8205</v>
      </c>
      <c r="AQ429" t="s">
        <v>74</v>
      </c>
      <c r="AR429" t="s">
        <v>8206</v>
      </c>
      <c r="AS429" t="s">
        <v>8207</v>
      </c>
      <c r="AT429" t="s">
        <v>99</v>
      </c>
      <c r="AU429">
        <v>2023</v>
      </c>
      <c r="AV429">
        <v>32</v>
      </c>
      <c r="AW429">
        <v>4</v>
      </c>
      <c r="AX429" t="s">
        <v>74</v>
      </c>
      <c r="AY429" t="s">
        <v>74</v>
      </c>
      <c r="AZ429" t="s">
        <v>74</v>
      </c>
      <c r="BA429" t="s">
        <v>74</v>
      </c>
      <c r="BB429">
        <v>756</v>
      </c>
      <c r="BC429">
        <v>771</v>
      </c>
      <c r="BD429" t="s">
        <v>74</v>
      </c>
      <c r="BE429" t="s">
        <v>8208</v>
      </c>
      <c r="BF429" t="str">
        <f>HYPERLINK("http://dx.doi.org/10.1111/mec.16809","http://dx.doi.org/10.1111/mec.16809")</f>
        <v>http://dx.doi.org/10.1111/mec.16809</v>
      </c>
      <c r="BG429" t="s">
        <v>74</v>
      </c>
      <c r="BH429" t="s">
        <v>5796</v>
      </c>
      <c r="BI429">
        <v>16</v>
      </c>
      <c r="BJ429" t="s">
        <v>6593</v>
      </c>
      <c r="BK429" t="s">
        <v>104</v>
      </c>
      <c r="BL429" t="s">
        <v>6594</v>
      </c>
      <c r="BM429" t="s">
        <v>8209</v>
      </c>
      <c r="BN429">
        <v>36478264</v>
      </c>
      <c r="BO429" t="s">
        <v>248</v>
      </c>
      <c r="BP429" t="s">
        <v>74</v>
      </c>
      <c r="BQ429" t="s">
        <v>74</v>
      </c>
      <c r="BR429" t="s">
        <v>108</v>
      </c>
      <c r="BS429" t="s">
        <v>8210</v>
      </c>
      <c r="BT429" t="str">
        <f>HYPERLINK("https%3A%2F%2Fwww.webofscience.com%2Fwos%2Fwoscc%2Ffull-record%2FWOS:000898998100001","View Full Record in Web of Science")</f>
        <v>View Full Record in Web of Science</v>
      </c>
    </row>
    <row r="430" spans="1:72" x14ac:dyDescent="0.15">
      <c r="A430" t="s">
        <v>72</v>
      </c>
      <c r="B430" t="s">
        <v>8211</v>
      </c>
      <c r="C430" t="s">
        <v>74</v>
      </c>
      <c r="D430" t="s">
        <v>74</v>
      </c>
      <c r="E430" t="s">
        <v>74</v>
      </c>
      <c r="F430" t="s">
        <v>8212</v>
      </c>
      <c r="G430" t="s">
        <v>74</v>
      </c>
      <c r="H430" t="s">
        <v>74</v>
      </c>
      <c r="I430" t="s">
        <v>8213</v>
      </c>
      <c r="J430" t="s">
        <v>8214</v>
      </c>
      <c r="K430" t="s">
        <v>74</v>
      </c>
      <c r="L430" t="s">
        <v>74</v>
      </c>
      <c r="M430" t="s">
        <v>78</v>
      </c>
      <c r="N430" t="s">
        <v>79</v>
      </c>
      <c r="O430" t="s">
        <v>74</v>
      </c>
      <c r="P430" t="s">
        <v>74</v>
      </c>
      <c r="Q430" t="s">
        <v>74</v>
      </c>
      <c r="R430" t="s">
        <v>74</v>
      </c>
      <c r="S430" t="s">
        <v>74</v>
      </c>
      <c r="T430" t="s">
        <v>8215</v>
      </c>
      <c r="U430" t="s">
        <v>8216</v>
      </c>
      <c r="V430" t="s">
        <v>8217</v>
      </c>
      <c r="W430" t="s">
        <v>8218</v>
      </c>
      <c r="X430" t="s">
        <v>8219</v>
      </c>
      <c r="Y430" t="s">
        <v>8220</v>
      </c>
      <c r="Z430" t="s">
        <v>8221</v>
      </c>
      <c r="AA430" t="s">
        <v>74</v>
      </c>
      <c r="AB430" t="s">
        <v>74</v>
      </c>
      <c r="AC430" t="s">
        <v>8222</v>
      </c>
      <c r="AD430" t="s">
        <v>8223</v>
      </c>
      <c r="AE430" t="s">
        <v>8224</v>
      </c>
      <c r="AF430" t="s">
        <v>74</v>
      </c>
      <c r="AG430">
        <v>68</v>
      </c>
      <c r="AH430">
        <v>1</v>
      </c>
      <c r="AI430">
        <v>1</v>
      </c>
      <c r="AJ430">
        <v>1</v>
      </c>
      <c r="AK430">
        <v>7</v>
      </c>
      <c r="AL430" t="s">
        <v>422</v>
      </c>
      <c r="AM430" t="s">
        <v>208</v>
      </c>
      <c r="AN430" t="s">
        <v>423</v>
      </c>
      <c r="AO430" t="s">
        <v>8225</v>
      </c>
      <c r="AP430" t="s">
        <v>8226</v>
      </c>
      <c r="AQ430" t="s">
        <v>74</v>
      </c>
      <c r="AR430" t="s">
        <v>8227</v>
      </c>
      <c r="AS430" t="s">
        <v>8228</v>
      </c>
      <c r="AT430" t="s">
        <v>609</v>
      </c>
      <c r="AU430">
        <v>2023</v>
      </c>
      <c r="AV430">
        <v>45</v>
      </c>
      <c r="AW430">
        <v>1</v>
      </c>
      <c r="AX430" t="s">
        <v>74</v>
      </c>
      <c r="AY430" t="s">
        <v>74</v>
      </c>
      <c r="AZ430" t="s">
        <v>74</v>
      </c>
      <c r="BA430" t="s">
        <v>74</v>
      </c>
      <c r="BB430">
        <v>37</v>
      </c>
      <c r="BC430">
        <v>51</v>
      </c>
      <c r="BD430" t="s">
        <v>74</v>
      </c>
      <c r="BE430" t="s">
        <v>8229</v>
      </c>
      <c r="BF430" t="str">
        <f>HYPERLINK("http://dx.doi.org/10.1093/plankt/fbac068","http://dx.doi.org/10.1093/plankt/fbac068")</f>
        <v>http://dx.doi.org/10.1093/plankt/fbac068</v>
      </c>
      <c r="BG430" t="s">
        <v>74</v>
      </c>
      <c r="BH430" t="s">
        <v>5796</v>
      </c>
      <c r="BI430">
        <v>15</v>
      </c>
      <c r="BJ430" t="s">
        <v>556</v>
      </c>
      <c r="BK430" t="s">
        <v>104</v>
      </c>
      <c r="BL430" t="s">
        <v>556</v>
      </c>
      <c r="BM430" t="s">
        <v>8230</v>
      </c>
      <c r="BN430" t="s">
        <v>74</v>
      </c>
      <c r="BO430" t="s">
        <v>74</v>
      </c>
      <c r="BP430" t="s">
        <v>74</v>
      </c>
      <c r="BQ430" t="s">
        <v>74</v>
      </c>
      <c r="BR430" t="s">
        <v>108</v>
      </c>
      <c r="BS430" t="s">
        <v>8231</v>
      </c>
      <c r="BT430" t="str">
        <f>HYPERLINK("https%3A%2F%2Fwww.webofscience.com%2Fwos%2Fwoscc%2Ffull-record%2FWOS:000898406100001","View Full Record in Web of Science")</f>
        <v>View Full Record in Web of Science</v>
      </c>
    </row>
    <row r="431" spans="1:72" x14ac:dyDescent="0.15">
      <c r="A431" t="s">
        <v>72</v>
      </c>
      <c r="B431" t="s">
        <v>8232</v>
      </c>
      <c r="C431" t="s">
        <v>74</v>
      </c>
      <c r="D431" t="s">
        <v>74</v>
      </c>
      <c r="E431" t="s">
        <v>74</v>
      </c>
      <c r="F431" t="s">
        <v>8233</v>
      </c>
      <c r="G431" t="s">
        <v>74</v>
      </c>
      <c r="H431" t="s">
        <v>74</v>
      </c>
      <c r="I431" t="s">
        <v>8234</v>
      </c>
      <c r="J431" t="s">
        <v>8235</v>
      </c>
      <c r="K431" t="s">
        <v>74</v>
      </c>
      <c r="L431" t="s">
        <v>74</v>
      </c>
      <c r="M431" t="s">
        <v>78</v>
      </c>
      <c r="N431" t="s">
        <v>79</v>
      </c>
      <c r="O431" t="s">
        <v>74</v>
      </c>
      <c r="P431" t="s">
        <v>74</v>
      </c>
      <c r="Q431" t="s">
        <v>74</v>
      </c>
      <c r="R431" t="s">
        <v>74</v>
      </c>
      <c r="S431" t="s">
        <v>74</v>
      </c>
      <c r="T431" t="s">
        <v>8236</v>
      </c>
      <c r="U431" t="s">
        <v>8237</v>
      </c>
      <c r="V431" t="s">
        <v>8238</v>
      </c>
      <c r="W431" t="s">
        <v>8239</v>
      </c>
      <c r="X431" t="s">
        <v>8240</v>
      </c>
      <c r="Y431" t="s">
        <v>8241</v>
      </c>
      <c r="Z431" t="s">
        <v>8242</v>
      </c>
      <c r="AA431" t="s">
        <v>8243</v>
      </c>
      <c r="AB431" t="s">
        <v>8244</v>
      </c>
      <c r="AC431" t="s">
        <v>8245</v>
      </c>
      <c r="AD431" t="s">
        <v>8246</v>
      </c>
      <c r="AE431" t="s">
        <v>8247</v>
      </c>
      <c r="AF431" t="s">
        <v>74</v>
      </c>
      <c r="AG431">
        <v>129</v>
      </c>
      <c r="AH431">
        <v>1</v>
      </c>
      <c r="AI431">
        <v>1</v>
      </c>
      <c r="AJ431">
        <v>4</v>
      </c>
      <c r="AK431">
        <v>6</v>
      </c>
      <c r="AL431" t="s">
        <v>603</v>
      </c>
      <c r="AM431" t="s">
        <v>208</v>
      </c>
      <c r="AN431" t="s">
        <v>604</v>
      </c>
      <c r="AO431" t="s">
        <v>8248</v>
      </c>
      <c r="AP431" t="s">
        <v>8249</v>
      </c>
      <c r="AQ431" t="s">
        <v>74</v>
      </c>
      <c r="AR431" t="s">
        <v>8250</v>
      </c>
      <c r="AS431" t="s">
        <v>8251</v>
      </c>
      <c r="AT431" t="s">
        <v>99</v>
      </c>
      <c r="AU431">
        <v>2023</v>
      </c>
      <c r="AV431">
        <v>192</v>
      </c>
      <c r="AW431" t="s">
        <v>74</v>
      </c>
      <c r="AX431" t="s">
        <v>74</v>
      </c>
      <c r="AY431" t="s">
        <v>74</v>
      </c>
      <c r="AZ431" t="s">
        <v>74</v>
      </c>
      <c r="BA431" t="s">
        <v>74</v>
      </c>
      <c r="BB431" t="s">
        <v>74</v>
      </c>
      <c r="BC431" t="s">
        <v>74</v>
      </c>
      <c r="BD431">
        <v>103936</v>
      </c>
      <c r="BE431" t="s">
        <v>8252</v>
      </c>
      <c r="BF431" t="str">
        <f>HYPERLINK("http://dx.doi.org/10.1016/j.dsr.2022.103936","http://dx.doi.org/10.1016/j.dsr.2022.103936")</f>
        <v>http://dx.doi.org/10.1016/j.dsr.2022.103936</v>
      </c>
      <c r="BG431" t="s">
        <v>74</v>
      </c>
      <c r="BH431" t="s">
        <v>5796</v>
      </c>
      <c r="BI431">
        <v>17</v>
      </c>
      <c r="BJ431" t="s">
        <v>403</v>
      </c>
      <c r="BK431" t="s">
        <v>104</v>
      </c>
      <c r="BL431" t="s">
        <v>403</v>
      </c>
      <c r="BM431" t="s">
        <v>8253</v>
      </c>
      <c r="BN431" t="s">
        <v>74</v>
      </c>
      <c r="BO431" t="s">
        <v>74</v>
      </c>
      <c r="BP431" t="s">
        <v>74</v>
      </c>
      <c r="BQ431" t="s">
        <v>74</v>
      </c>
      <c r="BR431" t="s">
        <v>108</v>
      </c>
      <c r="BS431" t="s">
        <v>8254</v>
      </c>
      <c r="BT431" t="str">
        <f>HYPERLINK("https%3A%2F%2Fwww.webofscience.com%2Fwos%2Fwoscc%2Ffull-record%2FWOS:000976256500001","View Full Record in Web of Science")</f>
        <v>View Full Record in Web of Science</v>
      </c>
    </row>
    <row r="432" spans="1:72" x14ac:dyDescent="0.15">
      <c r="A432" t="s">
        <v>72</v>
      </c>
      <c r="B432" t="s">
        <v>8255</v>
      </c>
      <c r="C432" t="s">
        <v>74</v>
      </c>
      <c r="D432" t="s">
        <v>74</v>
      </c>
      <c r="E432" t="s">
        <v>74</v>
      </c>
      <c r="F432" t="s">
        <v>8256</v>
      </c>
      <c r="G432" t="s">
        <v>74</v>
      </c>
      <c r="H432" t="s">
        <v>74</v>
      </c>
      <c r="I432" t="s">
        <v>8257</v>
      </c>
      <c r="J432" t="s">
        <v>6674</v>
      </c>
      <c r="K432" t="s">
        <v>74</v>
      </c>
      <c r="L432" t="s">
        <v>74</v>
      </c>
      <c r="M432" t="s">
        <v>78</v>
      </c>
      <c r="N432" t="s">
        <v>79</v>
      </c>
      <c r="O432" t="s">
        <v>74</v>
      </c>
      <c r="P432" t="s">
        <v>74</v>
      </c>
      <c r="Q432" t="s">
        <v>74</v>
      </c>
      <c r="R432" t="s">
        <v>74</v>
      </c>
      <c r="S432" t="s">
        <v>74</v>
      </c>
      <c r="T432" t="s">
        <v>8258</v>
      </c>
      <c r="U432" t="s">
        <v>8259</v>
      </c>
      <c r="V432" t="s">
        <v>8260</v>
      </c>
      <c r="W432" t="s">
        <v>8261</v>
      </c>
      <c r="X432" t="s">
        <v>8262</v>
      </c>
      <c r="Y432" t="s">
        <v>8263</v>
      </c>
      <c r="Z432" t="s">
        <v>8264</v>
      </c>
      <c r="AA432" t="s">
        <v>8265</v>
      </c>
      <c r="AB432" t="s">
        <v>8266</v>
      </c>
      <c r="AC432" t="s">
        <v>8267</v>
      </c>
      <c r="AD432" t="s">
        <v>8268</v>
      </c>
      <c r="AE432" t="s">
        <v>8269</v>
      </c>
      <c r="AF432" t="s">
        <v>74</v>
      </c>
      <c r="AG432">
        <v>80</v>
      </c>
      <c r="AH432">
        <v>5</v>
      </c>
      <c r="AI432">
        <v>5</v>
      </c>
      <c r="AJ432">
        <v>6</v>
      </c>
      <c r="AK432">
        <v>13</v>
      </c>
      <c r="AL432" t="s">
        <v>603</v>
      </c>
      <c r="AM432" t="s">
        <v>208</v>
      </c>
      <c r="AN432" t="s">
        <v>604</v>
      </c>
      <c r="AO432" t="s">
        <v>6687</v>
      </c>
      <c r="AP432" t="s">
        <v>6688</v>
      </c>
      <c r="AQ432" t="s">
        <v>74</v>
      </c>
      <c r="AR432" t="s">
        <v>6689</v>
      </c>
      <c r="AS432" t="s">
        <v>6690</v>
      </c>
      <c r="AT432" t="s">
        <v>609</v>
      </c>
      <c r="AU432">
        <v>2023</v>
      </c>
      <c r="AV432">
        <v>342</v>
      </c>
      <c r="AW432" t="s">
        <v>74</v>
      </c>
      <c r="AX432" t="s">
        <v>74</v>
      </c>
      <c r="AY432" t="s">
        <v>74</v>
      </c>
      <c r="AZ432" t="s">
        <v>74</v>
      </c>
      <c r="BA432" t="s">
        <v>74</v>
      </c>
      <c r="BB432">
        <v>31</v>
      </c>
      <c r="BC432">
        <v>44</v>
      </c>
      <c r="BD432" t="s">
        <v>74</v>
      </c>
      <c r="BE432" t="s">
        <v>8270</v>
      </c>
      <c r="BF432" t="str">
        <f>HYPERLINK("http://dx.doi.org/10.1016/j.gca.2022.12.010","http://dx.doi.org/10.1016/j.gca.2022.12.010")</f>
        <v>http://dx.doi.org/10.1016/j.gca.2022.12.010</v>
      </c>
      <c r="BG432" t="s">
        <v>74</v>
      </c>
      <c r="BH432" t="s">
        <v>5796</v>
      </c>
      <c r="BI432">
        <v>14</v>
      </c>
      <c r="BJ432" t="s">
        <v>430</v>
      </c>
      <c r="BK432" t="s">
        <v>104</v>
      </c>
      <c r="BL432" t="s">
        <v>430</v>
      </c>
      <c r="BM432" t="s">
        <v>8271</v>
      </c>
      <c r="BN432" t="s">
        <v>74</v>
      </c>
      <c r="BO432" t="s">
        <v>248</v>
      </c>
      <c r="BP432" t="s">
        <v>74</v>
      </c>
      <c r="BQ432" t="s">
        <v>74</v>
      </c>
      <c r="BR432" t="s">
        <v>108</v>
      </c>
      <c r="BS432" t="s">
        <v>8272</v>
      </c>
      <c r="BT432" t="str">
        <f>HYPERLINK("https%3A%2F%2Fwww.webofscience.com%2Fwos%2Fwoscc%2Ffull-record%2FWOS:000961256100003","View Full Record in Web of Science")</f>
        <v>View Full Record in Web of Science</v>
      </c>
    </row>
    <row r="433" spans="1:72" x14ac:dyDescent="0.15">
      <c r="A433" t="s">
        <v>72</v>
      </c>
      <c r="B433" t="s">
        <v>8273</v>
      </c>
      <c r="C433" t="s">
        <v>74</v>
      </c>
      <c r="D433" t="s">
        <v>74</v>
      </c>
      <c r="E433" t="s">
        <v>74</v>
      </c>
      <c r="F433" t="s">
        <v>8274</v>
      </c>
      <c r="G433" t="s">
        <v>74</v>
      </c>
      <c r="H433" t="s">
        <v>74</v>
      </c>
      <c r="I433" t="s">
        <v>8275</v>
      </c>
      <c r="J433" t="s">
        <v>362</v>
      </c>
      <c r="K433" t="s">
        <v>74</v>
      </c>
      <c r="L433" t="s">
        <v>74</v>
      </c>
      <c r="M433" t="s">
        <v>78</v>
      </c>
      <c r="N433" t="s">
        <v>79</v>
      </c>
      <c r="O433" t="s">
        <v>74</v>
      </c>
      <c r="P433" t="s">
        <v>74</v>
      </c>
      <c r="Q433" t="s">
        <v>74</v>
      </c>
      <c r="R433" t="s">
        <v>74</v>
      </c>
      <c r="S433" t="s">
        <v>74</v>
      </c>
      <c r="T433" t="s">
        <v>74</v>
      </c>
      <c r="U433" t="s">
        <v>8276</v>
      </c>
      <c r="V433" t="s">
        <v>8277</v>
      </c>
      <c r="W433" t="s">
        <v>8278</v>
      </c>
      <c r="X433" t="s">
        <v>8279</v>
      </c>
      <c r="Y433" t="s">
        <v>8280</v>
      </c>
      <c r="Z433" t="s">
        <v>8281</v>
      </c>
      <c r="AA433" t="s">
        <v>8282</v>
      </c>
      <c r="AB433" t="s">
        <v>8283</v>
      </c>
      <c r="AC433" t="s">
        <v>8284</v>
      </c>
      <c r="AD433" t="s">
        <v>8285</v>
      </c>
      <c r="AE433" t="s">
        <v>8286</v>
      </c>
      <c r="AF433" t="s">
        <v>74</v>
      </c>
      <c r="AG433">
        <v>69</v>
      </c>
      <c r="AH433">
        <v>3</v>
      </c>
      <c r="AI433">
        <v>3</v>
      </c>
      <c r="AJ433">
        <v>2</v>
      </c>
      <c r="AK433">
        <v>3</v>
      </c>
      <c r="AL433" t="s">
        <v>374</v>
      </c>
      <c r="AM433" t="s">
        <v>375</v>
      </c>
      <c r="AN433" t="s">
        <v>376</v>
      </c>
      <c r="AO433" t="s">
        <v>74</v>
      </c>
      <c r="AP433" t="s">
        <v>377</v>
      </c>
      <c r="AQ433" t="s">
        <v>74</v>
      </c>
      <c r="AR433" t="s">
        <v>378</v>
      </c>
      <c r="AS433" t="s">
        <v>379</v>
      </c>
      <c r="AT433" t="s">
        <v>8287</v>
      </c>
      <c r="AU433">
        <v>2022</v>
      </c>
      <c r="AV433">
        <v>3</v>
      </c>
      <c r="AW433">
        <v>1</v>
      </c>
      <c r="AX433" t="s">
        <v>74</v>
      </c>
      <c r="AY433" t="s">
        <v>74</v>
      </c>
      <c r="AZ433" t="s">
        <v>74</v>
      </c>
      <c r="BA433" t="s">
        <v>74</v>
      </c>
      <c r="BB433" t="s">
        <v>74</v>
      </c>
      <c r="BC433" t="s">
        <v>74</v>
      </c>
      <c r="BD433">
        <v>318</v>
      </c>
      <c r="BE433" t="s">
        <v>8288</v>
      </c>
      <c r="BF433" t="str">
        <f>HYPERLINK("http://dx.doi.org/10.1038/s43247-022-00643-y","http://dx.doi.org/10.1038/s43247-022-00643-y")</f>
        <v>http://dx.doi.org/10.1038/s43247-022-00643-y</v>
      </c>
      <c r="BG433" t="s">
        <v>74</v>
      </c>
      <c r="BH433" t="s">
        <v>74</v>
      </c>
      <c r="BI433">
        <v>12</v>
      </c>
      <c r="BJ433" t="s">
        <v>381</v>
      </c>
      <c r="BK433" t="s">
        <v>104</v>
      </c>
      <c r="BL433" t="s">
        <v>382</v>
      </c>
      <c r="BM433" t="s">
        <v>8289</v>
      </c>
      <c r="BN433" t="s">
        <v>74</v>
      </c>
      <c r="BO433" t="s">
        <v>3181</v>
      </c>
      <c r="BP433" t="s">
        <v>74</v>
      </c>
      <c r="BQ433" t="s">
        <v>74</v>
      </c>
      <c r="BR433" t="s">
        <v>108</v>
      </c>
      <c r="BS433" t="s">
        <v>8290</v>
      </c>
      <c r="BT433" t="str">
        <f>HYPERLINK("https%3A%2F%2Fwww.webofscience.com%2Fwos%2Fwoscc%2Ffull-record%2FWOS:000899243600003","View Full Record in Web of Science")</f>
        <v>View Full Record in Web of Science</v>
      </c>
    </row>
    <row r="434" spans="1:72" x14ac:dyDescent="0.15">
      <c r="A434" t="s">
        <v>72</v>
      </c>
      <c r="B434" t="s">
        <v>8291</v>
      </c>
      <c r="C434" t="s">
        <v>74</v>
      </c>
      <c r="D434" t="s">
        <v>74</v>
      </c>
      <c r="E434" t="s">
        <v>74</v>
      </c>
      <c r="F434" t="s">
        <v>8292</v>
      </c>
      <c r="G434" t="s">
        <v>74</v>
      </c>
      <c r="H434" t="s">
        <v>74</v>
      </c>
      <c r="I434" t="s">
        <v>8293</v>
      </c>
      <c r="J434" t="s">
        <v>7798</v>
      </c>
      <c r="K434" t="s">
        <v>74</v>
      </c>
      <c r="L434" t="s">
        <v>74</v>
      </c>
      <c r="M434" t="s">
        <v>78</v>
      </c>
      <c r="N434" t="s">
        <v>79</v>
      </c>
      <c r="O434" t="s">
        <v>74</v>
      </c>
      <c r="P434" t="s">
        <v>74</v>
      </c>
      <c r="Q434" t="s">
        <v>74</v>
      </c>
      <c r="R434" t="s">
        <v>74</v>
      </c>
      <c r="S434" t="s">
        <v>74</v>
      </c>
      <c r="T434" t="s">
        <v>8294</v>
      </c>
      <c r="U434" t="s">
        <v>8295</v>
      </c>
      <c r="V434" t="s">
        <v>8296</v>
      </c>
      <c r="W434" t="s">
        <v>8297</v>
      </c>
      <c r="X434" t="s">
        <v>8298</v>
      </c>
      <c r="Y434" t="s">
        <v>8299</v>
      </c>
      <c r="Z434" t="s">
        <v>8300</v>
      </c>
      <c r="AA434" t="s">
        <v>8301</v>
      </c>
      <c r="AB434" t="s">
        <v>8302</v>
      </c>
      <c r="AC434" t="s">
        <v>8303</v>
      </c>
      <c r="AD434" t="s">
        <v>8304</v>
      </c>
      <c r="AE434" t="s">
        <v>8305</v>
      </c>
      <c r="AF434" t="s">
        <v>74</v>
      </c>
      <c r="AG434">
        <v>95</v>
      </c>
      <c r="AH434">
        <v>8</v>
      </c>
      <c r="AI434">
        <v>8</v>
      </c>
      <c r="AJ434">
        <v>6</v>
      </c>
      <c r="AK434">
        <v>12</v>
      </c>
      <c r="AL434" t="s">
        <v>92</v>
      </c>
      <c r="AM434" t="s">
        <v>7640</v>
      </c>
      <c r="AN434" t="s">
        <v>7811</v>
      </c>
      <c r="AO434" t="s">
        <v>7812</v>
      </c>
      <c r="AP434" t="s">
        <v>7813</v>
      </c>
      <c r="AQ434" t="s">
        <v>74</v>
      </c>
      <c r="AR434" t="s">
        <v>7814</v>
      </c>
      <c r="AS434" t="s">
        <v>7815</v>
      </c>
      <c r="AT434" t="s">
        <v>7816</v>
      </c>
      <c r="AU434">
        <v>2023</v>
      </c>
      <c r="AV434">
        <v>69</v>
      </c>
      <c r="AW434">
        <v>276</v>
      </c>
      <c r="AX434" t="s">
        <v>74</v>
      </c>
      <c r="AY434" t="s">
        <v>74</v>
      </c>
      <c r="AZ434" t="s">
        <v>74</v>
      </c>
      <c r="BA434" t="s">
        <v>74</v>
      </c>
      <c r="BB434">
        <v>823</v>
      </c>
      <c r="BC434">
        <v>840</v>
      </c>
      <c r="BD434" t="s">
        <v>8306</v>
      </c>
      <c r="BE434" t="s">
        <v>8307</v>
      </c>
      <c r="BF434" t="str">
        <f>HYPERLINK("http://dx.doi.org/10.1017/jog.2022.102","http://dx.doi.org/10.1017/jog.2022.102")</f>
        <v>http://dx.doi.org/10.1017/jog.2022.102</v>
      </c>
      <c r="BG434" t="s">
        <v>74</v>
      </c>
      <c r="BH434" t="s">
        <v>5796</v>
      </c>
      <c r="BI434">
        <v>18</v>
      </c>
      <c r="BJ434" t="s">
        <v>611</v>
      </c>
      <c r="BK434" t="s">
        <v>104</v>
      </c>
      <c r="BL434" t="s">
        <v>612</v>
      </c>
      <c r="BM434" t="s">
        <v>7819</v>
      </c>
      <c r="BN434" t="s">
        <v>74</v>
      </c>
      <c r="BO434" t="s">
        <v>192</v>
      </c>
      <c r="BP434" t="s">
        <v>74</v>
      </c>
      <c r="BQ434" t="s">
        <v>74</v>
      </c>
      <c r="BR434" t="s">
        <v>108</v>
      </c>
      <c r="BS434" t="s">
        <v>8308</v>
      </c>
      <c r="BT434" t="str">
        <f>HYPERLINK("https%3A%2F%2Fwww.webofscience.com%2Fwos%2Fwoscc%2Ffull-record%2FWOS:000898344100001","View Full Record in Web of Science")</f>
        <v>View Full Record in Web of Science</v>
      </c>
    </row>
    <row r="435" spans="1:72" x14ac:dyDescent="0.15">
      <c r="A435" t="s">
        <v>72</v>
      </c>
      <c r="B435" t="s">
        <v>8309</v>
      </c>
      <c r="C435" t="s">
        <v>74</v>
      </c>
      <c r="D435" t="s">
        <v>74</v>
      </c>
      <c r="E435" t="s">
        <v>74</v>
      </c>
      <c r="F435" t="s">
        <v>8310</v>
      </c>
      <c r="G435" t="s">
        <v>74</v>
      </c>
      <c r="H435" t="s">
        <v>74</v>
      </c>
      <c r="I435" t="s">
        <v>8311</v>
      </c>
      <c r="J435" t="s">
        <v>7798</v>
      </c>
      <c r="K435" t="s">
        <v>74</v>
      </c>
      <c r="L435" t="s">
        <v>74</v>
      </c>
      <c r="M435" t="s">
        <v>78</v>
      </c>
      <c r="N435" t="s">
        <v>79</v>
      </c>
      <c r="O435" t="s">
        <v>74</v>
      </c>
      <c r="P435" t="s">
        <v>74</v>
      </c>
      <c r="Q435" t="s">
        <v>74</v>
      </c>
      <c r="R435" t="s">
        <v>74</v>
      </c>
      <c r="S435" t="s">
        <v>74</v>
      </c>
      <c r="T435" t="s">
        <v>8312</v>
      </c>
      <c r="U435" t="s">
        <v>8313</v>
      </c>
      <c r="V435" t="s">
        <v>8314</v>
      </c>
      <c r="W435" t="s">
        <v>8315</v>
      </c>
      <c r="X435" t="s">
        <v>8316</v>
      </c>
      <c r="Y435" t="s">
        <v>8317</v>
      </c>
      <c r="Z435" t="s">
        <v>8318</v>
      </c>
      <c r="AA435" t="s">
        <v>8319</v>
      </c>
      <c r="AB435" t="s">
        <v>8320</v>
      </c>
      <c r="AC435" t="s">
        <v>8321</v>
      </c>
      <c r="AD435" t="s">
        <v>8322</v>
      </c>
      <c r="AE435" t="s">
        <v>8323</v>
      </c>
      <c r="AF435" t="s">
        <v>74</v>
      </c>
      <c r="AG435">
        <v>50</v>
      </c>
      <c r="AH435">
        <v>2</v>
      </c>
      <c r="AI435">
        <v>2</v>
      </c>
      <c r="AJ435">
        <v>4</v>
      </c>
      <c r="AK435">
        <v>11</v>
      </c>
      <c r="AL435" t="s">
        <v>92</v>
      </c>
      <c r="AM435" t="s">
        <v>7640</v>
      </c>
      <c r="AN435" t="s">
        <v>7811</v>
      </c>
      <c r="AO435" t="s">
        <v>7812</v>
      </c>
      <c r="AP435" t="s">
        <v>7813</v>
      </c>
      <c r="AQ435" t="s">
        <v>74</v>
      </c>
      <c r="AR435" t="s">
        <v>7814</v>
      </c>
      <c r="AS435" t="s">
        <v>7815</v>
      </c>
      <c r="AT435" t="s">
        <v>7816</v>
      </c>
      <c r="AU435">
        <v>2023</v>
      </c>
      <c r="AV435">
        <v>69</v>
      </c>
      <c r="AW435">
        <v>276</v>
      </c>
      <c r="AX435" t="s">
        <v>74</v>
      </c>
      <c r="AY435" t="s">
        <v>74</v>
      </c>
      <c r="AZ435" t="s">
        <v>74</v>
      </c>
      <c r="BA435" t="s">
        <v>74</v>
      </c>
      <c r="BB435">
        <v>981</v>
      </c>
      <c r="BC435">
        <v>996</v>
      </c>
      <c r="BD435" t="s">
        <v>8324</v>
      </c>
      <c r="BE435" t="s">
        <v>8325</v>
      </c>
      <c r="BF435" t="str">
        <f>HYPERLINK("http://dx.doi.org/10.1017/jog.2022.116","http://dx.doi.org/10.1017/jog.2022.116")</f>
        <v>http://dx.doi.org/10.1017/jog.2022.116</v>
      </c>
      <c r="BG435" t="s">
        <v>74</v>
      </c>
      <c r="BH435" t="s">
        <v>5796</v>
      </c>
      <c r="BI435">
        <v>16</v>
      </c>
      <c r="BJ435" t="s">
        <v>611</v>
      </c>
      <c r="BK435" t="s">
        <v>104</v>
      </c>
      <c r="BL435" t="s">
        <v>612</v>
      </c>
      <c r="BM435" t="s">
        <v>7819</v>
      </c>
      <c r="BN435" t="s">
        <v>74</v>
      </c>
      <c r="BO435" t="s">
        <v>3181</v>
      </c>
      <c r="BP435" t="s">
        <v>74</v>
      </c>
      <c r="BQ435" t="s">
        <v>74</v>
      </c>
      <c r="BR435" t="s">
        <v>108</v>
      </c>
      <c r="BS435" t="s">
        <v>8326</v>
      </c>
      <c r="BT435" t="str">
        <f>HYPERLINK("https%3A%2F%2Fwww.webofscience.com%2Fwos%2Fwoscc%2Ffull-record%2FWOS:000898343800001","View Full Record in Web of Science")</f>
        <v>View Full Record in Web of Science</v>
      </c>
    </row>
    <row r="436" spans="1:72" x14ac:dyDescent="0.15">
      <c r="A436" t="s">
        <v>72</v>
      </c>
      <c r="B436" t="s">
        <v>8327</v>
      </c>
      <c r="C436" t="s">
        <v>74</v>
      </c>
      <c r="D436" t="s">
        <v>74</v>
      </c>
      <c r="E436" t="s">
        <v>74</v>
      </c>
      <c r="F436" t="s">
        <v>8328</v>
      </c>
      <c r="G436" t="s">
        <v>74</v>
      </c>
      <c r="H436" t="s">
        <v>74</v>
      </c>
      <c r="I436" t="s">
        <v>8329</v>
      </c>
      <c r="J436" t="s">
        <v>8330</v>
      </c>
      <c r="K436" t="s">
        <v>74</v>
      </c>
      <c r="L436" t="s">
        <v>74</v>
      </c>
      <c r="M436" t="s">
        <v>78</v>
      </c>
      <c r="N436" t="s">
        <v>79</v>
      </c>
      <c r="O436" t="s">
        <v>74</v>
      </c>
      <c r="P436" t="s">
        <v>74</v>
      </c>
      <c r="Q436" t="s">
        <v>74</v>
      </c>
      <c r="R436" t="s">
        <v>74</v>
      </c>
      <c r="S436" t="s">
        <v>74</v>
      </c>
      <c r="T436" t="s">
        <v>8331</v>
      </c>
      <c r="U436" t="s">
        <v>8332</v>
      </c>
      <c r="V436" t="s">
        <v>8333</v>
      </c>
      <c r="W436" t="s">
        <v>8334</v>
      </c>
      <c r="X436" t="s">
        <v>8335</v>
      </c>
      <c r="Y436" t="s">
        <v>8336</v>
      </c>
      <c r="Z436" t="s">
        <v>8337</v>
      </c>
      <c r="AA436" t="s">
        <v>8338</v>
      </c>
      <c r="AB436" t="s">
        <v>74</v>
      </c>
      <c r="AC436" t="s">
        <v>8339</v>
      </c>
      <c r="AD436" t="s">
        <v>8340</v>
      </c>
      <c r="AE436" t="s">
        <v>8341</v>
      </c>
      <c r="AF436" t="s">
        <v>74</v>
      </c>
      <c r="AG436">
        <v>48</v>
      </c>
      <c r="AH436">
        <v>5</v>
      </c>
      <c r="AI436">
        <v>5</v>
      </c>
      <c r="AJ436">
        <v>13</v>
      </c>
      <c r="AK436">
        <v>42</v>
      </c>
      <c r="AL436" t="s">
        <v>207</v>
      </c>
      <c r="AM436" t="s">
        <v>208</v>
      </c>
      <c r="AN436" t="s">
        <v>209</v>
      </c>
      <c r="AO436" t="s">
        <v>8342</v>
      </c>
      <c r="AP436" t="s">
        <v>8343</v>
      </c>
      <c r="AQ436" t="s">
        <v>74</v>
      </c>
      <c r="AR436" t="s">
        <v>8344</v>
      </c>
      <c r="AS436" t="s">
        <v>8345</v>
      </c>
      <c r="AT436" t="s">
        <v>609</v>
      </c>
      <c r="AU436">
        <v>2023</v>
      </c>
      <c r="AV436">
        <v>318</v>
      </c>
      <c r="AW436" t="s">
        <v>74</v>
      </c>
      <c r="AX436" t="s">
        <v>74</v>
      </c>
      <c r="AY436" t="s">
        <v>74</v>
      </c>
      <c r="AZ436" t="s">
        <v>74</v>
      </c>
      <c r="BA436" t="s">
        <v>74</v>
      </c>
      <c r="BB436" t="s">
        <v>74</v>
      </c>
      <c r="BC436" t="s">
        <v>74</v>
      </c>
      <c r="BD436">
        <v>120768</v>
      </c>
      <c r="BE436" t="s">
        <v>8346</v>
      </c>
      <c r="BF436" t="str">
        <f>HYPERLINK("http://dx.doi.org/10.1016/j.envpol.2022.120768","http://dx.doi.org/10.1016/j.envpol.2022.120768")</f>
        <v>http://dx.doi.org/10.1016/j.envpol.2022.120768</v>
      </c>
      <c r="BG436" t="s">
        <v>74</v>
      </c>
      <c r="BH436" t="s">
        <v>5796</v>
      </c>
      <c r="BI436">
        <v>9</v>
      </c>
      <c r="BJ436" t="s">
        <v>216</v>
      </c>
      <c r="BK436" t="s">
        <v>104</v>
      </c>
      <c r="BL436" t="s">
        <v>217</v>
      </c>
      <c r="BM436" t="s">
        <v>8347</v>
      </c>
      <c r="BN436">
        <v>36473643</v>
      </c>
      <c r="BO436" t="s">
        <v>74</v>
      </c>
      <c r="BP436" t="s">
        <v>74</v>
      </c>
      <c r="BQ436" t="s">
        <v>74</v>
      </c>
      <c r="BR436" t="s">
        <v>108</v>
      </c>
      <c r="BS436" t="s">
        <v>8348</v>
      </c>
      <c r="BT436" t="str">
        <f>HYPERLINK("https%3A%2F%2Fwww.webofscience.com%2Fwos%2Fwoscc%2Ffull-record%2FWOS:000904780100002","View Full Record in Web of Science")</f>
        <v>View Full Record in Web of Science</v>
      </c>
    </row>
    <row r="437" spans="1:72" x14ac:dyDescent="0.15">
      <c r="A437" t="s">
        <v>72</v>
      </c>
      <c r="B437" t="s">
        <v>8349</v>
      </c>
      <c r="C437" t="s">
        <v>74</v>
      </c>
      <c r="D437" t="s">
        <v>74</v>
      </c>
      <c r="E437" t="s">
        <v>74</v>
      </c>
      <c r="F437" t="s">
        <v>8350</v>
      </c>
      <c r="G437" t="s">
        <v>74</v>
      </c>
      <c r="H437" t="s">
        <v>74</v>
      </c>
      <c r="I437" t="s">
        <v>8351</v>
      </c>
      <c r="J437" t="s">
        <v>7102</v>
      </c>
      <c r="K437" t="s">
        <v>74</v>
      </c>
      <c r="L437" t="s">
        <v>74</v>
      </c>
      <c r="M437" t="s">
        <v>78</v>
      </c>
      <c r="N437" t="s">
        <v>79</v>
      </c>
      <c r="O437" t="s">
        <v>74</v>
      </c>
      <c r="P437" t="s">
        <v>74</v>
      </c>
      <c r="Q437" t="s">
        <v>74</v>
      </c>
      <c r="R437" t="s">
        <v>74</v>
      </c>
      <c r="S437" t="s">
        <v>74</v>
      </c>
      <c r="T437" t="s">
        <v>8352</v>
      </c>
      <c r="U437" t="s">
        <v>8353</v>
      </c>
      <c r="V437" t="s">
        <v>8354</v>
      </c>
      <c r="W437" t="s">
        <v>8355</v>
      </c>
      <c r="X437" t="s">
        <v>8356</v>
      </c>
      <c r="Y437" t="s">
        <v>8357</v>
      </c>
      <c r="Z437" t="s">
        <v>8358</v>
      </c>
      <c r="AA437" t="s">
        <v>8359</v>
      </c>
      <c r="AB437" t="s">
        <v>8360</v>
      </c>
      <c r="AC437" t="s">
        <v>74</v>
      </c>
      <c r="AD437" t="s">
        <v>74</v>
      </c>
      <c r="AE437" t="s">
        <v>74</v>
      </c>
      <c r="AF437" t="s">
        <v>74</v>
      </c>
      <c r="AG437">
        <v>55</v>
      </c>
      <c r="AH437">
        <v>1</v>
      </c>
      <c r="AI437">
        <v>1</v>
      </c>
      <c r="AJ437">
        <v>3</v>
      </c>
      <c r="AK437">
        <v>10</v>
      </c>
      <c r="AL437" t="s">
        <v>448</v>
      </c>
      <c r="AM437" t="s">
        <v>449</v>
      </c>
      <c r="AN437" t="s">
        <v>450</v>
      </c>
      <c r="AO437" t="s">
        <v>74</v>
      </c>
      <c r="AP437" t="s">
        <v>7115</v>
      </c>
      <c r="AQ437" t="s">
        <v>74</v>
      </c>
      <c r="AR437" t="s">
        <v>7116</v>
      </c>
      <c r="AS437" t="s">
        <v>7117</v>
      </c>
      <c r="AT437" t="s">
        <v>8287</v>
      </c>
      <c r="AU437">
        <v>2022</v>
      </c>
      <c r="AV437">
        <v>9</v>
      </c>
      <c r="AW437" t="s">
        <v>74</v>
      </c>
      <c r="AX437" t="s">
        <v>74</v>
      </c>
      <c r="AY437" t="s">
        <v>74</v>
      </c>
      <c r="AZ437" t="s">
        <v>74</v>
      </c>
      <c r="BA437" t="s">
        <v>74</v>
      </c>
      <c r="BB437" t="s">
        <v>74</v>
      </c>
      <c r="BC437" t="s">
        <v>74</v>
      </c>
      <c r="BD437">
        <v>898080</v>
      </c>
      <c r="BE437" t="s">
        <v>8361</v>
      </c>
      <c r="BF437" t="str">
        <f>HYPERLINK("http://dx.doi.org/10.3389/fmars.2022.898080","http://dx.doi.org/10.3389/fmars.2022.898080")</f>
        <v>http://dx.doi.org/10.3389/fmars.2022.898080</v>
      </c>
      <c r="BG437" t="s">
        <v>74</v>
      </c>
      <c r="BH437" t="s">
        <v>74</v>
      </c>
      <c r="BI437">
        <v>15</v>
      </c>
      <c r="BJ437" t="s">
        <v>6728</v>
      </c>
      <c r="BK437" t="s">
        <v>104</v>
      </c>
      <c r="BL437" t="s">
        <v>6729</v>
      </c>
      <c r="BM437" t="s">
        <v>8362</v>
      </c>
      <c r="BN437" t="s">
        <v>74</v>
      </c>
      <c r="BO437" t="s">
        <v>5503</v>
      </c>
      <c r="BP437" t="s">
        <v>74</v>
      </c>
      <c r="BQ437" t="s">
        <v>74</v>
      </c>
      <c r="BR437" t="s">
        <v>108</v>
      </c>
      <c r="BS437" t="s">
        <v>8363</v>
      </c>
      <c r="BT437" t="str">
        <f>HYPERLINK("https%3A%2F%2Fwww.webofscience.com%2Fwos%2Fwoscc%2Ffull-record%2FWOS:000903811200001","View Full Record in Web of Science")</f>
        <v>View Full Record in Web of Science</v>
      </c>
    </row>
    <row r="438" spans="1:72" x14ac:dyDescent="0.15">
      <c r="A438" t="s">
        <v>72</v>
      </c>
      <c r="B438" t="s">
        <v>8364</v>
      </c>
      <c r="C438" t="s">
        <v>74</v>
      </c>
      <c r="D438" t="s">
        <v>74</v>
      </c>
      <c r="E438" t="s">
        <v>74</v>
      </c>
      <c r="F438" t="s">
        <v>8365</v>
      </c>
      <c r="G438" t="s">
        <v>74</v>
      </c>
      <c r="H438" t="s">
        <v>74</v>
      </c>
      <c r="I438" t="s">
        <v>8366</v>
      </c>
      <c r="J438" t="s">
        <v>6776</v>
      </c>
      <c r="K438" t="s">
        <v>74</v>
      </c>
      <c r="L438" t="s">
        <v>74</v>
      </c>
      <c r="M438" t="s">
        <v>78</v>
      </c>
      <c r="N438" t="s">
        <v>79</v>
      </c>
      <c r="O438" t="s">
        <v>74</v>
      </c>
      <c r="P438" t="s">
        <v>74</v>
      </c>
      <c r="Q438" t="s">
        <v>74</v>
      </c>
      <c r="R438" t="s">
        <v>74</v>
      </c>
      <c r="S438" t="s">
        <v>74</v>
      </c>
      <c r="T438" t="s">
        <v>8367</v>
      </c>
      <c r="U438" t="s">
        <v>8368</v>
      </c>
      <c r="V438" t="s">
        <v>8369</v>
      </c>
      <c r="W438" t="s">
        <v>8370</v>
      </c>
      <c r="X438" t="s">
        <v>8371</v>
      </c>
      <c r="Y438" t="s">
        <v>8372</v>
      </c>
      <c r="Z438" t="s">
        <v>8373</v>
      </c>
      <c r="AA438" t="s">
        <v>8374</v>
      </c>
      <c r="AB438" t="s">
        <v>8375</v>
      </c>
      <c r="AC438" t="s">
        <v>8376</v>
      </c>
      <c r="AD438" t="s">
        <v>8377</v>
      </c>
      <c r="AE438" t="s">
        <v>8378</v>
      </c>
      <c r="AF438" t="s">
        <v>74</v>
      </c>
      <c r="AG438">
        <v>67</v>
      </c>
      <c r="AH438">
        <v>2</v>
      </c>
      <c r="AI438">
        <v>3</v>
      </c>
      <c r="AJ438">
        <v>1</v>
      </c>
      <c r="AK438">
        <v>10</v>
      </c>
      <c r="AL438" t="s">
        <v>237</v>
      </c>
      <c r="AM438" t="s">
        <v>238</v>
      </c>
      <c r="AN438" t="s">
        <v>239</v>
      </c>
      <c r="AO438" t="s">
        <v>6789</v>
      </c>
      <c r="AP438" t="s">
        <v>74</v>
      </c>
      <c r="AQ438" t="s">
        <v>74</v>
      </c>
      <c r="AR438" t="s">
        <v>6790</v>
      </c>
      <c r="AS438" t="s">
        <v>6791</v>
      </c>
      <c r="AT438" t="s">
        <v>276</v>
      </c>
      <c r="AU438">
        <v>2023</v>
      </c>
      <c r="AV438">
        <v>57</v>
      </c>
      <c r="AW438" t="s">
        <v>74</v>
      </c>
      <c r="AX438" t="s">
        <v>74</v>
      </c>
      <c r="AY438" t="s">
        <v>74</v>
      </c>
      <c r="AZ438" t="s">
        <v>74</v>
      </c>
      <c r="BA438" t="s">
        <v>74</v>
      </c>
      <c r="BB438" t="s">
        <v>74</v>
      </c>
      <c r="BC438" t="s">
        <v>74</v>
      </c>
      <c r="BD438">
        <v>102743</v>
      </c>
      <c r="BE438" t="s">
        <v>8379</v>
      </c>
      <c r="BF438" t="str">
        <f>HYPERLINK("http://dx.doi.org/10.1016/j.rsma.2022.102743","http://dx.doi.org/10.1016/j.rsma.2022.102743")</f>
        <v>http://dx.doi.org/10.1016/j.rsma.2022.102743</v>
      </c>
      <c r="BG438" t="s">
        <v>74</v>
      </c>
      <c r="BH438" t="s">
        <v>5796</v>
      </c>
      <c r="BI438">
        <v>8</v>
      </c>
      <c r="BJ438" t="s">
        <v>6793</v>
      </c>
      <c r="BK438" t="s">
        <v>104</v>
      </c>
      <c r="BL438" t="s">
        <v>6729</v>
      </c>
      <c r="BM438" t="s">
        <v>8380</v>
      </c>
      <c r="BN438" t="s">
        <v>74</v>
      </c>
      <c r="BO438" t="s">
        <v>660</v>
      </c>
      <c r="BP438" t="s">
        <v>74</v>
      </c>
      <c r="BQ438" t="s">
        <v>74</v>
      </c>
      <c r="BR438" t="s">
        <v>108</v>
      </c>
      <c r="BS438" t="s">
        <v>8381</v>
      </c>
      <c r="BT438" t="str">
        <f>HYPERLINK("https%3A%2F%2Fwww.webofscience.com%2Fwos%2Fwoscc%2Ffull-record%2FWOS:000901811500003","View Full Record in Web of Science")</f>
        <v>View Full Record in Web of Science</v>
      </c>
    </row>
    <row r="439" spans="1:72" x14ac:dyDescent="0.15">
      <c r="A439" t="s">
        <v>72</v>
      </c>
      <c r="B439" t="s">
        <v>8382</v>
      </c>
      <c r="C439" t="s">
        <v>74</v>
      </c>
      <c r="D439" t="s">
        <v>74</v>
      </c>
      <c r="E439" t="s">
        <v>74</v>
      </c>
      <c r="F439" t="s">
        <v>8383</v>
      </c>
      <c r="G439" t="s">
        <v>74</v>
      </c>
      <c r="H439" t="s">
        <v>74</v>
      </c>
      <c r="I439" t="s">
        <v>8384</v>
      </c>
      <c r="J439" t="s">
        <v>462</v>
      </c>
      <c r="K439" t="s">
        <v>74</v>
      </c>
      <c r="L439" t="s">
        <v>74</v>
      </c>
      <c r="M439" t="s">
        <v>78</v>
      </c>
      <c r="N439" t="s">
        <v>79</v>
      </c>
      <c r="O439" t="s">
        <v>74</v>
      </c>
      <c r="P439" t="s">
        <v>74</v>
      </c>
      <c r="Q439" t="s">
        <v>74</v>
      </c>
      <c r="R439" t="s">
        <v>74</v>
      </c>
      <c r="S439" t="s">
        <v>74</v>
      </c>
      <c r="T439" t="s">
        <v>8385</v>
      </c>
      <c r="U439" t="s">
        <v>8386</v>
      </c>
      <c r="V439" t="s">
        <v>8387</v>
      </c>
      <c r="W439" t="s">
        <v>8388</v>
      </c>
      <c r="X439" t="s">
        <v>8389</v>
      </c>
      <c r="Y439" t="s">
        <v>8390</v>
      </c>
      <c r="Z439" t="s">
        <v>8391</v>
      </c>
      <c r="AA439" t="s">
        <v>8392</v>
      </c>
      <c r="AB439" t="s">
        <v>8393</v>
      </c>
      <c r="AC439" t="s">
        <v>8394</v>
      </c>
      <c r="AD439" t="s">
        <v>8395</v>
      </c>
      <c r="AE439" t="s">
        <v>8396</v>
      </c>
      <c r="AF439" t="s">
        <v>74</v>
      </c>
      <c r="AG439">
        <v>104</v>
      </c>
      <c r="AH439">
        <v>0</v>
      </c>
      <c r="AI439">
        <v>0</v>
      </c>
      <c r="AJ439">
        <v>4</v>
      </c>
      <c r="AK439">
        <v>15</v>
      </c>
      <c r="AL439" t="s">
        <v>237</v>
      </c>
      <c r="AM439" t="s">
        <v>238</v>
      </c>
      <c r="AN439" t="s">
        <v>239</v>
      </c>
      <c r="AO439" t="s">
        <v>475</v>
      </c>
      <c r="AP439" t="s">
        <v>476</v>
      </c>
      <c r="AQ439" t="s">
        <v>74</v>
      </c>
      <c r="AR439" t="s">
        <v>477</v>
      </c>
      <c r="AS439" t="s">
        <v>478</v>
      </c>
      <c r="AT439" t="s">
        <v>505</v>
      </c>
      <c r="AU439">
        <v>2023</v>
      </c>
      <c r="AV439">
        <v>862</v>
      </c>
      <c r="AW439" t="s">
        <v>74</v>
      </c>
      <c r="AX439" t="s">
        <v>74</v>
      </c>
      <c r="AY439" t="s">
        <v>74</v>
      </c>
      <c r="AZ439" t="s">
        <v>74</v>
      </c>
      <c r="BA439" t="s">
        <v>74</v>
      </c>
      <c r="BB439" t="s">
        <v>74</v>
      </c>
      <c r="BC439" t="s">
        <v>74</v>
      </c>
      <c r="BD439">
        <v>160716</v>
      </c>
      <c r="BE439" t="s">
        <v>8397</v>
      </c>
      <c r="BF439" t="str">
        <f>HYPERLINK("http://dx.doi.org/10.1016/j.scitotenv.2022.160716","http://dx.doi.org/10.1016/j.scitotenv.2022.160716")</f>
        <v>http://dx.doi.org/10.1016/j.scitotenv.2022.160716</v>
      </c>
      <c r="BG439" t="s">
        <v>74</v>
      </c>
      <c r="BH439" t="s">
        <v>5796</v>
      </c>
      <c r="BI439">
        <v>14</v>
      </c>
      <c r="BJ439" t="s">
        <v>216</v>
      </c>
      <c r="BK439" t="s">
        <v>104</v>
      </c>
      <c r="BL439" t="s">
        <v>217</v>
      </c>
      <c r="BM439" t="s">
        <v>8398</v>
      </c>
      <c r="BN439">
        <v>36526199</v>
      </c>
      <c r="BO439" t="s">
        <v>74</v>
      </c>
      <c r="BP439" t="s">
        <v>74</v>
      </c>
      <c r="BQ439" t="s">
        <v>74</v>
      </c>
      <c r="BR439" t="s">
        <v>108</v>
      </c>
      <c r="BS439" t="s">
        <v>8399</v>
      </c>
      <c r="BT439" t="str">
        <f>HYPERLINK("https%3A%2F%2Fwww.webofscience.com%2Fwos%2Fwoscc%2Ffull-record%2FWOS:000901605000005","View Full Record in Web of Science")</f>
        <v>View Full Record in Web of Science</v>
      </c>
    </row>
    <row r="440" spans="1:72" x14ac:dyDescent="0.15">
      <c r="A440" t="s">
        <v>72</v>
      </c>
      <c r="B440" t="s">
        <v>8400</v>
      </c>
      <c r="C440" t="s">
        <v>74</v>
      </c>
      <c r="D440" t="s">
        <v>74</v>
      </c>
      <c r="E440" t="s">
        <v>74</v>
      </c>
      <c r="F440" t="s">
        <v>8401</v>
      </c>
      <c r="G440" t="s">
        <v>74</v>
      </c>
      <c r="H440" t="s">
        <v>74</v>
      </c>
      <c r="I440" t="s">
        <v>8402</v>
      </c>
      <c r="J440" t="s">
        <v>8403</v>
      </c>
      <c r="K440" t="s">
        <v>74</v>
      </c>
      <c r="L440" t="s">
        <v>74</v>
      </c>
      <c r="M440" t="s">
        <v>78</v>
      </c>
      <c r="N440" t="s">
        <v>79</v>
      </c>
      <c r="O440" t="s">
        <v>74</v>
      </c>
      <c r="P440" t="s">
        <v>74</v>
      </c>
      <c r="Q440" t="s">
        <v>74</v>
      </c>
      <c r="R440" t="s">
        <v>74</v>
      </c>
      <c r="S440" t="s">
        <v>74</v>
      </c>
      <c r="T440" t="s">
        <v>8404</v>
      </c>
      <c r="U440" t="s">
        <v>8405</v>
      </c>
      <c r="V440" t="s">
        <v>8406</v>
      </c>
      <c r="W440" t="s">
        <v>8407</v>
      </c>
      <c r="X440" t="s">
        <v>8408</v>
      </c>
      <c r="Y440" t="s">
        <v>8409</v>
      </c>
      <c r="Z440" t="s">
        <v>8410</v>
      </c>
      <c r="AA440" t="s">
        <v>8411</v>
      </c>
      <c r="AB440" t="s">
        <v>8412</v>
      </c>
      <c r="AC440" t="s">
        <v>8413</v>
      </c>
      <c r="AD440" t="s">
        <v>8414</v>
      </c>
      <c r="AE440" t="s">
        <v>8415</v>
      </c>
      <c r="AF440" t="s">
        <v>74</v>
      </c>
      <c r="AG440">
        <v>86</v>
      </c>
      <c r="AH440">
        <v>1</v>
      </c>
      <c r="AI440">
        <v>1</v>
      </c>
      <c r="AJ440">
        <v>5</v>
      </c>
      <c r="AK440">
        <v>14</v>
      </c>
      <c r="AL440" t="s">
        <v>422</v>
      </c>
      <c r="AM440" t="s">
        <v>208</v>
      </c>
      <c r="AN440" t="s">
        <v>423</v>
      </c>
      <c r="AO440" t="s">
        <v>8416</v>
      </c>
      <c r="AP440" t="s">
        <v>8417</v>
      </c>
      <c r="AQ440" t="s">
        <v>74</v>
      </c>
      <c r="AR440" t="s">
        <v>8418</v>
      </c>
      <c r="AS440" t="s">
        <v>8419</v>
      </c>
      <c r="AT440" t="s">
        <v>8287</v>
      </c>
      <c r="AU440">
        <v>2022</v>
      </c>
      <c r="AV440">
        <v>99</v>
      </c>
      <c r="AW440">
        <v>1</v>
      </c>
      <c r="AX440" t="s">
        <v>74</v>
      </c>
      <c r="AY440" t="s">
        <v>74</v>
      </c>
      <c r="AZ440" t="s">
        <v>74</v>
      </c>
      <c r="BA440" t="s">
        <v>74</v>
      </c>
      <c r="BB440" t="s">
        <v>74</v>
      </c>
      <c r="BC440" t="s">
        <v>74</v>
      </c>
      <c r="BD440" t="s">
        <v>8420</v>
      </c>
      <c r="BE440" t="s">
        <v>8421</v>
      </c>
      <c r="BF440" t="str">
        <f>HYPERLINK("http://dx.doi.org/10.1093/femsec/fiac143","http://dx.doi.org/10.1093/femsec/fiac143")</f>
        <v>http://dx.doi.org/10.1093/femsec/fiac143</v>
      </c>
      <c r="BG440" t="s">
        <v>74</v>
      </c>
      <c r="BH440" t="s">
        <v>74</v>
      </c>
      <c r="BI440">
        <v>12</v>
      </c>
      <c r="BJ440" t="s">
        <v>1699</v>
      </c>
      <c r="BK440" t="s">
        <v>104</v>
      </c>
      <c r="BL440" t="s">
        <v>1699</v>
      </c>
      <c r="BM440" t="s">
        <v>8422</v>
      </c>
      <c r="BN440">
        <v>36427064</v>
      </c>
      <c r="BO440" t="s">
        <v>74</v>
      </c>
      <c r="BP440" t="s">
        <v>74</v>
      </c>
      <c r="BQ440" t="s">
        <v>74</v>
      </c>
      <c r="BR440" t="s">
        <v>108</v>
      </c>
      <c r="BS440" t="s">
        <v>8423</v>
      </c>
      <c r="BT440" t="str">
        <f>HYPERLINK("https%3A%2F%2Fwww.webofscience.com%2Fwos%2Fwoscc%2Ffull-record%2FWOS:000898263600003","View Full Record in Web of Science")</f>
        <v>View Full Record in Web of Science</v>
      </c>
    </row>
    <row r="441" spans="1:72" x14ac:dyDescent="0.15">
      <c r="A441" t="s">
        <v>72</v>
      </c>
      <c r="B441" t="s">
        <v>8424</v>
      </c>
      <c r="C441" t="s">
        <v>74</v>
      </c>
      <c r="D441" t="s">
        <v>74</v>
      </c>
      <c r="E441" t="s">
        <v>74</v>
      </c>
      <c r="F441" t="s">
        <v>8425</v>
      </c>
      <c r="G441" t="s">
        <v>74</v>
      </c>
      <c r="H441" t="s">
        <v>74</v>
      </c>
      <c r="I441" t="s">
        <v>8426</v>
      </c>
      <c r="J441" t="s">
        <v>7392</v>
      </c>
      <c r="K441" t="s">
        <v>74</v>
      </c>
      <c r="L441" t="s">
        <v>74</v>
      </c>
      <c r="M441" t="s">
        <v>78</v>
      </c>
      <c r="N441" t="s">
        <v>79</v>
      </c>
      <c r="O441" t="s">
        <v>74</v>
      </c>
      <c r="P441" t="s">
        <v>74</v>
      </c>
      <c r="Q441" t="s">
        <v>74</v>
      </c>
      <c r="R441" t="s">
        <v>74</v>
      </c>
      <c r="S441" t="s">
        <v>74</v>
      </c>
      <c r="T441" t="s">
        <v>74</v>
      </c>
      <c r="U441" t="s">
        <v>8427</v>
      </c>
      <c r="V441" t="s">
        <v>8428</v>
      </c>
      <c r="W441" t="s">
        <v>8429</v>
      </c>
      <c r="X441" t="s">
        <v>8430</v>
      </c>
      <c r="Y441" t="s">
        <v>8431</v>
      </c>
      <c r="Z441" t="s">
        <v>8432</v>
      </c>
      <c r="AA441" t="s">
        <v>8433</v>
      </c>
      <c r="AB441" t="s">
        <v>8434</v>
      </c>
      <c r="AC441" t="s">
        <v>8435</v>
      </c>
      <c r="AD441" t="s">
        <v>8436</v>
      </c>
      <c r="AE441" t="s">
        <v>8437</v>
      </c>
      <c r="AF441" t="s">
        <v>74</v>
      </c>
      <c r="AG441">
        <v>124</v>
      </c>
      <c r="AH441">
        <v>12</v>
      </c>
      <c r="AI441">
        <v>13</v>
      </c>
      <c r="AJ441">
        <v>0</v>
      </c>
      <c r="AK441">
        <v>2</v>
      </c>
      <c r="AL441" t="s">
        <v>126</v>
      </c>
      <c r="AM441" t="s">
        <v>127</v>
      </c>
      <c r="AN441" t="s">
        <v>128</v>
      </c>
      <c r="AO441" t="s">
        <v>7401</v>
      </c>
      <c r="AP441" t="s">
        <v>7402</v>
      </c>
      <c r="AQ441" t="s">
        <v>74</v>
      </c>
      <c r="AR441" t="s">
        <v>7392</v>
      </c>
      <c r="AS441" t="s">
        <v>7403</v>
      </c>
      <c r="AT441" t="s">
        <v>8287</v>
      </c>
      <c r="AU441">
        <v>2022</v>
      </c>
      <c r="AV441">
        <v>16</v>
      </c>
      <c r="AW441">
        <v>12</v>
      </c>
      <c r="AX441" t="s">
        <v>74</v>
      </c>
      <c r="AY441" t="s">
        <v>74</v>
      </c>
      <c r="AZ441" t="s">
        <v>74</v>
      </c>
      <c r="BA441" t="s">
        <v>74</v>
      </c>
      <c r="BB441">
        <v>4931</v>
      </c>
      <c r="BC441">
        <v>4975</v>
      </c>
      <c r="BD441" t="s">
        <v>74</v>
      </c>
      <c r="BE441" t="s">
        <v>8438</v>
      </c>
      <c r="BF441" t="str">
        <f>HYPERLINK("http://dx.doi.org/10.5194/tc-16-4931-2022","http://dx.doi.org/10.5194/tc-16-4931-2022")</f>
        <v>http://dx.doi.org/10.5194/tc-16-4931-2022</v>
      </c>
      <c r="BG441" t="s">
        <v>74</v>
      </c>
      <c r="BH441" t="s">
        <v>74</v>
      </c>
      <c r="BI441">
        <v>45</v>
      </c>
      <c r="BJ441" t="s">
        <v>611</v>
      </c>
      <c r="BK441" t="s">
        <v>104</v>
      </c>
      <c r="BL441" t="s">
        <v>612</v>
      </c>
      <c r="BM441" t="s">
        <v>8439</v>
      </c>
      <c r="BN441" t="s">
        <v>74</v>
      </c>
      <c r="BO441" t="s">
        <v>7446</v>
      </c>
      <c r="BP441" t="s">
        <v>74</v>
      </c>
      <c r="BQ441" t="s">
        <v>74</v>
      </c>
      <c r="BR441" t="s">
        <v>108</v>
      </c>
      <c r="BS441" t="s">
        <v>8440</v>
      </c>
      <c r="BT441" t="str">
        <f>HYPERLINK("https%3A%2F%2Fwww.webofscience.com%2Fwos%2Fwoscc%2Ffull-record%2FWOS:000898883200001","View Full Record in Web of Science")</f>
        <v>View Full Record in Web of Science</v>
      </c>
    </row>
    <row r="442" spans="1:72" x14ac:dyDescent="0.15">
      <c r="A442" t="s">
        <v>72</v>
      </c>
      <c r="B442" t="s">
        <v>8441</v>
      </c>
      <c r="C442" t="s">
        <v>74</v>
      </c>
      <c r="D442" t="s">
        <v>74</v>
      </c>
      <c r="E442" t="s">
        <v>74</v>
      </c>
      <c r="F442" t="s">
        <v>8442</v>
      </c>
      <c r="G442" t="s">
        <v>74</v>
      </c>
      <c r="H442" t="s">
        <v>74</v>
      </c>
      <c r="I442" t="s">
        <v>8443</v>
      </c>
      <c r="J442" t="s">
        <v>8444</v>
      </c>
      <c r="K442" t="s">
        <v>74</v>
      </c>
      <c r="L442" t="s">
        <v>74</v>
      </c>
      <c r="M442" t="s">
        <v>78</v>
      </c>
      <c r="N442" t="s">
        <v>79</v>
      </c>
      <c r="O442" t="s">
        <v>74</v>
      </c>
      <c r="P442" t="s">
        <v>74</v>
      </c>
      <c r="Q442" t="s">
        <v>74</v>
      </c>
      <c r="R442" t="s">
        <v>74</v>
      </c>
      <c r="S442" t="s">
        <v>74</v>
      </c>
      <c r="T442" t="s">
        <v>74</v>
      </c>
      <c r="U442" t="s">
        <v>8445</v>
      </c>
      <c r="V442" t="s">
        <v>8446</v>
      </c>
      <c r="W442" t="s">
        <v>8447</v>
      </c>
      <c r="X442" t="s">
        <v>8448</v>
      </c>
      <c r="Y442" t="s">
        <v>8449</v>
      </c>
      <c r="Z442" t="s">
        <v>8450</v>
      </c>
      <c r="AA442" t="s">
        <v>8451</v>
      </c>
      <c r="AB442" t="s">
        <v>8452</v>
      </c>
      <c r="AC442" t="s">
        <v>8453</v>
      </c>
      <c r="AD442" t="s">
        <v>8454</v>
      </c>
      <c r="AE442" t="s">
        <v>8455</v>
      </c>
      <c r="AF442" t="s">
        <v>74</v>
      </c>
      <c r="AG442">
        <v>79</v>
      </c>
      <c r="AH442">
        <v>1</v>
      </c>
      <c r="AI442">
        <v>1</v>
      </c>
      <c r="AJ442">
        <v>5</v>
      </c>
      <c r="AK442">
        <v>11</v>
      </c>
      <c r="AL442" t="s">
        <v>126</v>
      </c>
      <c r="AM442" t="s">
        <v>127</v>
      </c>
      <c r="AN442" t="s">
        <v>128</v>
      </c>
      <c r="AO442" t="s">
        <v>8456</v>
      </c>
      <c r="AP442" t="s">
        <v>8457</v>
      </c>
      <c r="AQ442" t="s">
        <v>74</v>
      </c>
      <c r="AR442" t="s">
        <v>8458</v>
      </c>
      <c r="AS442" t="s">
        <v>8459</v>
      </c>
      <c r="AT442" t="s">
        <v>8287</v>
      </c>
      <c r="AU442">
        <v>2022</v>
      </c>
      <c r="AV442">
        <v>22</v>
      </c>
      <c r="AW442">
        <v>24</v>
      </c>
      <c r="AX442" t="s">
        <v>74</v>
      </c>
      <c r="AY442" t="s">
        <v>74</v>
      </c>
      <c r="AZ442" t="s">
        <v>74</v>
      </c>
      <c r="BA442" t="s">
        <v>74</v>
      </c>
      <c r="BB442">
        <v>15637</v>
      </c>
      <c r="BC442">
        <v>15657</v>
      </c>
      <c r="BD442" t="s">
        <v>74</v>
      </c>
      <c r="BE442" t="s">
        <v>8460</v>
      </c>
      <c r="BF442" t="str">
        <f>HYPERLINK("http://dx.doi.org/10.5194/acp-22-15637-2022","http://dx.doi.org/10.5194/acp-22-15637-2022")</f>
        <v>http://dx.doi.org/10.5194/acp-22-15637-2022</v>
      </c>
      <c r="BG442" t="s">
        <v>74</v>
      </c>
      <c r="BH442" t="s">
        <v>74</v>
      </c>
      <c r="BI442">
        <v>21</v>
      </c>
      <c r="BJ442" t="s">
        <v>5429</v>
      </c>
      <c r="BK442" t="s">
        <v>104</v>
      </c>
      <c r="BL442" t="s">
        <v>355</v>
      </c>
      <c r="BM442" t="s">
        <v>8461</v>
      </c>
      <c r="BN442" t="s">
        <v>74</v>
      </c>
      <c r="BO442" t="s">
        <v>737</v>
      </c>
      <c r="BP442" t="s">
        <v>74</v>
      </c>
      <c r="BQ442" t="s">
        <v>74</v>
      </c>
      <c r="BR442" t="s">
        <v>108</v>
      </c>
      <c r="BS442" t="s">
        <v>8462</v>
      </c>
      <c r="BT442" t="str">
        <f>HYPERLINK("https%3A%2F%2Fwww.webofscience.com%2Fwos%2Fwoscc%2Ffull-record%2FWOS:000898904500001","View Full Record in Web of Science")</f>
        <v>View Full Record in Web of Science</v>
      </c>
    </row>
    <row r="443" spans="1:72" x14ac:dyDescent="0.15">
      <c r="A443" t="s">
        <v>72</v>
      </c>
      <c r="B443" t="s">
        <v>8463</v>
      </c>
      <c r="C443" t="s">
        <v>74</v>
      </c>
      <c r="D443" t="s">
        <v>74</v>
      </c>
      <c r="E443" t="s">
        <v>74</v>
      </c>
      <c r="F443" t="s">
        <v>8464</v>
      </c>
      <c r="G443" t="s">
        <v>74</v>
      </c>
      <c r="H443" t="s">
        <v>74</v>
      </c>
      <c r="I443" t="s">
        <v>8465</v>
      </c>
      <c r="J443" t="s">
        <v>8466</v>
      </c>
      <c r="K443" t="s">
        <v>74</v>
      </c>
      <c r="L443" t="s">
        <v>74</v>
      </c>
      <c r="M443" t="s">
        <v>78</v>
      </c>
      <c r="N443" t="s">
        <v>79</v>
      </c>
      <c r="O443" t="s">
        <v>74</v>
      </c>
      <c r="P443" t="s">
        <v>74</v>
      </c>
      <c r="Q443" t="s">
        <v>74</v>
      </c>
      <c r="R443" t="s">
        <v>74</v>
      </c>
      <c r="S443" t="s">
        <v>74</v>
      </c>
      <c r="T443" t="s">
        <v>8467</v>
      </c>
      <c r="U443" t="s">
        <v>8468</v>
      </c>
      <c r="V443" t="s">
        <v>8469</v>
      </c>
      <c r="W443" t="s">
        <v>8470</v>
      </c>
      <c r="X443" t="s">
        <v>8471</v>
      </c>
      <c r="Y443" t="s">
        <v>8472</v>
      </c>
      <c r="Z443" t="s">
        <v>8473</v>
      </c>
      <c r="AA443" t="s">
        <v>74</v>
      </c>
      <c r="AB443" t="s">
        <v>74</v>
      </c>
      <c r="AC443" t="s">
        <v>8474</v>
      </c>
      <c r="AD443" t="s">
        <v>8475</v>
      </c>
      <c r="AE443" t="s">
        <v>8476</v>
      </c>
      <c r="AF443" t="s">
        <v>74</v>
      </c>
      <c r="AG443">
        <v>122</v>
      </c>
      <c r="AH443">
        <v>2</v>
      </c>
      <c r="AI443">
        <v>2</v>
      </c>
      <c r="AJ443">
        <v>0</v>
      </c>
      <c r="AK443">
        <v>3</v>
      </c>
      <c r="AL443" t="s">
        <v>297</v>
      </c>
      <c r="AM443" t="s">
        <v>298</v>
      </c>
      <c r="AN443" t="s">
        <v>299</v>
      </c>
      <c r="AO443" t="s">
        <v>8477</v>
      </c>
      <c r="AP443" t="s">
        <v>8478</v>
      </c>
      <c r="AQ443" t="s">
        <v>74</v>
      </c>
      <c r="AR443" t="s">
        <v>8479</v>
      </c>
      <c r="AS443" t="s">
        <v>8480</v>
      </c>
      <c r="AT443" t="s">
        <v>244</v>
      </c>
      <c r="AU443">
        <v>2023</v>
      </c>
      <c r="AV443">
        <v>38</v>
      </c>
      <c r="AW443">
        <v>3</v>
      </c>
      <c r="AX443" t="s">
        <v>74</v>
      </c>
      <c r="AY443" t="s">
        <v>74</v>
      </c>
      <c r="AZ443" t="s">
        <v>74</v>
      </c>
      <c r="BA443" t="s">
        <v>74</v>
      </c>
      <c r="BB443">
        <v>365</v>
      </c>
      <c r="BC443">
        <v>385</v>
      </c>
      <c r="BD443" t="s">
        <v>74</v>
      </c>
      <c r="BE443" t="s">
        <v>8481</v>
      </c>
      <c r="BF443" t="str">
        <f>HYPERLINK("http://dx.doi.org/10.1002/jqs.3486","http://dx.doi.org/10.1002/jqs.3486")</f>
        <v>http://dx.doi.org/10.1002/jqs.3486</v>
      </c>
      <c r="BG443" t="s">
        <v>74</v>
      </c>
      <c r="BH443" t="s">
        <v>5796</v>
      </c>
      <c r="BI443">
        <v>21</v>
      </c>
      <c r="BJ443" t="s">
        <v>611</v>
      </c>
      <c r="BK443" t="s">
        <v>104</v>
      </c>
      <c r="BL443" t="s">
        <v>612</v>
      </c>
      <c r="BM443" t="s">
        <v>8482</v>
      </c>
      <c r="BN443" t="s">
        <v>74</v>
      </c>
      <c r="BO443" t="s">
        <v>74</v>
      </c>
      <c r="BP443" t="s">
        <v>74</v>
      </c>
      <c r="BQ443" t="s">
        <v>74</v>
      </c>
      <c r="BR443" t="s">
        <v>108</v>
      </c>
      <c r="BS443" t="s">
        <v>8483</v>
      </c>
      <c r="BT443" t="str">
        <f>HYPERLINK("https%3A%2F%2Fwww.webofscience.com%2Fwos%2Fwoscc%2Ffull-record%2FWOS:000898020300001","View Full Record in Web of Science")</f>
        <v>View Full Record in Web of Science</v>
      </c>
    </row>
    <row r="444" spans="1:72" x14ac:dyDescent="0.15">
      <c r="A444" t="s">
        <v>72</v>
      </c>
      <c r="B444" t="s">
        <v>8484</v>
      </c>
      <c r="C444" t="s">
        <v>74</v>
      </c>
      <c r="D444" t="s">
        <v>74</v>
      </c>
      <c r="E444" t="s">
        <v>74</v>
      </c>
      <c r="F444" t="s">
        <v>8485</v>
      </c>
      <c r="G444" t="s">
        <v>74</v>
      </c>
      <c r="H444" t="s">
        <v>74</v>
      </c>
      <c r="I444" t="s">
        <v>8486</v>
      </c>
      <c r="J444" t="s">
        <v>8487</v>
      </c>
      <c r="K444" t="s">
        <v>74</v>
      </c>
      <c r="L444" t="s">
        <v>74</v>
      </c>
      <c r="M444" t="s">
        <v>78</v>
      </c>
      <c r="N444" t="s">
        <v>79</v>
      </c>
      <c r="O444" t="s">
        <v>74</v>
      </c>
      <c r="P444" t="s">
        <v>74</v>
      </c>
      <c r="Q444" t="s">
        <v>74</v>
      </c>
      <c r="R444" t="s">
        <v>74</v>
      </c>
      <c r="S444" t="s">
        <v>74</v>
      </c>
      <c r="T444" t="s">
        <v>8488</v>
      </c>
      <c r="U444" t="s">
        <v>8489</v>
      </c>
      <c r="V444" t="s">
        <v>8490</v>
      </c>
      <c r="W444" t="s">
        <v>8491</v>
      </c>
      <c r="X444" t="s">
        <v>8492</v>
      </c>
      <c r="Y444" t="s">
        <v>8493</v>
      </c>
      <c r="Z444" t="s">
        <v>8494</v>
      </c>
      <c r="AA444" t="s">
        <v>8495</v>
      </c>
      <c r="AB444" t="s">
        <v>8496</v>
      </c>
      <c r="AC444" t="s">
        <v>8497</v>
      </c>
      <c r="AD444" t="s">
        <v>8498</v>
      </c>
      <c r="AE444" t="s">
        <v>8499</v>
      </c>
      <c r="AF444" t="s">
        <v>74</v>
      </c>
      <c r="AG444">
        <v>127</v>
      </c>
      <c r="AH444">
        <v>1</v>
      </c>
      <c r="AI444">
        <v>1</v>
      </c>
      <c r="AJ444">
        <v>2</v>
      </c>
      <c r="AK444">
        <v>2</v>
      </c>
      <c r="AL444" t="s">
        <v>448</v>
      </c>
      <c r="AM444" t="s">
        <v>449</v>
      </c>
      <c r="AN444" t="s">
        <v>450</v>
      </c>
      <c r="AO444" t="s">
        <v>74</v>
      </c>
      <c r="AP444" t="s">
        <v>8500</v>
      </c>
      <c r="AQ444" t="s">
        <v>74</v>
      </c>
      <c r="AR444" t="s">
        <v>8501</v>
      </c>
      <c r="AS444" t="s">
        <v>8502</v>
      </c>
      <c r="AT444" t="s">
        <v>8287</v>
      </c>
      <c r="AU444">
        <v>2022</v>
      </c>
      <c r="AV444">
        <v>3</v>
      </c>
      <c r="AW444" t="s">
        <v>74</v>
      </c>
      <c r="AX444" t="s">
        <v>74</v>
      </c>
      <c r="AY444" t="s">
        <v>74</v>
      </c>
      <c r="AZ444" t="s">
        <v>74</v>
      </c>
      <c r="BA444" t="s">
        <v>74</v>
      </c>
      <c r="BB444" t="s">
        <v>74</v>
      </c>
      <c r="BC444" t="s">
        <v>74</v>
      </c>
      <c r="BD444">
        <v>1007774</v>
      </c>
      <c r="BE444" t="s">
        <v>8503</v>
      </c>
      <c r="BF444" t="str">
        <f>HYPERLINK("http://dx.doi.org/10.3389/fnrgo.2022.1007774","http://dx.doi.org/10.3389/fnrgo.2022.1007774")</f>
        <v>http://dx.doi.org/10.3389/fnrgo.2022.1007774</v>
      </c>
      <c r="BG444" t="s">
        <v>74</v>
      </c>
      <c r="BH444" t="s">
        <v>74</v>
      </c>
      <c r="BI444">
        <v>20</v>
      </c>
      <c r="BJ444" t="s">
        <v>8504</v>
      </c>
      <c r="BK444" t="s">
        <v>757</v>
      </c>
      <c r="BL444" t="s">
        <v>8505</v>
      </c>
      <c r="BM444" t="s">
        <v>8506</v>
      </c>
      <c r="BN444">
        <v>38235444</v>
      </c>
      <c r="BO444" t="s">
        <v>192</v>
      </c>
      <c r="BP444" t="s">
        <v>74</v>
      </c>
      <c r="BQ444" t="s">
        <v>74</v>
      </c>
      <c r="BR444" t="s">
        <v>108</v>
      </c>
      <c r="BS444" t="s">
        <v>8507</v>
      </c>
      <c r="BT444" t="str">
        <f>HYPERLINK("https%3A%2F%2Fwww.webofscience.com%2Fwos%2Fwoscc%2Ffull-record%2FWOS:001105058100001","View Full Record in Web of Science")</f>
        <v>View Full Record in Web of Science</v>
      </c>
    </row>
    <row r="445" spans="1:72" x14ac:dyDescent="0.15">
      <c r="A445" t="s">
        <v>72</v>
      </c>
      <c r="B445" t="s">
        <v>8508</v>
      </c>
      <c r="C445" t="s">
        <v>74</v>
      </c>
      <c r="D445" t="s">
        <v>74</v>
      </c>
      <c r="E445" t="s">
        <v>74</v>
      </c>
      <c r="F445" t="s">
        <v>8509</v>
      </c>
      <c r="G445" t="s">
        <v>74</v>
      </c>
      <c r="H445" t="s">
        <v>74</v>
      </c>
      <c r="I445" t="s">
        <v>8510</v>
      </c>
      <c r="J445" t="s">
        <v>8511</v>
      </c>
      <c r="K445" t="s">
        <v>74</v>
      </c>
      <c r="L445" t="s">
        <v>74</v>
      </c>
      <c r="M445" t="s">
        <v>78</v>
      </c>
      <c r="N445" t="s">
        <v>79</v>
      </c>
      <c r="O445" t="s">
        <v>74</v>
      </c>
      <c r="P445" t="s">
        <v>74</v>
      </c>
      <c r="Q445" t="s">
        <v>74</v>
      </c>
      <c r="R445" t="s">
        <v>74</v>
      </c>
      <c r="S445" t="s">
        <v>74</v>
      </c>
      <c r="T445" t="s">
        <v>8512</v>
      </c>
      <c r="U445" t="s">
        <v>8513</v>
      </c>
      <c r="V445" t="s">
        <v>8514</v>
      </c>
      <c r="W445" t="s">
        <v>8515</v>
      </c>
      <c r="X445" t="s">
        <v>8516</v>
      </c>
      <c r="Y445" t="s">
        <v>8517</v>
      </c>
      <c r="Z445" t="s">
        <v>8518</v>
      </c>
      <c r="AA445" t="s">
        <v>74</v>
      </c>
      <c r="AB445" t="s">
        <v>74</v>
      </c>
      <c r="AC445" t="s">
        <v>8519</v>
      </c>
      <c r="AD445" t="s">
        <v>8520</v>
      </c>
      <c r="AE445" t="s">
        <v>8521</v>
      </c>
      <c r="AF445" t="s">
        <v>74</v>
      </c>
      <c r="AG445">
        <v>206</v>
      </c>
      <c r="AH445">
        <v>1</v>
      </c>
      <c r="AI445">
        <v>1</v>
      </c>
      <c r="AJ445">
        <v>1</v>
      </c>
      <c r="AK445">
        <v>15</v>
      </c>
      <c r="AL445" t="s">
        <v>448</v>
      </c>
      <c r="AM445" t="s">
        <v>449</v>
      </c>
      <c r="AN445" t="s">
        <v>450</v>
      </c>
      <c r="AO445" t="s">
        <v>8522</v>
      </c>
      <c r="AP445" t="s">
        <v>74</v>
      </c>
      <c r="AQ445" t="s">
        <v>74</v>
      </c>
      <c r="AR445" t="s">
        <v>8523</v>
      </c>
      <c r="AS445" t="s">
        <v>8524</v>
      </c>
      <c r="AT445" t="s">
        <v>8525</v>
      </c>
      <c r="AU445">
        <v>2022</v>
      </c>
      <c r="AV445">
        <v>10</v>
      </c>
      <c r="AW445" t="s">
        <v>74</v>
      </c>
      <c r="AX445" t="s">
        <v>74</v>
      </c>
      <c r="AY445" t="s">
        <v>74</v>
      </c>
      <c r="AZ445" t="s">
        <v>74</v>
      </c>
      <c r="BA445" t="s">
        <v>74</v>
      </c>
      <c r="BB445" t="s">
        <v>74</v>
      </c>
      <c r="BC445" t="s">
        <v>74</v>
      </c>
      <c r="BD445">
        <v>980812</v>
      </c>
      <c r="BE445" t="s">
        <v>8526</v>
      </c>
      <c r="BF445" t="str">
        <f>HYPERLINK("http://dx.doi.org/10.3389/fevo.2022.980812","http://dx.doi.org/10.3389/fevo.2022.980812")</f>
        <v>http://dx.doi.org/10.3389/fevo.2022.980812</v>
      </c>
      <c r="BG445" t="s">
        <v>74</v>
      </c>
      <c r="BH445" t="s">
        <v>74</v>
      </c>
      <c r="BI445">
        <v>21</v>
      </c>
      <c r="BJ445" t="s">
        <v>2639</v>
      </c>
      <c r="BK445" t="s">
        <v>104</v>
      </c>
      <c r="BL445" t="s">
        <v>217</v>
      </c>
      <c r="BM445" t="s">
        <v>8527</v>
      </c>
      <c r="BN445" t="s">
        <v>74</v>
      </c>
      <c r="BO445" t="s">
        <v>165</v>
      </c>
      <c r="BP445" t="s">
        <v>74</v>
      </c>
      <c r="BQ445" t="s">
        <v>74</v>
      </c>
      <c r="BR445" t="s">
        <v>108</v>
      </c>
      <c r="BS445" t="s">
        <v>8528</v>
      </c>
      <c r="BT445" t="str">
        <f>HYPERLINK("https%3A%2F%2Fwww.webofscience.com%2Fwos%2Fwoscc%2Ffull-record%2FWOS:000904064400001","View Full Record in Web of Science")</f>
        <v>View Full Record in Web of Science</v>
      </c>
    </row>
    <row r="446" spans="1:72" x14ac:dyDescent="0.15">
      <c r="A446" t="s">
        <v>72</v>
      </c>
      <c r="B446" t="s">
        <v>8529</v>
      </c>
      <c r="C446" t="s">
        <v>74</v>
      </c>
      <c r="D446" t="s">
        <v>74</v>
      </c>
      <c r="E446" t="s">
        <v>74</v>
      </c>
      <c r="F446" t="s">
        <v>8530</v>
      </c>
      <c r="G446" t="s">
        <v>74</v>
      </c>
      <c r="H446" t="s">
        <v>74</v>
      </c>
      <c r="I446" t="s">
        <v>8531</v>
      </c>
      <c r="J446" t="s">
        <v>8532</v>
      </c>
      <c r="K446" t="s">
        <v>74</v>
      </c>
      <c r="L446" t="s">
        <v>74</v>
      </c>
      <c r="M446" t="s">
        <v>78</v>
      </c>
      <c r="N446" t="s">
        <v>79</v>
      </c>
      <c r="O446" t="s">
        <v>74</v>
      </c>
      <c r="P446" t="s">
        <v>74</v>
      </c>
      <c r="Q446" t="s">
        <v>74</v>
      </c>
      <c r="R446" t="s">
        <v>74</v>
      </c>
      <c r="S446" t="s">
        <v>74</v>
      </c>
      <c r="T446" t="s">
        <v>8533</v>
      </c>
      <c r="U446" t="s">
        <v>8534</v>
      </c>
      <c r="V446" t="s">
        <v>8535</v>
      </c>
      <c r="W446" t="s">
        <v>8536</v>
      </c>
      <c r="X446" t="s">
        <v>8537</v>
      </c>
      <c r="Y446" t="s">
        <v>8538</v>
      </c>
      <c r="Z446" t="s">
        <v>8539</v>
      </c>
      <c r="AA446" t="s">
        <v>8540</v>
      </c>
      <c r="AB446" t="s">
        <v>8541</v>
      </c>
      <c r="AC446" t="s">
        <v>8542</v>
      </c>
      <c r="AD446" t="s">
        <v>8542</v>
      </c>
      <c r="AE446" t="s">
        <v>8543</v>
      </c>
      <c r="AF446" t="s">
        <v>74</v>
      </c>
      <c r="AG446">
        <v>44</v>
      </c>
      <c r="AH446">
        <v>3</v>
      </c>
      <c r="AI446">
        <v>3</v>
      </c>
      <c r="AJ446">
        <v>3</v>
      </c>
      <c r="AK446">
        <v>8</v>
      </c>
      <c r="AL446" t="s">
        <v>297</v>
      </c>
      <c r="AM446" t="s">
        <v>298</v>
      </c>
      <c r="AN446" t="s">
        <v>299</v>
      </c>
      <c r="AO446" t="s">
        <v>8544</v>
      </c>
      <c r="AP446" t="s">
        <v>8545</v>
      </c>
      <c r="AQ446" t="s">
        <v>74</v>
      </c>
      <c r="AR446" t="s">
        <v>8546</v>
      </c>
      <c r="AS446" t="s">
        <v>8547</v>
      </c>
      <c r="AT446" t="s">
        <v>99</v>
      </c>
      <c r="AU446">
        <v>2023</v>
      </c>
      <c r="AV446">
        <v>37</v>
      </c>
      <c r="AW446">
        <v>1</v>
      </c>
      <c r="AX446" t="s">
        <v>74</v>
      </c>
      <c r="AY446" t="s">
        <v>74</v>
      </c>
      <c r="AZ446" t="s">
        <v>74</v>
      </c>
      <c r="BA446" t="s">
        <v>74</v>
      </c>
      <c r="BB446" t="s">
        <v>74</v>
      </c>
      <c r="BC446" t="s">
        <v>74</v>
      </c>
      <c r="BD446" t="s">
        <v>74</v>
      </c>
      <c r="BE446" t="s">
        <v>8548</v>
      </c>
      <c r="BF446" t="str">
        <f>HYPERLINK("http://dx.doi.org/10.1111/cobi.14046","http://dx.doi.org/10.1111/cobi.14046")</f>
        <v>http://dx.doi.org/10.1111/cobi.14046</v>
      </c>
      <c r="BG446" t="s">
        <v>74</v>
      </c>
      <c r="BH446" t="s">
        <v>5796</v>
      </c>
      <c r="BI446">
        <v>13</v>
      </c>
      <c r="BJ446" t="s">
        <v>8549</v>
      </c>
      <c r="BK446" t="s">
        <v>104</v>
      </c>
      <c r="BL446" t="s">
        <v>306</v>
      </c>
      <c r="BM446" t="s">
        <v>8550</v>
      </c>
      <c r="BN446">
        <v>36511887</v>
      </c>
      <c r="BO446" t="s">
        <v>107</v>
      </c>
      <c r="BP446" t="s">
        <v>74</v>
      </c>
      <c r="BQ446" t="s">
        <v>74</v>
      </c>
      <c r="BR446" t="s">
        <v>108</v>
      </c>
      <c r="BS446" t="s">
        <v>8551</v>
      </c>
      <c r="BT446" t="str">
        <f>HYPERLINK("https%3A%2F%2Fwww.webofscience.com%2Fwos%2Fwoscc%2Ffull-record%2FWOS:000897886300001","View Full Record in Web of Science")</f>
        <v>View Full Record in Web of Science</v>
      </c>
    </row>
    <row r="447" spans="1:72" x14ac:dyDescent="0.15">
      <c r="A447" t="s">
        <v>72</v>
      </c>
      <c r="B447" t="s">
        <v>8552</v>
      </c>
      <c r="C447" t="s">
        <v>74</v>
      </c>
      <c r="D447" t="s">
        <v>74</v>
      </c>
      <c r="E447" t="s">
        <v>74</v>
      </c>
      <c r="F447" t="s">
        <v>8553</v>
      </c>
      <c r="G447" t="s">
        <v>74</v>
      </c>
      <c r="H447" t="s">
        <v>74</v>
      </c>
      <c r="I447" t="s">
        <v>8554</v>
      </c>
      <c r="J447" t="s">
        <v>170</v>
      </c>
      <c r="K447" t="s">
        <v>74</v>
      </c>
      <c r="L447" t="s">
        <v>74</v>
      </c>
      <c r="M447" t="s">
        <v>78</v>
      </c>
      <c r="N447" t="s">
        <v>79</v>
      </c>
      <c r="O447" t="s">
        <v>74</v>
      </c>
      <c r="P447" t="s">
        <v>74</v>
      </c>
      <c r="Q447" t="s">
        <v>74</v>
      </c>
      <c r="R447" t="s">
        <v>74</v>
      </c>
      <c r="S447" t="s">
        <v>74</v>
      </c>
      <c r="T447" t="s">
        <v>74</v>
      </c>
      <c r="U447" t="s">
        <v>8555</v>
      </c>
      <c r="V447" t="s">
        <v>8556</v>
      </c>
      <c r="W447" t="s">
        <v>8557</v>
      </c>
      <c r="X447" t="s">
        <v>8558</v>
      </c>
      <c r="Y447" t="s">
        <v>8559</v>
      </c>
      <c r="Z447" t="s">
        <v>8560</v>
      </c>
      <c r="AA447" t="s">
        <v>74</v>
      </c>
      <c r="AB447" t="s">
        <v>8561</v>
      </c>
      <c r="AC447" t="s">
        <v>8562</v>
      </c>
      <c r="AD447" t="s">
        <v>8563</v>
      </c>
      <c r="AE447" t="s">
        <v>8564</v>
      </c>
      <c r="AF447" t="s">
        <v>74</v>
      </c>
      <c r="AG447">
        <v>62</v>
      </c>
      <c r="AH447">
        <v>1</v>
      </c>
      <c r="AI447">
        <v>1</v>
      </c>
      <c r="AJ447">
        <v>1</v>
      </c>
      <c r="AK447">
        <v>5</v>
      </c>
      <c r="AL447" t="s">
        <v>182</v>
      </c>
      <c r="AM447" t="s">
        <v>183</v>
      </c>
      <c r="AN447" t="s">
        <v>184</v>
      </c>
      <c r="AO447" t="s">
        <v>185</v>
      </c>
      <c r="AP447" t="s">
        <v>74</v>
      </c>
      <c r="AQ447" t="s">
        <v>74</v>
      </c>
      <c r="AR447" t="s">
        <v>186</v>
      </c>
      <c r="AS447" t="s">
        <v>187</v>
      </c>
      <c r="AT447" t="s">
        <v>8565</v>
      </c>
      <c r="AU447">
        <v>2022</v>
      </c>
      <c r="AV447">
        <v>12</v>
      </c>
      <c r="AW447">
        <v>1</v>
      </c>
      <c r="AX447" t="s">
        <v>74</v>
      </c>
      <c r="AY447" t="s">
        <v>74</v>
      </c>
      <c r="AZ447" t="s">
        <v>74</v>
      </c>
      <c r="BA447" t="s">
        <v>74</v>
      </c>
      <c r="BB447" t="s">
        <v>74</v>
      </c>
      <c r="BC447" t="s">
        <v>74</v>
      </c>
      <c r="BD447">
        <v>21474</v>
      </c>
      <c r="BE447" t="s">
        <v>8566</v>
      </c>
      <c r="BF447" t="str">
        <f>HYPERLINK("http://dx.doi.org/10.1038/s41598-022-25969-7","http://dx.doi.org/10.1038/s41598-022-25969-7")</f>
        <v>http://dx.doi.org/10.1038/s41598-022-25969-7</v>
      </c>
      <c r="BG447" t="s">
        <v>74</v>
      </c>
      <c r="BH447" t="s">
        <v>74</v>
      </c>
      <c r="BI447">
        <v>11</v>
      </c>
      <c r="BJ447" t="s">
        <v>189</v>
      </c>
      <c r="BK447" t="s">
        <v>104</v>
      </c>
      <c r="BL447" t="s">
        <v>190</v>
      </c>
      <c r="BM447" t="s">
        <v>8567</v>
      </c>
      <c r="BN447">
        <v>36509822</v>
      </c>
      <c r="BO447" t="s">
        <v>3181</v>
      </c>
      <c r="BP447" t="s">
        <v>74</v>
      </c>
      <c r="BQ447" t="s">
        <v>74</v>
      </c>
      <c r="BR447" t="s">
        <v>108</v>
      </c>
      <c r="BS447" t="s">
        <v>8568</v>
      </c>
      <c r="BT447" t="str">
        <f>HYPERLINK("https%3A%2F%2Fwww.webofscience.com%2Fwos%2Fwoscc%2Ffull-record%2FWOS:000934111100049","View Full Record in Web of Science")</f>
        <v>View Full Record in Web of Science</v>
      </c>
    </row>
    <row r="448" spans="1:72" x14ac:dyDescent="0.15">
      <c r="A448" t="s">
        <v>72</v>
      </c>
      <c r="B448" t="s">
        <v>8569</v>
      </c>
      <c r="C448" t="s">
        <v>74</v>
      </c>
      <c r="D448" t="s">
        <v>74</v>
      </c>
      <c r="E448" t="s">
        <v>74</v>
      </c>
      <c r="F448" t="s">
        <v>8570</v>
      </c>
      <c r="G448" t="s">
        <v>74</v>
      </c>
      <c r="H448" t="s">
        <v>74</v>
      </c>
      <c r="I448" t="s">
        <v>8571</v>
      </c>
      <c r="J448" t="s">
        <v>170</v>
      </c>
      <c r="K448" t="s">
        <v>74</v>
      </c>
      <c r="L448" t="s">
        <v>74</v>
      </c>
      <c r="M448" t="s">
        <v>78</v>
      </c>
      <c r="N448" t="s">
        <v>79</v>
      </c>
      <c r="O448" t="s">
        <v>74</v>
      </c>
      <c r="P448" t="s">
        <v>74</v>
      </c>
      <c r="Q448" t="s">
        <v>74</v>
      </c>
      <c r="R448" t="s">
        <v>74</v>
      </c>
      <c r="S448" t="s">
        <v>74</v>
      </c>
      <c r="T448" t="s">
        <v>74</v>
      </c>
      <c r="U448" t="s">
        <v>8572</v>
      </c>
      <c r="V448" t="s">
        <v>8573</v>
      </c>
      <c r="W448" t="s">
        <v>8574</v>
      </c>
      <c r="X448" t="s">
        <v>8575</v>
      </c>
      <c r="Y448" t="s">
        <v>8576</v>
      </c>
      <c r="Z448" t="s">
        <v>8577</v>
      </c>
      <c r="AA448" t="s">
        <v>74</v>
      </c>
      <c r="AB448" t="s">
        <v>8578</v>
      </c>
      <c r="AC448" t="s">
        <v>8579</v>
      </c>
      <c r="AD448" t="s">
        <v>8579</v>
      </c>
      <c r="AE448" t="s">
        <v>8580</v>
      </c>
      <c r="AF448" t="s">
        <v>74</v>
      </c>
      <c r="AG448">
        <v>106</v>
      </c>
      <c r="AH448">
        <v>2</v>
      </c>
      <c r="AI448">
        <v>3</v>
      </c>
      <c r="AJ448">
        <v>5</v>
      </c>
      <c r="AK448">
        <v>13</v>
      </c>
      <c r="AL448" t="s">
        <v>182</v>
      </c>
      <c r="AM448" t="s">
        <v>183</v>
      </c>
      <c r="AN448" t="s">
        <v>184</v>
      </c>
      <c r="AO448" t="s">
        <v>185</v>
      </c>
      <c r="AP448" t="s">
        <v>74</v>
      </c>
      <c r="AQ448" t="s">
        <v>74</v>
      </c>
      <c r="AR448" t="s">
        <v>186</v>
      </c>
      <c r="AS448" t="s">
        <v>187</v>
      </c>
      <c r="AT448" t="s">
        <v>8565</v>
      </c>
      <c r="AU448">
        <v>2022</v>
      </c>
      <c r="AV448">
        <v>12</v>
      </c>
      <c r="AW448">
        <v>1</v>
      </c>
      <c r="AX448" t="s">
        <v>74</v>
      </c>
      <c r="AY448" t="s">
        <v>74</v>
      </c>
      <c r="AZ448" t="s">
        <v>74</v>
      </c>
      <c r="BA448" t="s">
        <v>74</v>
      </c>
      <c r="BB448" t="s">
        <v>74</v>
      </c>
      <c r="BC448" t="s">
        <v>74</v>
      </c>
      <c r="BD448">
        <v>21477</v>
      </c>
      <c r="BE448" t="s">
        <v>8581</v>
      </c>
      <c r="BF448" t="str">
        <f>HYPERLINK("http://dx.doi.org/10.1038/s41598-022-25911-x","http://dx.doi.org/10.1038/s41598-022-25911-x")</f>
        <v>http://dx.doi.org/10.1038/s41598-022-25911-x</v>
      </c>
      <c r="BG448" t="s">
        <v>74</v>
      </c>
      <c r="BH448" t="s">
        <v>74</v>
      </c>
      <c r="BI448">
        <v>11</v>
      </c>
      <c r="BJ448" t="s">
        <v>189</v>
      </c>
      <c r="BK448" t="s">
        <v>104</v>
      </c>
      <c r="BL448" t="s">
        <v>190</v>
      </c>
      <c r="BM448" t="s">
        <v>8567</v>
      </c>
      <c r="BN448">
        <v>36509821</v>
      </c>
      <c r="BO448" t="s">
        <v>3181</v>
      </c>
      <c r="BP448" t="s">
        <v>74</v>
      </c>
      <c r="BQ448" t="s">
        <v>74</v>
      </c>
      <c r="BR448" t="s">
        <v>108</v>
      </c>
      <c r="BS448" t="s">
        <v>8582</v>
      </c>
      <c r="BT448" t="str">
        <f>HYPERLINK("https%3A%2F%2Fwww.webofscience.com%2Fwos%2Fwoscc%2Ffull-record%2FWOS:000934111100040","View Full Record in Web of Science")</f>
        <v>View Full Record in Web of Science</v>
      </c>
    </row>
    <row r="449" spans="1:72" x14ac:dyDescent="0.15">
      <c r="A449" t="s">
        <v>72</v>
      </c>
      <c r="B449" t="s">
        <v>8583</v>
      </c>
      <c r="C449" t="s">
        <v>74</v>
      </c>
      <c r="D449" t="s">
        <v>74</v>
      </c>
      <c r="E449" t="s">
        <v>74</v>
      </c>
      <c r="F449" t="s">
        <v>8584</v>
      </c>
      <c r="G449" t="s">
        <v>74</v>
      </c>
      <c r="H449" t="s">
        <v>74</v>
      </c>
      <c r="I449" t="s">
        <v>8585</v>
      </c>
      <c r="J449" t="s">
        <v>8586</v>
      </c>
      <c r="K449" t="s">
        <v>74</v>
      </c>
      <c r="L449" t="s">
        <v>74</v>
      </c>
      <c r="M449" t="s">
        <v>78</v>
      </c>
      <c r="N449" t="s">
        <v>5094</v>
      </c>
      <c r="O449" t="s">
        <v>74</v>
      </c>
      <c r="P449" t="s">
        <v>74</v>
      </c>
      <c r="Q449" t="s">
        <v>74</v>
      </c>
      <c r="R449" t="s">
        <v>74</v>
      </c>
      <c r="S449" t="s">
        <v>74</v>
      </c>
      <c r="T449" t="s">
        <v>74</v>
      </c>
      <c r="U449" t="s">
        <v>74</v>
      </c>
      <c r="V449" t="s">
        <v>8587</v>
      </c>
      <c r="W449" t="s">
        <v>8588</v>
      </c>
      <c r="X449" t="s">
        <v>8589</v>
      </c>
      <c r="Y449" t="s">
        <v>8590</v>
      </c>
      <c r="Z449" t="s">
        <v>8591</v>
      </c>
      <c r="AA449" t="s">
        <v>74</v>
      </c>
      <c r="AB449" t="s">
        <v>74</v>
      </c>
      <c r="AC449" t="s">
        <v>8592</v>
      </c>
      <c r="AD449" t="s">
        <v>8593</v>
      </c>
      <c r="AE449" t="s">
        <v>8594</v>
      </c>
      <c r="AF449" t="s">
        <v>74</v>
      </c>
      <c r="AG449">
        <v>7</v>
      </c>
      <c r="AH449">
        <v>0</v>
      </c>
      <c r="AI449">
        <v>0</v>
      </c>
      <c r="AJ449">
        <v>0</v>
      </c>
      <c r="AK449">
        <v>2</v>
      </c>
      <c r="AL449" t="s">
        <v>8595</v>
      </c>
      <c r="AM449" t="s">
        <v>576</v>
      </c>
      <c r="AN449" t="s">
        <v>8596</v>
      </c>
      <c r="AO449" t="s">
        <v>8597</v>
      </c>
      <c r="AP449" t="s">
        <v>74</v>
      </c>
      <c r="AQ449" t="s">
        <v>74</v>
      </c>
      <c r="AR449" t="s">
        <v>8598</v>
      </c>
      <c r="AS449" t="s">
        <v>8599</v>
      </c>
      <c r="AT449" t="s">
        <v>8600</v>
      </c>
      <c r="AU449">
        <v>2022</v>
      </c>
      <c r="AV449" t="s">
        <v>74</v>
      </c>
      <c r="AW449" t="s">
        <v>74</v>
      </c>
      <c r="AX449" t="s">
        <v>74</v>
      </c>
      <c r="AY449" t="s">
        <v>74</v>
      </c>
      <c r="AZ449" t="s">
        <v>74</v>
      </c>
      <c r="BA449" t="s">
        <v>74</v>
      </c>
      <c r="BB449" t="s">
        <v>74</v>
      </c>
      <c r="BC449" t="s">
        <v>74</v>
      </c>
      <c r="BD449" t="s">
        <v>74</v>
      </c>
      <c r="BE449" t="s">
        <v>8601</v>
      </c>
      <c r="BF449" t="str">
        <f>HYPERLINK("http://dx.doi.org/10.1128/mra.01057-22","http://dx.doi.org/10.1128/mra.01057-22")</f>
        <v>http://dx.doi.org/10.1128/mra.01057-22</v>
      </c>
      <c r="BG449" t="s">
        <v>74</v>
      </c>
      <c r="BH449" t="s">
        <v>5796</v>
      </c>
      <c r="BI449">
        <v>2</v>
      </c>
      <c r="BJ449" t="s">
        <v>1699</v>
      </c>
      <c r="BK449" t="s">
        <v>757</v>
      </c>
      <c r="BL449" t="s">
        <v>1699</v>
      </c>
      <c r="BM449" t="s">
        <v>8602</v>
      </c>
      <c r="BN449">
        <v>36507684</v>
      </c>
      <c r="BO449" t="s">
        <v>192</v>
      </c>
      <c r="BP449" t="s">
        <v>74</v>
      </c>
      <c r="BQ449" t="s">
        <v>74</v>
      </c>
      <c r="BR449" t="s">
        <v>108</v>
      </c>
      <c r="BS449" t="s">
        <v>8603</v>
      </c>
      <c r="BT449" t="str">
        <f>HYPERLINK("https%3A%2F%2Fwww.webofscience.com%2Fwos%2Fwoscc%2Ffull-record%2FWOS:000934148700001","View Full Record in Web of Science")</f>
        <v>View Full Record in Web of Science</v>
      </c>
    </row>
    <row r="450" spans="1:72" x14ac:dyDescent="0.15">
      <c r="A450" t="s">
        <v>72</v>
      </c>
      <c r="B450" t="s">
        <v>8604</v>
      </c>
      <c r="C450" t="s">
        <v>74</v>
      </c>
      <c r="D450" t="s">
        <v>74</v>
      </c>
      <c r="E450" t="s">
        <v>74</v>
      </c>
      <c r="F450" t="s">
        <v>8605</v>
      </c>
      <c r="G450" t="s">
        <v>74</v>
      </c>
      <c r="H450" t="s">
        <v>74</v>
      </c>
      <c r="I450" t="s">
        <v>8606</v>
      </c>
      <c r="J450" t="s">
        <v>8607</v>
      </c>
      <c r="K450" t="s">
        <v>74</v>
      </c>
      <c r="L450" t="s">
        <v>74</v>
      </c>
      <c r="M450" t="s">
        <v>78</v>
      </c>
      <c r="N450" t="s">
        <v>79</v>
      </c>
      <c r="O450" t="s">
        <v>74</v>
      </c>
      <c r="P450" t="s">
        <v>74</v>
      </c>
      <c r="Q450" t="s">
        <v>74</v>
      </c>
      <c r="R450" t="s">
        <v>74</v>
      </c>
      <c r="S450" t="s">
        <v>74</v>
      </c>
      <c r="T450" t="s">
        <v>8608</v>
      </c>
      <c r="U450" t="s">
        <v>8609</v>
      </c>
      <c r="V450" t="s">
        <v>8610</v>
      </c>
      <c r="W450" t="s">
        <v>8611</v>
      </c>
      <c r="X450" t="s">
        <v>8612</v>
      </c>
      <c r="Y450" t="s">
        <v>8613</v>
      </c>
      <c r="Z450" t="s">
        <v>8614</v>
      </c>
      <c r="AA450" t="s">
        <v>74</v>
      </c>
      <c r="AB450" t="s">
        <v>8615</v>
      </c>
      <c r="AC450" t="s">
        <v>8616</v>
      </c>
      <c r="AD450" t="s">
        <v>8617</v>
      </c>
      <c r="AE450" t="s">
        <v>8618</v>
      </c>
      <c r="AF450" t="s">
        <v>74</v>
      </c>
      <c r="AG450">
        <v>88</v>
      </c>
      <c r="AH450">
        <v>0</v>
      </c>
      <c r="AI450">
        <v>0</v>
      </c>
      <c r="AJ450">
        <v>1</v>
      </c>
      <c r="AK450">
        <v>5</v>
      </c>
      <c r="AL450" t="s">
        <v>207</v>
      </c>
      <c r="AM450" t="s">
        <v>208</v>
      </c>
      <c r="AN450" t="s">
        <v>209</v>
      </c>
      <c r="AO450" t="s">
        <v>8619</v>
      </c>
      <c r="AP450" t="s">
        <v>8620</v>
      </c>
      <c r="AQ450" t="s">
        <v>74</v>
      </c>
      <c r="AR450" t="s">
        <v>8621</v>
      </c>
      <c r="AS450" t="s">
        <v>8622</v>
      </c>
      <c r="AT450" t="s">
        <v>99</v>
      </c>
      <c r="AU450">
        <v>2023</v>
      </c>
      <c r="AV450">
        <v>148</v>
      </c>
      <c r="AW450" t="s">
        <v>74</v>
      </c>
      <c r="AX450" t="s">
        <v>74</v>
      </c>
      <c r="AY450" t="s">
        <v>74</v>
      </c>
      <c r="AZ450" t="s">
        <v>74</v>
      </c>
      <c r="BA450" t="s">
        <v>74</v>
      </c>
      <c r="BB450" t="s">
        <v>74</v>
      </c>
      <c r="BC450" t="s">
        <v>74</v>
      </c>
      <c r="BD450">
        <v>106035</v>
      </c>
      <c r="BE450" t="s">
        <v>8623</v>
      </c>
      <c r="BF450" t="str">
        <f>HYPERLINK("http://dx.doi.org/10.1016/j.marpetgeo.2022.106035","http://dx.doi.org/10.1016/j.marpetgeo.2022.106035")</f>
        <v>http://dx.doi.org/10.1016/j.marpetgeo.2022.106035</v>
      </c>
      <c r="BG450" t="s">
        <v>74</v>
      </c>
      <c r="BH450" t="s">
        <v>5796</v>
      </c>
      <c r="BI450">
        <v>15</v>
      </c>
      <c r="BJ450" t="s">
        <v>455</v>
      </c>
      <c r="BK450" t="s">
        <v>104</v>
      </c>
      <c r="BL450" t="s">
        <v>456</v>
      </c>
      <c r="BM450" t="s">
        <v>8624</v>
      </c>
      <c r="BN450" t="s">
        <v>74</v>
      </c>
      <c r="BO450" t="s">
        <v>107</v>
      </c>
      <c r="BP450" t="s">
        <v>74</v>
      </c>
      <c r="BQ450" t="s">
        <v>74</v>
      </c>
      <c r="BR450" t="s">
        <v>108</v>
      </c>
      <c r="BS450" t="s">
        <v>8625</v>
      </c>
      <c r="BT450" t="str">
        <f>HYPERLINK("https%3A%2F%2Fwww.webofscience.com%2Fwos%2Fwoscc%2Ffull-record%2FWOS:000908368800001","View Full Record in Web of Science")</f>
        <v>View Full Record in Web of Science</v>
      </c>
    </row>
    <row r="451" spans="1:72" x14ac:dyDescent="0.15">
      <c r="A451" t="s">
        <v>72</v>
      </c>
      <c r="B451" t="s">
        <v>8626</v>
      </c>
      <c r="C451" t="s">
        <v>74</v>
      </c>
      <c r="D451" t="s">
        <v>74</v>
      </c>
      <c r="E451" t="s">
        <v>74</v>
      </c>
      <c r="F451" t="s">
        <v>8627</v>
      </c>
      <c r="G451" t="s">
        <v>74</v>
      </c>
      <c r="H451" t="s">
        <v>74</v>
      </c>
      <c r="I451" t="s">
        <v>8628</v>
      </c>
      <c r="J451" t="s">
        <v>8629</v>
      </c>
      <c r="K451" t="s">
        <v>74</v>
      </c>
      <c r="L451" t="s">
        <v>74</v>
      </c>
      <c r="M451" t="s">
        <v>78</v>
      </c>
      <c r="N451" t="s">
        <v>79</v>
      </c>
      <c r="O451" t="s">
        <v>74</v>
      </c>
      <c r="P451" t="s">
        <v>74</v>
      </c>
      <c r="Q451" t="s">
        <v>74</v>
      </c>
      <c r="R451" t="s">
        <v>74</v>
      </c>
      <c r="S451" t="s">
        <v>74</v>
      </c>
      <c r="T451" t="s">
        <v>74</v>
      </c>
      <c r="U451" t="s">
        <v>8630</v>
      </c>
      <c r="V451" t="s">
        <v>8631</v>
      </c>
      <c r="W451" t="s">
        <v>8632</v>
      </c>
      <c r="X451" t="s">
        <v>8633</v>
      </c>
      <c r="Y451" t="s">
        <v>8634</v>
      </c>
      <c r="Z451" t="s">
        <v>8635</v>
      </c>
      <c r="AA451" t="s">
        <v>8636</v>
      </c>
      <c r="AB451" t="s">
        <v>8637</v>
      </c>
      <c r="AC451" t="s">
        <v>8638</v>
      </c>
      <c r="AD451" t="s">
        <v>8639</v>
      </c>
      <c r="AE451" t="s">
        <v>8640</v>
      </c>
      <c r="AF451" t="s">
        <v>74</v>
      </c>
      <c r="AG451">
        <v>42</v>
      </c>
      <c r="AH451">
        <v>4</v>
      </c>
      <c r="AI451">
        <v>4</v>
      </c>
      <c r="AJ451">
        <v>3</v>
      </c>
      <c r="AK451">
        <v>6</v>
      </c>
      <c r="AL451" t="s">
        <v>7695</v>
      </c>
      <c r="AM451" t="s">
        <v>7640</v>
      </c>
      <c r="AN451" t="s">
        <v>7696</v>
      </c>
      <c r="AO451" t="s">
        <v>74</v>
      </c>
      <c r="AP451" t="s">
        <v>8641</v>
      </c>
      <c r="AQ451" t="s">
        <v>74</v>
      </c>
      <c r="AR451" t="s">
        <v>8642</v>
      </c>
      <c r="AS451" t="s">
        <v>8643</v>
      </c>
      <c r="AT451" t="s">
        <v>8644</v>
      </c>
      <c r="AU451">
        <v>2023</v>
      </c>
      <c r="AV451">
        <v>3</v>
      </c>
      <c r="AW451">
        <v>2</v>
      </c>
      <c r="AX451" t="s">
        <v>74</v>
      </c>
      <c r="AY451" t="s">
        <v>74</v>
      </c>
      <c r="AZ451" t="s">
        <v>74</v>
      </c>
      <c r="BA451" t="s">
        <v>74</v>
      </c>
      <c r="BB451">
        <v>268</v>
      </c>
      <c r="BC451" t="s">
        <v>351</v>
      </c>
      <c r="BD451" t="s">
        <v>74</v>
      </c>
      <c r="BE451" t="s">
        <v>8645</v>
      </c>
      <c r="BF451" t="str">
        <f>HYPERLINK("http://dx.doi.org/10.1039/d2ea00119e","http://dx.doi.org/10.1039/d2ea00119e")</f>
        <v>http://dx.doi.org/10.1039/d2ea00119e</v>
      </c>
      <c r="BG451" t="s">
        <v>74</v>
      </c>
      <c r="BH451" t="s">
        <v>5796</v>
      </c>
      <c r="BI451">
        <v>15</v>
      </c>
      <c r="BJ451" t="s">
        <v>5429</v>
      </c>
      <c r="BK451" t="s">
        <v>757</v>
      </c>
      <c r="BL451" t="s">
        <v>355</v>
      </c>
      <c r="BM451" t="s">
        <v>8646</v>
      </c>
      <c r="BN451" t="s">
        <v>74</v>
      </c>
      <c r="BO451" t="s">
        <v>192</v>
      </c>
      <c r="BP451" t="s">
        <v>74</v>
      </c>
      <c r="BQ451" t="s">
        <v>74</v>
      </c>
      <c r="BR451" t="s">
        <v>108</v>
      </c>
      <c r="BS451" t="s">
        <v>8647</v>
      </c>
      <c r="BT451" t="str">
        <f>HYPERLINK("https%3A%2F%2Fwww.webofscience.com%2Fwos%2Fwoscc%2Ffull-record%2FWOS:000900101400001","View Full Record in Web of Science")</f>
        <v>View Full Record in Web of Science</v>
      </c>
    </row>
    <row r="452" spans="1:72" x14ac:dyDescent="0.15">
      <c r="A452" t="s">
        <v>72</v>
      </c>
      <c r="B452" t="s">
        <v>8648</v>
      </c>
      <c r="C452" t="s">
        <v>74</v>
      </c>
      <c r="D452" t="s">
        <v>74</v>
      </c>
      <c r="E452" t="s">
        <v>74</v>
      </c>
      <c r="F452" t="s">
        <v>8649</v>
      </c>
      <c r="G452" t="s">
        <v>74</v>
      </c>
      <c r="H452" t="s">
        <v>74</v>
      </c>
      <c r="I452" t="s">
        <v>8650</v>
      </c>
      <c r="J452" t="s">
        <v>7798</v>
      </c>
      <c r="K452" t="s">
        <v>74</v>
      </c>
      <c r="L452" t="s">
        <v>74</v>
      </c>
      <c r="M452" t="s">
        <v>78</v>
      </c>
      <c r="N452" t="s">
        <v>79</v>
      </c>
      <c r="O452" t="s">
        <v>74</v>
      </c>
      <c r="P452" t="s">
        <v>74</v>
      </c>
      <c r="Q452" t="s">
        <v>74</v>
      </c>
      <c r="R452" t="s">
        <v>74</v>
      </c>
      <c r="S452" t="s">
        <v>74</v>
      </c>
      <c r="T452" t="s">
        <v>8651</v>
      </c>
      <c r="U452" t="s">
        <v>8652</v>
      </c>
      <c r="V452" t="s">
        <v>8653</v>
      </c>
      <c r="W452" t="s">
        <v>8654</v>
      </c>
      <c r="X452" t="s">
        <v>8655</v>
      </c>
      <c r="Y452" t="s">
        <v>8656</v>
      </c>
      <c r="Z452" t="s">
        <v>8657</v>
      </c>
      <c r="AA452" t="s">
        <v>74</v>
      </c>
      <c r="AB452" t="s">
        <v>8658</v>
      </c>
      <c r="AC452" t="s">
        <v>8659</v>
      </c>
      <c r="AD452" t="s">
        <v>8660</v>
      </c>
      <c r="AE452" t="s">
        <v>8661</v>
      </c>
      <c r="AF452" t="s">
        <v>74</v>
      </c>
      <c r="AG452">
        <v>27</v>
      </c>
      <c r="AH452">
        <v>1</v>
      </c>
      <c r="AI452">
        <v>1</v>
      </c>
      <c r="AJ452">
        <v>0</v>
      </c>
      <c r="AK452">
        <v>1</v>
      </c>
      <c r="AL452" t="s">
        <v>92</v>
      </c>
      <c r="AM452" t="s">
        <v>7640</v>
      </c>
      <c r="AN452" t="s">
        <v>7811</v>
      </c>
      <c r="AO452" t="s">
        <v>7812</v>
      </c>
      <c r="AP452" t="s">
        <v>7813</v>
      </c>
      <c r="AQ452" t="s">
        <v>74</v>
      </c>
      <c r="AR452" t="s">
        <v>7814</v>
      </c>
      <c r="AS452" t="s">
        <v>7815</v>
      </c>
      <c r="AT452" t="s">
        <v>7816</v>
      </c>
      <c r="AU452">
        <v>2023</v>
      </c>
      <c r="AV452">
        <v>69</v>
      </c>
      <c r="AW452">
        <v>276</v>
      </c>
      <c r="AX452" t="s">
        <v>74</v>
      </c>
      <c r="AY452" t="s">
        <v>74</v>
      </c>
      <c r="AZ452" t="s">
        <v>74</v>
      </c>
      <c r="BA452" t="s">
        <v>74</v>
      </c>
      <c r="BB452">
        <v>911</v>
      </c>
      <c r="BC452">
        <v>918</v>
      </c>
      <c r="BD452" t="s">
        <v>8662</v>
      </c>
      <c r="BE452" t="s">
        <v>8663</v>
      </c>
      <c r="BF452" t="str">
        <f>HYPERLINK("http://dx.doi.org/10.1017/jog.2022.111","http://dx.doi.org/10.1017/jog.2022.111")</f>
        <v>http://dx.doi.org/10.1017/jog.2022.111</v>
      </c>
      <c r="BG452" t="s">
        <v>74</v>
      </c>
      <c r="BH452" t="s">
        <v>5796</v>
      </c>
      <c r="BI452">
        <v>8</v>
      </c>
      <c r="BJ452" t="s">
        <v>611</v>
      </c>
      <c r="BK452" t="s">
        <v>104</v>
      </c>
      <c r="BL452" t="s">
        <v>612</v>
      </c>
      <c r="BM452" t="s">
        <v>7819</v>
      </c>
      <c r="BN452" t="s">
        <v>74</v>
      </c>
      <c r="BO452" t="s">
        <v>165</v>
      </c>
      <c r="BP452" t="s">
        <v>74</v>
      </c>
      <c r="BQ452" t="s">
        <v>74</v>
      </c>
      <c r="BR452" t="s">
        <v>108</v>
      </c>
      <c r="BS452" t="s">
        <v>8664</v>
      </c>
      <c r="BT452" t="str">
        <f>HYPERLINK("https%3A%2F%2Fwww.webofscience.com%2Fwos%2Fwoscc%2Ffull-record%2FWOS:000898269400001","View Full Record in Web of Science")</f>
        <v>View Full Record in Web of Science</v>
      </c>
    </row>
    <row r="453" spans="1:72" x14ac:dyDescent="0.15">
      <c r="A453" t="s">
        <v>72</v>
      </c>
      <c r="B453" t="s">
        <v>8665</v>
      </c>
      <c r="C453" t="s">
        <v>74</v>
      </c>
      <c r="D453" t="s">
        <v>74</v>
      </c>
      <c r="E453" t="s">
        <v>74</v>
      </c>
      <c r="F453" t="s">
        <v>8666</v>
      </c>
      <c r="G453" t="s">
        <v>74</v>
      </c>
      <c r="H453" t="s">
        <v>74</v>
      </c>
      <c r="I453" t="s">
        <v>8667</v>
      </c>
      <c r="J453" t="s">
        <v>8668</v>
      </c>
      <c r="K453" t="s">
        <v>74</v>
      </c>
      <c r="L453" t="s">
        <v>74</v>
      </c>
      <c r="M453" t="s">
        <v>78</v>
      </c>
      <c r="N453" t="s">
        <v>79</v>
      </c>
      <c r="O453" t="s">
        <v>74</v>
      </c>
      <c r="P453" t="s">
        <v>74</v>
      </c>
      <c r="Q453" t="s">
        <v>74</v>
      </c>
      <c r="R453" t="s">
        <v>74</v>
      </c>
      <c r="S453" t="s">
        <v>74</v>
      </c>
      <c r="T453" t="s">
        <v>74</v>
      </c>
      <c r="U453" t="s">
        <v>8669</v>
      </c>
      <c r="V453" t="s">
        <v>8670</v>
      </c>
      <c r="W453" t="s">
        <v>8671</v>
      </c>
      <c r="X453" t="s">
        <v>8672</v>
      </c>
      <c r="Y453" t="s">
        <v>8673</v>
      </c>
      <c r="Z453" t="s">
        <v>8674</v>
      </c>
      <c r="AA453" t="s">
        <v>8675</v>
      </c>
      <c r="AB453" t="s">
        <v>8676</v>
      </c>
      <c r="AC453" t="s">
        <v>8677</v>
      </c>
      <c r="AD453" t="s">
        <v>8678</v>
      </c>
      <c r="AE453" t="s">
        <v>8679</v>
      </c>
      <c r="AF453" t="s">
        <v>74</v>
      </c>
      <c r="AG453">
        <v>93</v>
      </c>
      <c r="AH453">
        <v>2</v>
      </c>
      <c r="AI453">
        <v>2</v>
      </c>
      <c r="AJ453">
        <v>1</v>
      </c>
      <c r="AK453">
        <v>4</v>
      </c>
      <c r="AL453" t="s">
        <v>297</v>
      </c>
      <c r="AM453" t="s">
        <v>298</v>
      </c>
      <c r="AN453" t="s">
        <v>299</v>
      </c>
      <c r="AO453" t="s">
        <v>8680</v>
      </c>
      <c r="AP453" t="s">
        <v>8681</v>
      </c>
      <c r="AQ453" t="s">
        <v>74</v>
      </c>
      <c r="AR453" t="s">
        <v>8682</v>
      </c>
      <c r="AS453" t="s">
        <v>8683</v>
      </c>
      <c r="AT453" t="s">
        <v>276</v>
      </c>
      <c r="AU453">
        <v>2023</v>
      </c>
      <c r="AV453">
        <v>58</v>
      </c>
      <c r="AW453">
        <v>1</v>
      </c>
      <c r="AX453" t="s">
        <v>74</v>
      </c>
      <c r="AY453" t="s">
        <v>74</v>
      </c>
      <c r="AZ453" t="s">
        <v>74</v>
      </c>
      <c r="BA453" t="s">
        <v>74</v>
      </c>
      <c r="BB453">
        <v>63</v>
      </c>
      <c r="BC453">
        <v>84</v>
      </c>
      <c r="BD453" t="s">
        <v>74</v>
      </c>
      <c r="BE453" t="s">
        <v>8684</v>
      </c>
      <c r="BF453" t="str">
        <f>HYPERLINK("http://dx.doi.org/10.1111/maps.13934","http://dx.doi.org/10.1111/maps.13934")</f>
        <v>http://dx.doi.org/10.1111/maps.13934</v>
      </c>
      <c r="BG453" t="s">
        <v>74</v>
      </c>
      <c r="BH453" t="s">
        <v>5796</v>
      </c>
      <c r="BI453">
        <v>22</v>
      </c>
      <c r="BJ453" t="s">
        <v>430</v>
      </c>
      <c r="BK453" t="s">
        <v>104</v>
      </c>
      <c r="BL453" t="s">
        <v>430</v>
      </c>
      <c r="BM453" t="s">
        <v>8685</v>
      </c>
      <c r="BN453" t="s">
        <v>74</v>
      </c>
      <c r="BO453" t="s">
        <v>8686</v>
      </c>
      <c r="BP453" t="s">
        <v>74</v>
      </c>
      <c r="BQ453" t="s">
        <v>74</v>
      </c>
      <c r="BR453" t="s">
        <v>108</v>
      </c>
      <c r="BS453" t="s">
        <v>8687</v>
      </c>
      <c r="BT453" t="str">
        <f>HYPERLINK("https%3A%2F%2Fwww.webofscience.com%2Fwos%2Fwoscc%2Ffull-record%2FWOS:000896869900001","View Full Record in Web of Science")</f>
        <v>View Full Record in Web of Science</v>
      </c>
    </row>
    <row r="454" spans="1:72" x14ac:dyDescent="0.15">
      <c r="A454" t="s">
        <v>72</v>
      </c>
      <c r="B454" t="s">
        <v>8688</v>
      </c>
      <c r="C454" t="s">
        <v>74</v>
      </c>
      <c r="D454" t="s">
        <v>74</v>
      </c>
      <c r="E454" t="s">
        <v>74</v>
      </c>
      <c r="F454" t="s">
        <v>8689</v>
      </c>
      <c r="G454" t="s">
        <v>74</v>
      </c>
      <c r="H454" t="s">
        <v>74</v>
      </c>
      <c r="I454" t="s">
        <v>8690</v>
      </c>
      <c r="J454" t="s">
        <v>8691</v>
      </c>
      <c r="K454" t="s">
        <v>74</v>
      </c>
      <c r="L454" t="s">
        <v>74</v>
      </c>
      <c r="M454" t="s">
        <v>78</v>
      </c>
      <c r="N454" t="s">
        <v>79</v>
      </c>
      <c r="O454" t="s">
        <v>74</v>
      </c>
      <c r="P454" t="s">
        <v>74</v>
      </c>
      <c r="Q454" t="s">
        <v>74</v>
      </c>
      <c r="R454" t="s">
        <v>74</v>
      </c>
      <c r="S454" t="s">
        <v>74</v>
      </c>
      <c r="T454" t="s">
        <v>8692</v>
      </c>
      <c r="U454" t="s">
        <v>8693</v>
      </c>
      <c r="V454" t="s">
        <v>8694</v>
      </c>
      <c r="W454" t="s">
        <v>8695</v>
      </c>
      <c r="X454" t="s">
        <v>8696</v>
      </c>
      <c r="Y454" t="s">
        <v>8697</v>
      </c>
      <c r="Z454" t="s">
        <v>8698</v>
      </c>
      <c r="AA454" t="s">
        <v>8699</v>
      </c>
      <c r="AB454" t="s">
        <v>8700</v>
      </c>
      <c r="AC454" t="s">
        <v>8701</v>
      </c>
      <c r="AD454" t="s">
        <v>8702</v>
      </c>
      <c r="AE454" t="s">
        <v>8703</v>
      </c>
      <c r="AF454" t="s">
        <v>74</v>
      </c>
      <c r="AG454">
        <v>60</v>
      </c>
      <c r="AH454">
        <v>1</v>
      </c>
      <c r="AI454">
        <v>1</v>
      </c>
      <c r="AJ454">
        <v>2</v>
      </c>
      <c r="AK454">
        <v>6</v>
      </c>
      <c r="AL454" t="s">
        <v>237</v>
      </c>
      <c r="AM454" t="s">
        <v>238</v>
      </c>
      <c r="AN454" t="s">
        <v>239</v>
      </c>
      <c r="AO454" t="s">
        <v>8704</v>
      </c>
      <c r="AP454" t="s">
        <v>8705</v>
      </c>
      <c r="AQ454" t="s">
        <v>74</v>
      </c>
      <c r="AR454" t="s">
        <v>8706</v>
      </c>
      <c r="AS454" t="s">
        <v>8707</v>
      </c>
      <c r="AT454" t="s">
        <v>276</v>
      </c>
      <c r="AU454">
        <v>2023</v>
      </c>
      <c r="AV454">
        <v>178</v>
      </c>
      <c r="AW454" t="s">
        <v>74</v>
      </c>
      <c r="AX454" t="s">
        <v>74</v>
      </c>
      <c r="AY454" t="s">
        <v>74</v>
      </c>
      <c r="AZ454" t="s">
        <v>74</v>
      </c>
      <c r="BA454" t="s">
        <v>74</v>
      </c>
      <c r="BB454" t="s">
        <v>74</v>
      </c>
      <c r="BC454" t="s">
        <v>74</v>
      </c>
      <c r="BD454">
        <v>102198</v>
      </c>
      <c r="BE454" t="s">
        <v>8708</v>
      </c>
      <c r="BF454" t="str">
        <f>HYPERLINK("http://dx.doi.org/10.1016/j.marmicro.2022.102198","http://dx.doi.org/10.1016/j.marmicro.2022.102198")</f>
        <v>http://dx.doi.org/10.1016/j.marmicro.2022.102198</v>
      </c>
      <c r="BG454" t="s">
        <v>74</v>
      </c>
      <c r="BH454" t="s">
        <v>5796</v>
      </c>
      <c r="BI454">
        <v>11</v>
      </c>
      <c r="BJ454" t="s">
        <v>1486</v>
      </c>
      <c r="BK454" t="s">
        <v>104</v>
      </c>
      <c r="BL454" t="s">
        <v>1486</v>
      </c>
      <c r="BM454" t="s">
        <v>8709</v>
      </c>
      <c r="BN454" t="s">
        <v>74</v>
      </c>
      <c r="BO454" t="s">
        <v>74</v>
      </c>
      <c r="BP454" t="s">
        <v>74</v>
      </c>
      <c r="BQ454" t="s">
        <v>74</v>
      </c>
      <c r="BR454" t="s">
        <v>108</v>
      </c>
      <c r="BS454" t="s">
        <v>8710</v>
      </c>
      <c r="BT454" t="str">
        <f>HYPERLINK("https%3A%2F%2Fwww.webofscience.com%2Fwos%2Fwoscc%2Ffull-record%2FWOS:000899123900002","View Full Record in Web of Science")</f>
        <v>View Full Record in Web of Science</v>
      </c>
    </row>
    <row r="455" spans="1:72" x14ac:dyDescent="0.15">
      <c r="A455" t="s">
        <v>72</v>
      </c>
      <c r="B455" t="s">
        <v>8711</v>
      </c>
      <c r="C455" t="s">
        <v>74</v>
      </c>
      <c r="D455" t="s">
        <v>74</v>
      </c>
      <c r="E455" t="s">
        <v>74</v>
      </c>
      <c r="F455" t="s">
        <v>8712</v>
      </c>
      <c r="G455" t="s">
        <v>74</v>
      </c>
      <c r="H455" t="s">
        <v>74</v>
      </c>
      <c r="I455" t="s">
        <v>8713</v>
      </c>
      <c r="J455" t="s">
        <v>8214</v>
      </c>
      <c r="K455" t="s">
        <v>74</v>
      </c>
      <c r="L455" t="s">
        <v>74</v>
      </c>
      <c r="M455" t="s">
        <v>78</v>
      </c>
      <c r="N455" t="s">
        <v>79</v>
      </c>
      <c r="O455" t="s">
        <v>74</v>
      </c>
      <c r="P455" t="s">
        <v>74</v>
      </c>
      <c r="Q455" t="s">
        <v>74</v>
      </c>
      <c r="R455" t="s">
        <v>74</v>
      </c>
      <c r="S455" t="s">
        <v>74</v>
      </c>
      <c r="T455" t="s">
        <v>8714</v>
      </c>
      <c r="U455" t="s">
        <v>8715</v>
      </c>
      <c r="V455" t="s">
        <v>8716</v>
      </c>
      <c r="W455" t="s">
        <v>8717</v>
      </c>
      <c r="X455" t="s">
        <v>8718</v>
      </c>
      <c r="Y455" t="s">
        <v>8719</v>
      </c>
      <c r="Z455" t="s">
        <v>8720</v>
      </c>
      <c r="AA455" t="s">
        <v>8721</v>
      </c>
      <c r="AB455" t="s">
        <v>8722</v>
      </c>
      <c r="AC455" t="s">
        <v>8723</v>
      </c>
      <c r="AD455" t="s">
        <v>8724</v>
      </c>
      <c r="AE455" t="s">
        <v>8725</v>
      </c>
      <c r="AF455" t="s">
        <v>74</v>
      </c>
      <c r="AG455">
        <v>72</v>
      </c>
      <c r="AH455">
        <v>9</v>
      </c>
      <c r="AI455">
        <v>9</v>
      </c>
      <c r="AJ455">
        <v>1</v>
      </c>
      <c r="AK455">
        <v>3</v>
      </c>
      <c r="AL455" t="s">
        <v>422</v>
      </c>
      <c r="AM455" t="s">
        <v>208</v>
      </c>
      <c r="AN455" t="s">
        <v>423</v>
      </c>
      <c r="AO455" t="s">
        <v>8225</v>
      </c>
      <c r="AP455" t="s">
        <v>8226</v>
      </c>
      <c r="AQ455" t="s">
        <v>74</v>
      </c>
      <c r="AR455" t="s">
        <v>8227</v>
      </c>
      <c r="AS455" t="s">
        <v>8228</v>
      </c>
      <c r="AT455" t="s">
        <v>609</v>
      </c>
      <c r="AU455">
        <v>2023</v>
      </c>
      <c r="AV455">
        <v>45</v>
      </c>
      <c r="AW455">
        <v>1</v>
      </c>
      <c r="AX455" t="s">
        <v>74</v>
      </c>
      <c r="AY455" t="s">
        <v>74</v>
      </c>
      <c r="AZ455" t="s">
        <v>74</v>
      </c>
      <c r="BA455" t="s">
        <v>74</v>
      </c>
      <c r="BB455">
        <v>15</v>
      </c>
      <c r="BC455">
        <v>32</v>
      </c>
      <c r="BD455" t="s">
        <v>74</v>
      </c>
      <c r="BE455" t="s">
        <v>8726</v>
      </c>
      <c r="BF455" t="str">
        <f>HYPERLINK("http://dx.doi.org/10.1093/plankt/fbac069","http://dx.doi.org/10.1093/plankt/fbac069")</f>
        <v>http://dx.doi.org/10.1093/plankt/fbac069</v>
      </c>
      <c r="BG455" t="s">
        <v>74</v>
      </c>
      <c r="BH455" t="s">
        <v>5796</v>
      </c>
      <c r="BI455">
        <v>18</v>
      </c>
      <c r="BJ455" t="s">
        <v>556</v>
      </c>
      <c r="BK455" t="s">
        <v>104</v>
      </c>
      <c r="BL455" t="s">
        <v>556</v>
      </c>
      <c r="BM455" t="s">
        <v>8230</v>
      </c>
      <c r="BN455" t="s">
        <v>74</v>
      </c>
      <c r="BO455" t="s">
        <v>660</v>
      </c>
      <c r="BP455" t="s">
        <v>74</v>
      </c>
      <c r="BQ455" t="s">
        <v>74</v>
      </c>
      <c r="BR455" t="s">
        <v>108</v>
      </c>
      <c r="BS455" t="s">
        <v>8727</v>
      </c>
      <c r="BT455" t="str">
        <f>HYPERLINK("https%3A%2F%2Fwww.webofscience.com%2Fwos%2Fwoscc%2Ffull-record%2FWOS:000896441000001","View Full Record in Web of Science")</f>
        <v>View Full Record in Web of Science</v>
      </c>
    </row>
    <row r="456" spans="1:72" x14ac:dyDescent="0.15">
      <c r="A456" t="s">
        <v>72</v>
      </c>
      <c r="B456" t="s">
        <v>8728</v>
      </c>
      <c r="C456" t="s">
        <v>74</v>
      </c>
      <c r="D456" t="s">
        <v>74</v>
      </c>
      <c r="E456" t="s">
        <v>74</v>
      </c>
      <c r="F456" t="s">
        <v>8729</v>
      </c>
      <c r="G456" t="s">
        <v>74</v>
      </c>
      <c r="H456" t="s">
        <v>74</v>
      </c>
      <c r="I456" t="s">
        <v>8730</v>
      </c>
      <c r="J456" t="s">
        <v>7079</v>
      </c>
      <c r="K456" t="s">
        <v>74</v>
      </c>
      <c r="L456" t="s">
        <v>74</v>
      </c>
      <c r="M456" t="s">
        <v>78</v>
      </c>
      <c r="N456" t="s">
        <v>79</v>
      </c>
      <c r="O456" t="s">
        <v>74</v>
      </c>
      <c r="P456" t="s">
        <v>74</v>
      </c>
      <c r="Q456" t="s">
        <v>74</v>
      </c>
      <c r="R456" t="s">
        <v>74</v>
      </c>
      <c r="S456" t="s">
        <v>74</v>
      </c>
      <c r="T456" t="s">
        <v>8731</v>
      </c>
      <c r="U456" t="s">
        <v>8732</v>
      </c>
      <c r="V456" t="s">
        <v>8733</v>
      </c>
      <c r="W456" t="s">
        <v>8734</v>
      </c>
      <c r="X456" t="s">
        <v>8735</v>
      </c>
      <c r="Y456" t="s">
        <v>8736</v>
      </c>
      <c r="Z456" t="s">
        <v>8737</v>
      </c>
      <c r="AA456" t="s">
        <v>74</v>
      </c>
      <c r="AB456" t="s">
        <v>8738</v>
      </c>
      <c r="AC456" t="s">
        <v>8739</v>
      </c>
      <c r="AD456" t="s">
        <v>8740</v>
      </c>
      <c r="AE456" t="s">
        <v>8741</v>
      </c>
      <c r="AF456" t="s">
        <v>74</v>
      </c>
      <c r="AG456">
        <v>194</v>
      </c>
      <c r="AH456">
        <v>3</v>
      </c>
      <c r="AI456">
        <v>3</v>
      </c>
      <c r="AJ456">
        <v>5</v>
      </c>
      <c r="AK456">
        <v>16</v>
      </c>
      <c r="AL456" t="s">
        <v>237</v>
      </c>
      <c r="AM456" t="s">
        <v>238</v>
      </c>
      <c r="AN456" t="s">
        <v>239</v>
      </c>
      <c r="AO456" t="s">
        <v>7092</v>
      </c>
      <c r="AP456" t="s">
        <v>7093</v>
      </c>
      <c r="AQ456" t="s">
        <v>74</v>
      </c>
      <c r="AR456" t="s">
        <v>7094</v>
      </c>
      <c r="AS456" t="s">
        <v>7095</v>
      </c>
      <c r="AT456" t="s">
        <v>276</v>
      </c>
      <c r="AU456">
        <v>2023</v>
      </c>
      <c r="AV456">
        <v>236</v>
      </c>
      <c r="AW456" t="s">
        <v>74</v>
      </c>
      <c r="AX456" t="s">
        <v>74</v>
      </c>
      <c r="AY456" t="s">
        <v>74</v>
      </c>
      <c r="AZ456" t="s">
        <v>74</v>
      </c>
      <c r="BA456" t="s">
        <v>74</v>
      </c>
      <c r="BB456" t="s">
        <v>74</v>
      </c>
      <c r="BC456" t="s">
        <v>74</v>
      </c>
      <c r="BD456">
        <v>104276</v>
      </c>
      <c r="BE456" t="s">
        <v>8742</v>
      </c>
      <c r="BF456" t="str">
        <f>HYPERLINK("http://dx.doi.org/10.1016/j.earscirev.2022.104276","http://dx.doi.org/10.1016/j.earscirev.2022.104276")</f>
        <v>http://dx.doi.org/10.1016/j.earscirev.2022.104276</v>
      </c>
      <c r="BG456" t="s">
        <v>74</v>
      </c>
      <c r="BH456" t="s">
        <v>5796</v>
      </c>
      <c r="BI456">
        <v>22</v>
      </c>
      <c r="BJ456" t="s">
        <v>455</v>
      </c>
      <c r="BK456" t="s">
        <v>104</v>
      </c>
      <c r="BL456" t="s">
        <v>456</v>
      </c>
      <c r="BM456" t="s">
        <v>8743</v>
      </c>
      <c r="BN456" t="s">
        <v>74</v>
      </c>
      <c r="BO456" t="s">
        <v>8744</v>
      </c>
      <c r="BP456" t="s">
        <v>74</v>
      </c>
      <c r="BQ456" t="s">
        <v>74</v>
      </c>
      <c r="BR456" t="s">
        <v>108</v>
      </c>
      <c r="BS456" t="s">
        <v>8745</v>
      </c>
      <c r="BT456" t="str">
        <f>HYPERLINK("https%3A%2F%2Fwww.webofscience.com%2Fwos%2Fwoscc%2Ffull-record%2FWOS:000895715500001","View Full Record in Web of Science")</f>
        <v>View Full Record in Web of Science</v>
      </c>
    </row>
    <row r="457" spans="1:72" x14ac:dyDescent="0.15">
      <c r="A457" t="s">
        <v>72</v>
      </c>
      <c r="B457" t="s">
        <v>8746</v>
      </c>
      <c r="C457" t="s">
        <v>74</v>
      </c>
      <c r="D457" t="s">
        <v>74</v>
      </c>
      <c r="E457" t="s">
        <v>74</v>
      </c>
      <c r="F457" t="s">
        <v>8747</v>
      </c>
      <c r="G457" t="s">
        <v>74</v>
      </c>
      <c r="H457" t="s">
        <v>74</v>
      </c>
      <c r="I457" t="s">
        <v>8748</v>
      </c>
      <c r="J457" t="s">
        <v>8749</v>
      </c>
      <c r="K457" t="s">
        <v>74</v>
      </c>
      <c r="L457" t="s">
        <v>74</v>
      </c>
      <c r="M457" t="s">
        <v>78</v>
      </c>
      <c r="N457" t="s">
        <v>79</v>
      </c>
      <c r="O457" t="s">
        <v>74</v>
      </c>
      <c r="P457" t="s">
        <v>74</v>
      </c>
      <c r="Q457" t="s">
        <v>74</v>
      </c>
      <c r="R457" t="s">
        <v>74</v>
      </c>
      <c r="S457" t="s">
        <v>74</v>
      </c>
      <c r="T457" t="s">
        <v>8750</v>
      </c>
      <c r="U457" t="s">
        <v>8751</v>
      </c>
      <c r="V457" t="s">
        <v>8752</v>
      </c>
      <c r="W457" t="s">
        <v>8753</v>
      </c>
      <c r="X457" t="s">
        <v>8754</v>
      </c>
      <c r="Y457" t="s">
        <v>8755</v>
      </c>
      <c r="Z457" t="s">
        <v>8756</v>
      </c>
      <c r="AA457" t="s">
        <v>8757</v>
      </c>
      <c r="AB457" t="s">
        <v>8758</v>
      </c>
      <c r="AC457" t="s">
        <v>8759</v>
      </c>
      <c r="AD457" t="s">
        <v>8760</v>
      </c>
      <c r="AE457" t="s">
        <v>8761</v>
      </c>
      <c r="AF457" t="s">
        <v>74</v>
      </c>
      <c r="AG457">
        <v>54</v>
      </c>
      <c r="AH457">
        <v>3</v>
      </c>
      <c r="AI457">
        <v>3</v>
      </c>
      <c r="AJ457">
        <v>1</v>
      </c>
      <c r="AK457">
        <v>5</v>
      </c>
      <c r="AL457" t="s">
        <v>8762</v>
      </c>
      <c r="AM457" t="s">
        <v>2564</v>
      </c>
      <c r="AN457" t="s">
        <v>8763</v>
      </c>
      <c r="AO457" t="s">
        <v>8764</v>
      </c>
      <c r="AP457" t="s">
        <v>8765</v>
      </c>
      <c r="AQ457" t="s">
        <v>74</v>
      </c>
      <c r="AR457" t="s">
        <v>8766</v>
      </c>
      <c r="AS457" t="s">
        <v>8767</v>
      </c>
      <c r="AT457" t="s">
        <v>2592</v>
      </c>
      <c r="AU457">
        <v>2023</v>
      </c>
      <c r="AV457">
        <v>249</v>
      </c>
      <c r="AW457" t="s">
        <v>74</v>
      </c>
      <c r="AX457" t="s">
        <v>74</v>
      </c>
      <c r="AY457" t="s">
        <v>74</v>
      </c>
      <c r="AZ457" t="s">
        <v>74</v>
      </c>
      <c r="BA457" t="s">
        <v>74</v>
      </c>
      <c r="BB457" t="s">
        <v>74</v>
      </c>
      <c r="BC457" t="s">
        <v>74</v>
      </c>
      <c r="BD457">
        <v>114345</v>
      </c>
      <c r="BE457" t="s">
        <v>8768</v>
      </c>
      <c r="BF457" t="str">
        <f>HYPERLINK("http://dx.doi.org/10.1016/j.ecoenv.2022.114345","http://dx.doi.org/10.1016/j.ecoenv.2022.114345")</f>
        <v>http://dx.doi.org/10.1016/j.ecoenv.2022.114345</v>
      </c>
      <c r="BG457" t="s">
        <v>74</v>
      </c>
      <c r="BH457" t="s">
        <v>5796</v>
      </c>
      <c r="BI457">
        <v>11</v>
      </c>
      <c r="BJ457" t="s">
        <v>8769</v>
      </c>
      <c r="BK457" t="s">
        <v>104</v>
      </c>
      <c r="BL457" t="s">
        <v>8770</v>
      </c>
      <c r="BM457" t="s">
        <v>8771</v>
      </c>
      <c r="BN457">
        <v>36508834</v>
      </c>
      <c r="BO457" t="s">
        <v>165</v>
      </c>
      <c r="BP457" t="s">
        <v>74</v>
      </c>
      <c r="BQ457" t="s">
        <v>74</v>
      </c>
      <c r="BR457" t="s">
        <v>108</v>
      </c>
      <c r="BS457" t="s">
        <v>8772</v>
      </c>
      <c r="BT457" t="str">
        <f>HYPERLINK("https%3A%2F%2Fwww.webofscience.com%2Fwos%2Fwoscc%2Ffull-record%2FWOS:000974537400001","View Full Record in Web of Science")</f>
        <v>View Full Record in Web of Science</v>
      </c>
    </row>
    <row r="458" spans="1:72" x14ac:dyDescent="0.15">
      <c r="A458" t="s">
        <v>72</v>
      </c>
      <c r="B458" t="s">
        <v>8773</v>
      </c>
      <c r="C458" t="s">
        <v>74</v>
      </c>
      <c r="D458" t="s">
        <v>74</v>
      </c>
      <c r="E458" t="s">
        <v>74</v>
      </c>
      <c r="F458" t="s">
        <v>8774</v>
      </c>
      <c r="G458" t="s">
        <v>74</v>
      </c>
      <c r="H458" t="s">
        <v>74</v>
      </c>
      <c r="I458" t="s">
        <v>8775</v>
      </c>
      <c r="J458" t="s">
        <v>7102</v>
      </c>
      <c r="K458" t="s">
        <v>74</v>
      </c>
      <c r="L458" t="s">
        <v>74</v>
      </c>
      <c r="M458" t="s">
        <v>78</v>
      </c>
      <c r="N458" t="s">
        <v>79</v>
      </c>
      <c r="O458" t="s">
        <v>74</v>
      </c>
      <c r="P458" t="s">
        <v>74</v>
      </c>
      <c r="Q458" t="s">
        <v>74</v>
      </c>
      <c r="R458" t="s">
        <v>74</v>
      </c>
      <c r="S458" t="s">
        <v>74</v>
      </c>
      <c r="T458" t="s">
        <v>8776</v>
      </c>
      <c r="U458" t="s">
        <v>8777</v>
      </c>
      <c r="V458" t="s">
        <v>8778</v>
      </c>
      <c r="W458" t="s">
        <v>8779</v>
      </c>
      <c r="X458" t="s">
        <v>8780</v>
      </c>
      <c r="Y458" t="s">
        <v>8781</v>
      </c>
      <c r="Z458" t="s">
        <v>8782</v>
      </c>
      <c r="AA458" t="s">
        <v>74</v>
      </c>
      <c r="AB458" t="s">
        <v>74</v>
      </c>
      <c r="AC458" t="s">
        <v>8783</v>
      </c>
      <c r="AD458" t="s">
        <v>8784</v>
      </c>
      <c r="AE458" t="s">
        <v>8785</v>
      </c>
      <c r="AF458" t="s">
        <v>74</v>
      </c>
      <c r="AG458">
        <v>71</v>
      </c>
      <c r="AH458">
        <v>2</v>
      </c>
      <c r="AI458">
        <v>2</v>
      </c>
      <c r="AJ458">
        <v>2</v>
      </c>
      <c r="AK458">
        <v>4</v>
      </c>
      <c r="AL458" t="s">
        <v>448</v>
      </c>
      <c r="AM458" t="s">
        <v>449</v>
      </c>
      <c r="AN458" t="s">
        <v>450</v>
      </c>
      <c r="AO458" t="s">
        <v>74</v>
      </c>
      <c r="AP458" t="s">
        <v>7115</v>
      </c>
      <c r="AQ458" t="s">
        <v>74</v>
      </c>
      <c r="AR458" t="s">
        <v>7116</v>
      </c>
      <c r="AS458" t="s">
        <v>7117</v>
      </c>
      <c r="AT458" t="s">
        <v>8786</v>
      </c>
      <c r="AU458">
        <v>2022</v>
      </c>
      <c r="AV458">
        <v>9</v>
      </c>
      <c r="AW458" t="s">
        <v>74</v>
      </c>
      <c r="AX458" t="s">
        <v>74</v>
      </c>
      <c r="AY458" t="s">
        <v>74</v>
      </c>
      <c r="AZ458" t="s">
        <v>74</v>
      </c>
      <c r="BA458" t="s">
        <v>74</v>
      </c>
      <c r="BB458" t="s">
        <v>74</v>
      </c>
      <c r="BC458" t="s">
        <v>74</v>
      </c>
      <c r="BD458">
        <v>1009385</v>
      </c>
      <c r="BE458" t="s">
        <v>8787</v>
      </c>
      <c r="BF458" t="str">
        <f>HYPERLINK("http://dx.doi.org/10.3389/fmars.2022.1009385","http://dx.doi.org/10.3389/fmars.2022.1009385")</f>
        <v>http://dx.doi.org/10.3389/fmars.2022.1009385</v>
      </c>
      <c r="BG458" t="s">
        <v>74</v>
      </c>
      <c r="BH458" t="s">
        <v>74</v>
      </c>
      <c r="BI458">
        <v>15</v>
      </c>
      <c r="BJ458" t="s">
        <v>6728</v>
      </c>
      <c r="BK458" t="s">
        <v>104</v>
      </c>
      <c r="BL458" t="s">
        <v>6729</v>
      </c>
      <c r="BM458" t="s">
        <v>8788</v>
      </c>
      <c r="BN458" t="s">
        <v>74</v>
      </c>
      <c r="BO458" t="s">
        <v>3181</v>
      </c>
      <c r="BP458" t="s">
        <v>74</v>
      </c>
      <c r="BQ458" t="s">
        <v>74</v>
      </c>
      <c r="BR458" t="s">
        <v>108</v>
      </c>
      <c r="BS458" t="s">
        <v>8789</v>
      </c>
      <c r="BT458" t="str">
        <f>HYPERLINK("https%3A%2F%2Fwww.webofscience.com%2Fwos%2Fwoscc%2Ffull-record%2FWOS:000902904400001","View Full Record in Web of Science")</f>
        <v>View Full Record in Web of Science</v>
      </c>
    </row>
    <row r="459" spans="1:72" x14ac:dyDescent="0.15">
      <c r="A459" t="s">
        <v>72</v>
      </c>
      <c r="B459" t="s">
        <v>8790</v>
      </c>
      <c r="C459" t="s">
        <v>74</v>
      </c>
      <c r="D459" t="s">
        <v>74</v>
      </c>
      <c r="E459" t="s">
        <v>74</v>
      </c>
      <c r="F459" t="s">
        <v>8791</v>
      </c>
      <c r="G459" t="s">
        <v>74</v>
      </c>
      <c r="H459" t="s">
        <v>74</v>
      </c>
      <c r="I459" t="s">
        <v>8792</v>
      </c>
      <c r="J459" t="s">
        <v>7998</v>
      </c>
      <c r="K459" t="s">
        <v>74</v>
      </c>
      <c r="L459" t="s">
        <v>74</v>
      </c>
      <c r="M459" t="s">
        <v>78</v>
      </c>
      <c r="N459" t="s">
        <v>256</v>
      </c>
      <c r="O459" t="s">
        <v>74</v>
      </c>
      <c r="P459" t="s">
        <v>74</v>
      </c>
      <c r="Q459" t="s">
        <v>74</v>
      </c>
      <c r="R459" t="s">
        <v>74</v>
      </c>
      <c r="S459" t="s">
        <v>74</v>
      </c>
      <c r="T459" t="s">
        <v>8793</v>
      </c>
      <c r="U459" t="s">
        <v>8794</v>
      </c>
      <c r="V459" t="s">
        <v>8795</v>
      </c>
      <c r="W459" t="s">
        <v>8796</v>
      </c>
      <c r="X459" t="s">
        <v>8797</v>
      </c>
      <c r="Y459" t="s">
        <v>8798</v>
      </c>
      <c r="Z459" t="s">
        <v>8799</v>
      </c>
      <c r="AA459" t="s">
        <v>74</v>
      </c>
      <c r="AB459" t="s">
        <v>8800</v>
      </c>
      <c r="AC459" t="s">
        <v>8801</v>
      </c>
      <c r="AD459" t="s">
        <v>8802</v>
      </c>
      <c r="AE459" t="s">
        <v>8803</v>
      </c>
      <c r="AF459" t="s">
        <v>74</v>
      </c>
      <c r="AG459">
        <v>72</v>
      </c>
      <c r="AH459">
        <v>1</v>
      </c>
      <c r="AI459">
        <v>1</v>
      </c>
      <c r="AJ459">
        <v>9</v>
      </c>
      <c r="AK459">
        <v>17</v>
      </c>
      <c r="AL459" t="s">
        <v>603</v>
      </c>
      <c r="AM459" t="s">
        <v>208</v>
      </c>
      <c r="AN459" t="s">
        <v>604</v>
      </c>
      <c r="AO459" t="s">
        <v>8011</v>
      </c>
      <c r="AP459" t="s">
        <v>8012</v>
      </c>
      <c r="AQ459" t="s">
        <v>74</v>
      </c>
      <c r="AR459" t="s">
        <v>8013</v>
      </c>
      <c r="AS459" t="s">
        <v>8014</v>
      </c>
      <c r="AT459" t="s">
        <v>276</v>
      </c>
      <c r="AU459">
        <v>2023</v>
      </c>
      <c r="AV459">
        <v>210</v>
      </c>
      <c r="AW459" t="s">
        <v>74</v>
      </c>
      <c r="AX459" t="s">
        <v>74</v>
      </c>
      <c r="AY459" t="s">
        <v>74</v>
      </c>
      <c r="AZ459" t="s">
        <v>74</v>
      </c>
      <c r="BA459" t="s">
        <v>74</v>
      </c>
      <c r="BB459" t="s">
        <v>74</v>
      </c>
      <c r="BC459" t="s">
        <v>74</v>
      </c>
      <c r="BD459">
        <v>102927</v>
      </c>
      <c r="BE459" t="s">
        <v>8804</v>
      </c>
      <c r="BF459" t="str">
        <f>HYPERLINK("http://dx.doi.org/10.1016/j.pocean.2022.102927","http://dx.doi.org/10.1016/j.pocean.2022.102927")</f>
        <v>http://dx.doi.org/10.1016/j.pocean.2022.102927</v>
      </c>
      <c r="BG459" t="s">
        <v>74</v>
      </c>
      <c r="BH459" t="s">
        <v>5796</v>
      </c>
      <c r="BI459">
        <v>10</v>
      </c>
      <c r="BJ459" t="s">
        <v>403</v>
      </c>
      <c r="BK459" t="s">
        <v>104</v>
      </c>
      <c r="BL459" t="s">
        <v>403</v>
      </c>
      <c r="BM459" t="s">
        <v>8805</v>
      </c>
      <c r="BN459" t="s">
        <v>74</v>
      </c>
      <c r="BO459" t="s">
        <v>219</v>
      </c>
      <c r="BP459" t="s">
        <v>74</v>
      </c>
      <c r="BQ459" t="s">
        <v>74</v>
      </c>
      <c r="BR459" t="s">
        <v>108</v>
      </c>
      <c r="BS459" t="s">
        <v>8806</v>
      </c>
      <c r="BT459" t="str">
        <f>HYPERLINK("https%3A%2F%2Fwww.webofscience.com%2Fwos%2Fwoscc%2Ffull-record%2FWOS:000895851700004","View Full Record in Web of Science")</f>
        <v>View Full Record in Web of Science</v>
      </c>
    </row>
    <row r="460" spans="1:72" x14ac:dyDescent="0.15">
      <c r="A460" t="s">
        <v>72</v>
      </c>
      <c r="B460" t="s">
        <v>8807</v>
      </c>
      <c r="C460" t="s">
        <v>74</v>
      </c>
      <c r="D460" t="s">
        <v>74</v>
      </c>
      <c r="E460" t="s">
        <v>74</v>
      </c>
      <c r="F460" t="s">
        <v>8808</v>
      </c>
      <c r="G460" t="s">
        <v>74</v>
      </c>
      <c r="H460" t="s">
        <v>74</v>
      </c>
      <c r="I460" t="s">
        <v>8809</v>
      </c>
      <c r="J460" t="s">
        <v>8810</v>
      </c>
      <c r="K460" t="s">
        <v>74</v>
      </c>
      <c r="L460" t="s">
        <v>74</v>
      </c>
      <c r="M460" t="s">
        <v>78</v>
      </c>
      <c r="N460" t="s">
        <v>79</v>
      </c>
      <c r="O460" t="s">
        <v>74</v>
      </c>
      <c r="P460" t="s">
        <v>74</v>
      </c>
      <c r="Q460" t="s">
        <v>74</v>
      </c>
      <c r="R460" t="s">
        <v>74</v>
      </c>
      <c r="S460" t="s">
        <v>74</v>
      </c>
      <c r="T460" t="s">
        <v>8811</v>
      </c>
      <c r="U460" t="s">
        <v>74</v>
      </c>
      <c r="V460" t="s">
        <v>74</v>
      </c>
      <c r="W460" t="s">
        <v>8812</v>
      </c>
      <c r="X460" t="s">
        <v>8813</v>
      </c>
      <c r="Y460" t="s">
        <v>8814</v>
      </c>
      <c r="Z460" t="s">
        <v>8815</v>
      </c>
      <c r="AA460" t="s">
        <v>8816</v>
      </c>
      <c r="AB460" t="s">
        <v>8817</v>
      </c>
      <c r="AC460" t="s">
        <v>8818</v>
      </c>
      <c r="AD460" t="s">
        <v>8819</v>
      </c>
      <c r="AE460" t="s">
        <v>8820</v>
      </c>
      <c r="AF460" t="s">
        <v>74</v>
      </c>
      <c r="AG460">
        <v>40</v>
      </c>
      <c r="AH460">
        <v>6</v>
      </c>
      <c r="AI460">
        <v>6</v>
      </c>
      <c r="AJ460">
        <v>5</v>
      </c>
      <c r="AK460">
        <v>7</v>
      </c>
      <c r="AL460" t="s">
        <v>237</v>
      </c>
      <c r="AM460" t="s">
        <v>238</v>
      </c>
      <c r="AN460" t="s">
        <v>239</v>
      </c>
      <c r="AO460" t="s">
        <v>8821</v>
      </c>
      <c r="AP460" t="s">
        <v>74</v>
      </c>
      <c r="AQ460" t="s">
        <v>74</v>
      </c>
      <c r="AR460" t="s">
        <v>8822</v>
      </c>
      <c r="AS460" t="s">
        <v>8823</v>
      </c>
      <c r="AT460" t="s">
        <v>99</v>
      </c>
      <c r="AU460">
        <v>2023</v>
      </c>
      <c r="AV460">
        <v>9</v>
      </c>
      <c r="AW460" t="s">
        <v>74</v>
      </c>
      <c r="AX460" t="s">
        <v>74</v>
      </c>
      <c r="AY460" t="s">
        <v>74</v>
      </c>
      <c r="AZ460" t="s">
        <v>74</v>
      </c>
      <c r="BA460" t="s">
        <v>74</v>
      </c>
      <c r="BB460" t="s">
        <v>74</v>
      </c>
      <c r="BC460" t="s">
        <v>74</v>
      </c>
      <c r="BD460">
        <v>100211</v>
      </c>
      <c r="BE460" t="s">
        <v>8824</v>
      </c>
      <c r="BF460" t="str">
        <f>HYPERLINK("http://dx.doi.org/10.1016/j.hazadv.2022.100211","http://dx.doi.org/10.1016/j.hazadv.2022.100211")</f>
        <v>http://dx.doi.org/10.1016/j.hazadv.2022.100211</v>
      </c>
      <c r="BG460" t="s">
        <v>74</v>
      </c>
      <c r="BH460" t="s">
        <v>5796</v>
      </c>
      <c r="BI460">
        <v>10</v>
      </c>
      <c r="BJ460" t="s">
        <v>7364</v>
      </c>
      <c r="BK460" t="s">
        <v>757</v>
      </c>
      <c r="BL460" t="s">
        <v>5758</v>
      </c>
      <c r="BM460" t="s">
        <v>8825</v>
      </c>
      <c r="BN460" t="s">
        <v>74</v>
      </c>
      <c r="BO460" t="s">
        <v>165</v>
      </c>
      <c r="BP460" t="s">
        <v>74</v>
      </c>
      <c r="BQ460" t="s">
        <v>74</v>
      </c>
      <c r="BR460" t="s">
        <v>108</v>
      </c>
      <c r="BS460" t="s">
        <v>8826</v>
      </c>
      <c r="BT460" t="str">
        <f>HYPERLINK("https%3A%2F%2Fwww.webofscience.com%2Fwos%2Fwoscc%2Ffull-record%2FWOS:001039212000001","View Full Record in Web of Science")</f>
        <v>View Full Record in Web of Science</v>
      </c>
    </row>
    <row r="461" spans="1:72" x14ac:dyDescent="0.15">
      <c r="A461" t="s">
        <v>72</v>
      </c>
      <c r="B461" t="s">
        <v>8827</v>
      </c>
      <c r="C461" t="s">
        <v>74</v>
      </c>
      <c r="D461" t="s">
        <v>74</v>
      </c>
      <c r="E461" t="s">
        <v>74</v>
      </c>
      <c r="F461" t="s">
        <v>8828</v>
      </c>
      <c r="G461" t="s">
        <v>74</v>
      </c>
      <c r="H461" t="s">
        <v>74</v>
      </c>
      <c r="I461" t="s">
        <v>8829</v>
      </c>
      <c r="J461" t="s">
        <v>170</v>
      </c>
      <c r="K461" t="s">
        <v>74</v>
      </c>
      <c r="L461" t="s">
        <v>74</v>
      </c>
      <c r="M461" t="s">
        <v>78</v>
      </c>
      <c r="N461" t="s">
        <v>79</v>
      </c>
      <c r="O461" t="s">
        <v>74</v>
      </c>
      <c r="P461" t="s">
        <v>74</v>
      </c>
      <c r="Q461" t="s">
        <v>74</v>
      </c>
      <c r="R461" t="s">
        <v>74</v>
      </c>
      <c r="S461" t="s">
        <v>74</v>
      </c>
      <c r="T461" t="s">
        <v>74</v>
      </c>
      <c r="U461" t="s">
        <v>8830</v>
      </c>
      <c r="V461" t="s">
        <v>8831</v>
      </c>
      <c r="W461" t="s">
        <v>8832</v>
      </c>
      <c r="X461" t="s">
        <v>8833</v>
      </c>
      <c r="Y461" t="s">
        <v>8834</v>
      </c>
      <c r="Z461" t="s">
        <v>8835</v>
      </c>
      <c r="AA461" t="s">
        <v>8836</v>
      </c>
      <c r="AB461" t="s">
        <v>8837</v>
      </c>
      <c r="AC461" t="s">
        <v>8838</v>
      </c>
      <c r="AD461" t="s">
        <v>8839</v>
      </c>
      <c r="AE461" t="s">
        <v>8840</v>
      </c>
      <c r="AF461" t="s">
        <v>74</v>
      </c>
      <c r="AG461">
        <v>47</v>
      </c>
      <c r="AH461">
        <v>0</v>
      </c>
      <c r="AI461">
        <v>0</v>
      </c>
      <c r="AJ461">
        <v>0</v>
      </c>
      <c r="AK461">
        <v>5</v>
      </c>
      <c r="AL461" t="s">
        <v>182</v>
      </c>
      <c r="AM461" t="s">
        <v>183</v>
      </c>
      <c r="AN461" t="s">
        <v>184</v>
      </c>
      <c r="AO461" t="s">
        <v>185</v>
      </c>
      <c r="AP461" t="s">
        <v>74</v>
      </c>
      <c r="AQ461" t="s">
        <v>74</v>
      </c>
      <c r="AR461" t="s">
        <v>186</v>
      </c>
      <c r="AS461" t="s">
        <v>187</v>
      </c>
      <c r="AT461" t="s">
        <v>8841</v>
      </c>
      <c r="AU461">
        <v>2022</v>
      </c>
      <c r="AV461">
        <v>12</v>
      </c>
      <c r="AW461">
        <v>1</v>
      </c>
      <c r="AX461" t="s">
        <v>74</v>
      </c>
      <c r="AY461" t="s">
        <v>74</v>
      </c>
      <c r="AZ461" t="s">
        <v>74</v>
      </c>
      <c r="BA461" t="s">
        <v>74</v>
      </c>
      <c r="BB461" t="s">
        <v>74</v>
      </c>
      <c r="BC461" t="s">
        <v>74</v>
      </c>
      <c r="BD461" t="s">
        <v>74</v>
      </c>
      <c r="BE461" t="s">
        <v>8842</v>
      </c>
      <c r="BF461" t="str">
        <f>HYPERLINK("http://dx.doi.org/10.1038/s41598-022-25115-3","http://dx.doi.org/10.1038/s41598-022-25115-3")</f>
        <v>http://dx.doi.org/10.1038/s41598-022-25115-3</v>
      </c>
      <c r="BG461" t="s">
        <v>74</v>
      </c>
      <c r="BH461" t="s">
        <v>74</v>
      </c>
      <c r="BI461">
        <v>12</v>
      </c>
      <c r="BJ461" t="s">
        <v>189</v>
      </c>
      <c r="BK461" t="s">
        <v>104</v>
      </c>
      <c r="BL461" t="s">
        <v>190</v>
      </c>
      <c r="BM461" t="s">
        <v>8843</v>
      </c>
      <c r="BN461">
        <v>36481782</v>
      </c>
      <c r="BO461" t="s">
        <v>3181</v>
      </c>
      <c r="BP461" t="s">
        <v>74</v>
      </c>
      <c r="BQ461" t="s">
        <v>74</v>
      </c>
      <c r="BR461" t="s">
        <v>108</v>
      </c>
      <c r="BS461" t="s">
        <v>8844</v>
      </c>
      <c r="BT461" t="str">
        <f>HYPERLINK("https%3A%2F%2Fwww.webofscience.com%2Fwos%2Fwoscc%2Ffull-record%2FWOS:000992275200043","View Full Record in Web of Science")</f>
        <v>View Full Record in Web of Science</v>
      </c>
    </row>
    <row r="462" spans="1:72" x14ac:dyDescent="0.15">
      <c r="A462" t="s">
        <v>72</v>
      </c>
      <c r="B462" t="s">
        <v>8845</v>
      </c>
      <c r="C462" t="s">
        <v>74</v>
      </c>
      <c r="D462" t="s">
        <v>74</v>
      </c>
      <c r="E462" t="s">
        <v>74</v>
      </c>
      <c r="F462" t="s">
        <v>8846</v>
      </c>
      <c r="G462" t="s">
        <v>74</v>
      </c>
      <c r="H462" t="s">
        <v>74</v>
      </c>
      <c r="I462" t="s">
        <v>8847</v>
      </c>
      <c r="J462" t="s">
        <v>170</v>
      </c>
      <c r="K462" t="s">
        <v>74</v>
      </c>
      <c r="L462" t="s">
        <v>74</v>
      </c>
      <c r="M462" t="s">
        <v>78</v>
      </c>
      <c r="N462" t="s">
        <v>79</v>
      </c>
      <c r="O462" t="s">
        <v>74</v>
      </c>
      <c r="P462" t="s">
        <v>74</v>
      </c>
      <c r="Q462" t="s">
        <v>74</v>
      </c>
      <c r="R462" t="s">
        <v>74</v>
      </c>
      <c r="S462" t="s">
        <v>74</v>
      </c>
      <c r="T462" t="s">
        <v>74</v>
      </c>
      <c r="U462" t="s">
        <v>8848</v>
      </c>
      <c r="V462" t="s">
        <v>8849</v>
      </c>
      <c r="W462" t="s">
        <v>8850</v>
      </c>
      <c r="X462" t="s">
        <v>8851</v>
      </c>
      <c r="Y462" t="s">
        <v>8852</v>
      </c>
      <c r="Z462" t="s">
        <v>8853</v>
      </c>
      <c r="AA462" t="s">
        <v>74</v>
      </c>
      <c r="AB462" t="s">
        <v>74</v>
      </c>
      <c r="AC462" t="s">
        <v>8854</v>
      </c>
      <c r="AD462" t="s">
        <v>8855</v>
      </c>
      <c r="AE462" t="s">
        <v>8856</v>
      </c>
      <c r="AF462" t="s">
        <v>74</v>
      </c>
      <c r="AG462">
        <v>17</v>
      </c>
      <c r="AH462">
        <v>1</v>
      </c>
      <c r="AI462">
        <v>1</v>
      </c>
      <c r="AJ462">
        <v>1</v>
      </c>
      <c r="AK462">
        <v>3</v>
      </c>
      <c r="AL462" t="s">
        <v>182</v>
      </c>
      <c r="AM462" t="s">
        <v>183</v>
      </c>
      <c r="AN462" t="s">
        <v>184</v>
      </c>
      <c r="AO462" t="s">
        <v>185</v>
      </c>
      <c r="AP462" t="s">
        <v>74</v>
      </c>
      <c r="AQ462" t="s">
        <v>74</v>
      </c>
      <c r="AR462" t="s">
        <v>186</v>
      </c>
      <c r="AS462" t="s">
        <v>187</v>
      </c>
      <c r="AT462" t="s">
        <v>8841</v>
      </c>
      <c r="AU462">
        <v>2022</v>
      </c>
      <c r="AV462">
        <v>12</v>
      </c>
      <c r="AW462">
        <v>1</v>
      </c>
      <c r="AX462" t="s">
        <v>74</v>
      </c>
      <c r="AY462" t="s">
        <v>74</v>
      </c>
      <c r="AZ462" t="s">
        <v>74</v>
      </c>
      <c r="BA462" t="s">
        <v>74</v>
      </c>
      <c r="BB462" t="s">
        <v>74</v>
      </c>
      <c r="BC462" t="s">
        <v>74</v>
      </c>
      <c r="BD462" t="s">
        <v>74</v>
      </c>
      <c r="BE462" t="s">
        <v>8857</v>
      </c>
      <c r="BF462" t="str">
        <f>HYPERLINK("http://dx.doi.org/10.1038/s41598-022-25661-w","http://dx.doi.org/10.1038/s41598-022-25661-w")</f>
        <v>http://dx.doi.org/10.1038/s41598-022-25661-w</v>
      </c>
      <c r="BG462" t="s">
        <v>74</v>
      </c>
      <c r="BH462" t="s">
        <v>74</v>
      </c>
      <c r="BI462">
        <v>8</v>
      </c>
      <c r="BJ462" t="s">
        <v>189</v>
      </c>
      <c r="BK462" t="s">
        <v>104</v>
      </c>
      <c r="BL462" t="s">
        <v>190</v>
      </c>
      <c r="BM462" t="s">
        <v>8843</v>
      </c>
      <c r="BN462">
        <v>36482063</v>
      </c>
      <c r="BO462" t="s">
        <v>3181</v>
      </c>
      <c r="BP462" t="s">
        <v>74</v>
      </c>
      <c r="BQ462" t="s">
        <v>74</v>
      </c>
      <c r="BR462" t="s">
        <v>108</v>
      </c>
      <c r="BS462" t="s">
        <v>8858</v>
      </c>
      <c r="BT462" t="str">
        <f>HYPERLINK("https%3A%2F%2Fwww.webofscience.com%2Fwos%2Fwoscc%2Ffull-record%2FWOS:000992275200007","View Full Record in Web of Science")</f>
        <v>View Full Record in Web of Science</v>
      </c>
    </row>
    <row r="463" spans="1:72" x14ac:dyDescent="0.15">
      <c r="A463" t="s">
        <v>72</v>
      </c>
      <c r="B463" t="s">
        <v>8859</v>
      </c>
      <c r="C463" t="s">
        <v>74</v>
      </c>
      <c r="D463" t="s">
        <v>74</v>
      </c>
      <c r="E463" t="s">
        <v>74</v>
      </c>
      <c r="F463" t="s">
        <v>8860</v>
      </c>
      <c r="G463" t="s">
        <v>74</v>
      </c>
      <c r="H463" t="s">
        <v>74</v>
      </c>
      <c r="I463" t="s">
        <v>8861</v>
      </c>
      <c r="J463" t="s">
        <v>7370</v>
      </c>
      <c r="K463" t="s">
        <v>74</v>
      </c>
      <c r="L463" t="s">
        <v>74</v>
      </c>
      <c r="M463" t="s">
        <v>78</v>
      </c>
      <c r="N463" t="s">
        <v>79</v>
      </c>
      <c r="O463" t="s">
        <v>74</v>
      </c>
      <c r="P463" t="s">
        <v>74</v>
      </c>
      <c r="Q463" t="s">
        <v>74</v>
      </c>
      <c r="R463" t="s">
        <v>74</v>
      </c>
      <c r="S463" t="s">
        <v>74</v>
      </c>
      <c r="T463" t="s">
        <v>74</v>
      </c>
      <c r="U463" t="s">
        <v>8862</v>
      </c>
      <c r="V463" t="s">
        <v>8863</v>
      </c>
      <c r="W463" t="s">
        <v>8864</v>
      </c>
      <c r="X463" t="s">
        <v>8865</v>
      </c>
      <c r="Y463" t="s">
        <v>8866</v>
      </c>
      <c r="Z463" t="s">
        <v>8867</v>
      </c>
      <c r="AA463" t="s">
        <v>74</v>
      </c>
      <c r="AB463" t="s">
        <v>8868</v>
      </c>
      <c r="AC463" t="s">
        <v>8869</v>
      </c>
      <c r="AD463" t="s">
        <v>8870</v>
      </c>
      <c r="AE463" t="s">
        <v>8871</v>
      </c>
      <c r="AF463" t="s">
        <v>74</v>
      </c>
      <c r="AG463">
        <v>61</v>
      </c>
      <c r="AH463">
        <v>1</v>
      </c>
      <c r="AI463">
        <v>2</v>
      </c>
      <c r="AJ463">
        <v>4</v>
      </c>
      <c r="AK463">
        <v>21</v>
      </c>
      <c r="AL463" t="s">
        <v>182</v>
      </c>
      <c r="AM463" t="s">
        <v>183</v>
      </c>
      <c r="AN463" t="s">
        <v>184</v>
      </c>
      <c r="AO463" t="s">
        <v>7382</v>
      </c>
      <c r="AP463" t="s">
        <v>7383</v>
      </c>
      <c r="AQ463" t="s">
        <v>74</v>
      </c>
      <c r="AR463" t="s">
        <v>7384</v>
      </c>
      <c r="AS463" t="s">
        <v>7385</v>
      </c>
      <c r="AT463" t="s">
        <v>276</v>
      </c>
      <c r="AU463">
        <v>2023</v>
      </c>
      <c r="AV463">
        <v>16</v>
      </c>
      <c r="AW463">
        <v>1</v>
      </c>
      <c r="AX463" t="s">
        <v>74</v>
      </c>
      <c r="AY463" t="s">
        <v>74</v>
      </c>
      <c r="AZ463" t="s">
        <v>74</v>
      </c>
      <c r="BA463" t="s">
        <v>74</v>
      </c>
      <c r="BB463">
        <v>50</v>
      </c>
      <c r="BC463" t="s">
        <v>351</v>
      </c>
      <c r="BD463" t="s">
        <v>74</v>
      </c>
      <c r="BE463" t="s">
        <v>8872</v>
      </c>
      <c r="BF463" t="str">
        <f>HYPERLINK("http://dx.doi.org/10.1038/s41561-022-01095-x","http://dx.doi.org/10.1038/s41561-022-01095-x")</f>
        <v>http://dx.doi.org/10.1038/s41561-022-01095-x</v>
      </c>
      <c r="BG463" t="s">
        <v>74</v>
      </c>
      <c r="BH463" t="s">
        <v>5796</v>
      </c>
      <c r="BI463">
        <v>19</v>
      </c>
      <c r="BJ463" t="s">
        <v>455</v>
      </c>
      <c r="BK463" t="s">
        <v>104</v>
      </c>
      <c r="BL463" t="s">
        <v>456</v>
      </c>
      <c r="BM463" t="s">
        <v>7387</v>
      </c>
      <c r="BN463" t="s">
        <v>74</v>
      </c>
      <c r="BO463" t="s">
        <v>74</v>
      </c>
      <c r="BP463" t="s">
        <v>74</v>
      </c>
      <c r="BQ463" t="s">
        <v>74</v>
      </c>
      <c r="BR463" t="s">
        <v>108</v>
      </c>
      <c r="BS463" t="s">
        <v>8873</v>
      </c>
      <c r="BT463" t="str">
        <f>HYPERLINK("https%3A%2F%2Fwww.webofscience.com%2Fwos%2Fwoscc%2Ffull-record%2FWOS:000895640200001","View Full Record in Web of Science")</f>
        <v>View Full Record in Web of Science</v>
      </c>
    </row>
    <row r="464" spans="1:72" x14ac:dyDescent="0.15">
      <c r="A464" t="s">
        <v>72</v>
      </c>
      <c r="B464" t="s">
        <v>8874</v>
      </c>
      <c r="C464" t="s">
        <v>74</v>
      </c>
      <c r="D464" t="s">
        <v>74</v>
      </c>
      <c r="E464" t="s">
        <v>74</v>
      </c>
      <c r="F464" t="s">
        <v>8875</v>
      </c>
      <c r="G464" t="s">
        <v>74</v>
      </c>
      <c r="H464" t="s">
        <v>74</v>
      </c>
      <c r="I464" t="s">
        <v>8876</v>
      </c>
      <c r="J464" t="s">
        <v>8877</v>
      </c>
      <c r="K464" t="s">
        <v>74</v>
      </c>
      <c r="L464" t="s">
        <v>74</v>
      </c>
      <c r="M464" t="s">
        <v>78</v>
      </c>
      <c r="N464" t="s">
        <v>79</v>
      </c>
      <c r="O464" t="s">
        <v>74</v>
      </c>
      <c r="P464" t="s">
        <v>74</v>
      </c>
      <c r="Q464" t="s">
        <v>74</v>
      </c>
      <c r="R464" t="s">
        <v>74</v>
      </c>
      <c r="S464" t="s">
        <v>74</v>
      </c>
      <c r="T464" t="s">
        <v>8878</v>
      </c>
      <c r="U464" t="s">
        <v>8879</v>
      </c>
      <c r="V464" t="s">
        <v>8880</v>
      </c>
      <c r="W464" t="s">
        <v>8881</v>
      </c>
      <c r="X464" t="s">
        <v>8882</v>
      </c>
      <c r="Y464" t="s">
        <v>8883</v>
      </c>
      <c r="Z464" t="s">
        <v>8884</v>
      </c>
      <c r="AA464" t="s">
        <v>74</v>
      </c>
      <c r="AB464" t="s">
        <v>8885</v>
      </c>
      <c r="AC464" t="s">
        <v>8886</v>
      </c>
      <c r="AD464" t="s">
        <v>5478</v>
      </c>
      <c r="AE464" t="s">
        <v>8887</v>
      </c>
      <c r="AF464" t="s">
        <v>74</v>
      </c>
      <c r="AG464">
        <v>74</v>
      </c>
      <c r="AH464">
        <v>2</v>
      </c>
      <c r="AI464">
        <v>3</v>
      </c>
      <c r="AJ464">
        <v>4</v>
      </c>
      <c r="AK464">
        <v>7</v>
      </c>
      <c r="AL464" t="s">
        <v>8888</v>
      </c>
      <c r="AM464" t="s">
        <v>8889</v>
      </c>
      <c r="AN464" t="s">
        <v>8890</v>
      </c>
      <c r="AO464" t="s">
        <v>8891</v>
      </c>
      <c r="AP464" t="s">
        <v>8892</v>
      </c>
      <c r="AQ464" t="s">
        <v>74</v>
      </c>
      <c r="AR464" t="s">
        <v>8893</v>
      </c>
      <c r="AS464" t="s">
        <v>8894</v>
      </c>
      <c r="AT464" t="s">
        <v>8841</v>
      </c>
      <c r="AU464">
        <v>2022</v>
      </c>
      <c r="AV464">
        <v>702</v>
      </c>
      <c r="AW464" t="s">
        <v>74</v>
      </c>
      <c r="AX464" t="s">
        <v>74</v>
      </c>
      <c r="AY464" t="s">
        <v>74</v>
      </c>
      <c r="AZ464" t="s">
        <v>74</v>
      </c>
      <c r="BA464" t="s">
        <v>74</v>
      </c>
      <c r="BB464">
        <v>105</v>
      </c>
      <c r="BC464">
        <v>122</v>
      </c>
      <c r="BD464" t="s">
        <v>74</v>
      </c>
      <c r="BE464" t="s">
        <v>8895</v>
      </c>
      <c r="BF464" t="str">
        <f>HYPERLINK("http://dx.doi.org/10.3354/meps14211","http://dx.doi.org/10.3354/meps14211")</f>
        <v>http://dx.doi.org/10.3354/meps14211</v>
      </c>
      <c r="BG464" t="s">
        <v>74</v>
      </c>
      <c r="BH464" t="s">
        <v>74</v>
      </c>
      <c r="BI464">
        <v>18</v>
      </c>
      <c r="BJ464" t="s">
        <v>8896</v>
      </c>
      <c r="BK464" t="s">
        <v>104</v>
      </c>
      <c r="BL464" t="s">
        <v>8897</v>
      </c>
      <c r="BM464" t="s">
        <v>8898</v>
      </c>
      <c r="BN464" t="s">
        <v>74</v>
      </c>
      <c r="BO464" t="s">
        <v>107</v>
      </c>
      <c r="BP464" t="s">
        <v>74</v>
      </c>
      <c r="BQ464" t="s">
        <v>74</v>
      </c>
      <c r="BR464" t="s">
        <v>108</v>
      </c>
      <c r="BS464" t="s">
        <v>8899</v>
      </c>
      <c r="BT464" t="str">
        <f>HYPERLINK("https%3A%2F%2Fwww.webofscience.com%2Fwos%2Fwoscc%2Ffull-record%2FWOS:000893296600007","View Full Record in Web of Science")</f>
        <v>View Full Record in Web of Science</v>
      </c>
    </row>
    <row r="465" spans="1:72" x14ac:dyDescent="0.15">
      <c r="A465" t="s">
        <v>72</v>
      </c>
      <c r="B465" t="s">
        <v>8900</v>
      </c>
      <c r="C465" t="s">
        <v>74</v>
      </c>
      <c r="D465" t="s">
        <v>74</v>
      </c>
      <c r="E465" t="s">
        <v>74</v>
      </c>
      <c r="F465" t="s">
        <v>8901</v>
      </c>
      <c r="G465" t="s">
        <v>74</v>
      </c>
      <c r="H465" t="s">
        <v>74</v>
      </c>
      <c r="I465" t="s">
        <v>8902</v>
      </c>
      <c r="J465" t="s">
        <v>8668</v>
      </c>
      <c r="K465" t="s">
        <v>74</v>
      </c>
      <c r="L465" t="s">
        <v>74</v>
      </c>
      <c r="M465" t="s">
        <v>78</v>
      </c>
      <c r="N465" t="s">
        <v>79</v>
      </c>
      <c r="O465" t="s">
        <v>74</v>
      </c>
      <c r="P465" t="s">
        <v>74</v>
      </c>
      <c r="Q465" t="s">
        <v>74</v>
      </c>
      <c r="R465" t="s">
        <v>74</v>
      </c>
      <c r="S465" t="s">
        <v>74</v>
      </c>
      <c r="T465" t="s">
        <v>74</v>
      </c>
      <c r="U465" t="s">
        <v>8903</v>
      </c>
      <c r="V465" t="s">
        <v>8904</v>
      </c>
      <c r="W465" t="s">
        <v>8905</v>
      </c>
      <c r="X465" t="s">
        <v>8906</v>
      </c>
      <c r="Y465" t="s">
        <v>8907</v>
      </c>
      <c r="Z465" t="s">
        <v>8908</v>
      </c>
      <c r="AA465" t="s">
        <v>74</v>
      </c>
      <c r="AB465" t="s">
        <v>8909</v>
      </c>
      <c r="AC465" t="s">
        <v>8910</v>
      </c>
      <c r="AD465" t="s">
        <v>8911</v>
      </c>
      <c r="AE465" t="s">
        <v>8912</v>
      </c>
      <c r="AF465" t="s">
        <v>74</v>
      </c>
      <c r="AG465">
        <v>34</v>
      </c>
      <c r="AH465">
        <v>1</v>
      </c>
      <c r="AI465">
        <v>1</v>
      </c>
      <c r="AJ465">
        <v>0</v>
      </c>
      <c r="AK465">
        <v>1</v>
      </c>
      <c r="AL465" t="s">
        <v>297</v>
      </c>
      <c r="AM465" t="s">
        <v>298</v>
      </c>
      <c r="AN465" t="s">
        <v>299</v>
      </c>
      <c r="AO465" t="s">
        <v>8680</v>
      </c>
      <c r="AP465" t="s">
        <v>8681</v>
      </c>
      <c r="AQ465" t="s">
        <v>74</v>
      </c>
      <c r="AR465" t="s">
        <v>8682</v>
      </c>
      <c r="AS465" t="s">
        <v>8683</v>
      </c>
      <c r="AT465" t="s">
        <v>276</v>
      </c>
      <c r="AU465">
        <v>2023</v>
      </c>
      <c r="AV465">
        <v>58</v>
      </c>
      <c r="AW465">
        <v>1</v>
      </c>
      <c r="AX465" t="s">
        <v>74</v>
      </c>
      <c r="AY465" t="s">
        <v>74</v>
      </c>
      <c r="AZ465" t="s">
        <v>74</v>
      </c>
      <c r="BA465" t="s">
        <v>74</v>
      </c>
      <c r="BB465">
        <v>25</v>
      </c>
      <c r="BC465">
        <v>40</v>
      </c>
      <c r="BD465" t="s">
        <v>74</v>
      </c>
      <c r="BE465" t="s">
        <v>8913</v>
      </c>
      <c r="BF465" t="str">
        <f>HYPERLINK("http://dx.doi.org/10.1111/maps.13932","http://dx.doi.org/10.1111/maps.13932")</f>
        <v>http://dx.doi.org/10.1111/maps.13932</v>
      </c>
      <c r="BG465" t="s">
        <v>74</v>
      </c>
      <c r="BH465" t="s">
        <v>5796</v>
      </c>
      <c r="BI465">
        <v>16</v>
      </c>
      <c r="BJ465" t="s">
        <v>430</v>
      </c>
      <c r="BK465" t="s">
        <v>104</v>
      </c>
      <c r="BL465" t="s">
        <v>430</v>
      </c>
      <c r="BM465" t="s">
        <v>8685</v>
      </c>
      <c r="BN465" t="s">
        <v>74</v>
      </c>
      <c r="BO465" t="s">
        <v>660</v>
      </c>
      <c r="BP465" t="s">
        <v>74</v>
      </c>
      <c r="BQ465" t="s">
        <v>74</v>
      </c>
      <c r="BR465" t="s">
        <v>108</v>
      </c>
      <c r="BS465" t="s">
        <v>8914</v>
      </c>
      <c r="BT465" t="str">
        <f>HYPERLINK("https%3A%2F%2Fwww.webofscience.com%2Fwos%2Fwoscc%2Ffull-record%2FWOS:000894178700001","View Full Record in Web of Science")</f>
        <v>View Full Record in Web of Science</v>
      </c>
    </row>
    <row r="466" spans="1:72" x14ac:dyDescent="0.15">
      <c r="A466" t="s">
        <v>72</v>
      </c>
      <c r="B466" t="s">
        <v>8915</v>
      </c>
      <c r="C466" t="s">
        <v>74</v>
      </c>
      <c r="D466" t="s">
        <v>74</v>
      </c>
      <c r="E466" t="s">
        <v>74</v>
      </c>
      <c r="F466" t="s">
        <v>8916</v>
      </c>
      <c r="G466" t="s">
        <v>74</v>
      </c>
      <c r="H466" t="s">
        <v>74</v>
      </c>
      <c r="I466" t="s">
        <v>8917</v>
      </c>
      <c r="J466" t="s">
        <v>7410</v>
      </c>
      <c r="K466" t="s">
        <v>74</v>
      </c>
      <c r="L466" t="s">
        <v>74</v>
      </c>
      <c r="M466" t="s">
        <v>78</v>
      </c>
      <c r="N466" t="s">
        <v>79</v>
      </c>
      <c r="O466" t="s">
        <v>74</v>
      </c>
      <c r="P466" t="s">
        <v>74</v>
      </c>
      <c r="Q466" t="s">
        <v>74</v>
      </c>
      <c r="R466" t="s">
        <v>74</v>
      </c>
      <c r="S466" t="s">
        <v>74</v>
      </c>
      <c r="T466" t="s">
        <v>74</v>
      </c>
      <c r="U466" t="s">
        <v>8918</v>
      </c>
      <c r="V466" t="s">
        <v>8919</v>
      </c>
      <c r="W466" t="s">
        <v>8920</v>
      </c>
      <c r="X466" t="s">
        <v>8921</v>
      </c>
      <c r="Y466" t="s">
        <v>8922</v>
      </c>
      <c r="Z466" t="s">
        <v>8923</v>
      </c>
      <c r="AA466" t="s">
        <v>8924</v>
      </c>
      <c r="AB466" t="s">
        <v>8925</v>
      </c>
      <c r="AC466" t="s">
        <v>8926</v>
      </c>
      <c r="AD466" t="s">
        <v>8927</v>
      </c>
      <c r="AE466" t="s">
        <v>8928</v>
      </c>
      <c r="AF466" t="s">
        <v>74</v>
      </c>
      <c r="AG466">
        <v>76</v>
      </c>
      <c r="AH466">
        <v>5</v>
      </c>
      <c r="AI466">
        <v>6</v>
      </c>
      <c r="AJ466">
        <v>7</v>
      </c>
      <c r="AK466">
        <v>13</v>
      </c>
      <c r="AL466" t="s">
        <v>182</v>
      </c>
      <c r="AM466" t="s">
        <v>183</v>
      </c>
      <c r="AN466" t="s">
        <v>184</v>
      </c>
      <c r="AO466" t="s">
        <v>74</v>
      </c>
      <c r="AP466" t="s">
        <v>7422</v>
      </c>
      <c r="AQ466" t="s">
        <v>74</v>
      </c>
      <c r="AR466" t="s">
        <v>7423</v>
      </c>
      <c r="AS466" t="s">
        <v>7424</v>
      </c>
      <c r="AT466" t="s">
        <v>8929</v>
      </c>
      <c r="AU466">
        <v>2022</v>
      </c>
      <c r="AV466">
        <v>13</v>
      </c>
      <c r="AW466">
        <v>1</v>
      </c>
      <c r="AX466" t="s">
        <v>74</v>
      </c>
      <c r="AY466" t="s">
        <v>74</v>
      </c>
      <c r="AZ466" t="s">
        <v>74</v>
      </c>
      <c r="BA466" t="s">
        <v>74</v>
      </c>
      <c r="BB466" t="s">
        <v>74</v>
      </c>
      <c r="BC466" t="s">
        <v>74</v>
      </c>
      <c r="BD466">
        <v>7561</v>
      </c>
      <c r="BE466" t="s">
        <v>8930</v>
      </c>
      <c r="BF466" t="str">
        <f>HYPERLINK("http://dx.doi.org/10.1038/s41467-022-35145-0","http://dx.doi.org/10.1038/s41467-022-35145-0")</f>
        <v>http://dx.doi.org/10.1038/s41467-022-35145-0</v>
      </c>
      <c r="BG466" t="s">
        <v>74</v>
      </c>
      <c r="BH466" t="s">
        <v>74</v>
      </c>
      <c r="BI466">
        <v>13</v>
      </c>
      <c r="BJ466" t="s">
        <v>189</v>
      </c>
      <c r="BK466" t="s">
        <v>104</v>
      </c>
      <c r="BL466" t="s">
        <v>190</v>
      </c>
      <c r="BM466" t="s">
        <v>8931</v>
      </c>
      <c r="BN466">
        <v>36476471</v>
      </c>
      <c r="BO466" t="s">
        <v>192</v>
      </c>
      <c r="BP466" t="s">
        <v>74</v>
      </c>
      <c r="BQ466" t="s">
        <v>74</v>
      </c>
      <c r="BR466" t="s">
        <v>108</v>
      </c>
      <c r="BS466" t="s">
        <v>8932</v>
      </c>
      <c r="BT466" t="str">
        <f>HYPERLINK("https%3A%2F%2Fwww.webofscience.com%2Fwos%2Fwoscc%2Ffull-record%2FWOS:000965234900037","View Full Record in Web of Science")</f>
        <v>View Full Record in Web of Science</v>
      </c>
    </row>
    <row r="467" spans="1:72" x14ac:dyDescent="0.15">
      <c r="A467" t="s">
        <v>72</v>
      </c>
      <c r="B467" t="s">
        <v>8933</v>
      </c>
      <c r="C467" t="s">
        <v>74</v>
      </c>
      <c r="D467" t="s">
        <v>74</v>
      </c>
      <c r="E467" t="s">
        <v>74</v>
      </c>
      <c r="F467" t="s">
        <v>8934</v>
      </c>
      <c r="G467" t="s">
        <v>74</v>
      </c>
      <c r="H467" t="s">
        <v>74</v>
      </c>
      <c r="I467" t="s">
        <v>8935</v>
      </c>
      <c r="J467" t="s">
        <v>8936</v>
      </c>
      <c r="K467" t="s">
        <v>74</v>
      </c>
      <c r="L467" t="s">
        <v>74</v>
      </c>
      <c r="M467" t="s">
        <v>78</v>
      </c>
      <c r="N467" t="s">
        <v>79</v>
      </c>
      <c r="O467" t="s">
        <v>74</v>
      </c>
      <c r="P467" t="s">
        <v>74</v>
      </c>
      <c r="Q467" t="s">
        <v>74</v>
      </c>
      <c r="R467" t="s">
        <v>74</v>
      </c>
      <c r="S467" t="s">
        <v>74</v>
      </c>
      <c r="T467" t="s">
        <v>8937</v>
      </c>
      <c r="U467" t="s">
        <v>8938</v>
      </c>
      <c r="V467" t="s">
        <v>8939</v>
      </c>
      <c r="W467" t="s">
        <v>8940</v>
      </c>
      <c r="X467" t="s">
        <v>8941</v>
      </c>
      <c r="Y467" t="s">
        <v>8942</v>
      </c>
      <c r="Z467" t="s">
        <v>8943</v>
      </c>
      <c r="AA467" t="s">
        <v>74</v>
      </c>
      <c r="AB467" t="s">
        <v>74</v>
      </c>
      <c r="AC467" t="s">
        <v>8944</v>
      </c>
      <c r="AD467" t="s">
        <v>8944</v>
      </c>
      <c r="AE467" t="s">
        <v>8945</v>
      </c>
      <c r="AF467" t="s">
        <v>74</v>
      </c>
      <c r="AG467">
        <v>59</v>
      </c>
      <c r="AH467">
        <v>2</v>
      </c>
      <c r="AI467">
        <v>2</v>
      </c>
      <c r="AJ467">
        <v>4</v>
      </c>
      <c r="AK467">
        <v>5</v>
      </c>
      <c r="AL467" t="s">
        <v>297</v>
      </c>
      <c r="AM467" t="s">
        <v>298</v>
      </c>
      <c r="AN467" t="s">
        <v>299</v>
      </c>
      <c r="AO467" t="s">
        <v>8946</v>
      </c>
      <c r="AP467" t="s">
        <v>8947</v>
      </c>
      <c r="AQ467" t="s">
        <v>74</v>
      </c>
      <c r="AR467" t="s">
        <v>8948</v>
      </c>
      <c r="AS467" t="s">
        <v>8949</v>
      </c>
      <c r="AT467" t="s">
        <v>276</v>
      </c>
      <c r="AU467">
        <v>2024</v>
      </c>
      <c r="AV467">
        <v>49</v>
      </c>
      <c r="AW467">
        <v>1</v>
      </c>
      <c r="AX467" t="s">
        <v>74</v>
      </c>
      <c r="AY467" t="s">
        <v>74</v>
      </c>
      <c r="AZ467" t="s">
        <v>74</v>
      </c>
      <c r="BA467" t="s">
        <v>74</v>
      </c>
      <c r="BB467" t="s">
        <v>74</v>
      </c>
      <c r="BC467" t="s">
        <v>74</v>
      </c>
      <c r="BD467" t="s">
        <v>74</v>
      </c>
      <c r="BE467" t="s">
        <v>8950</v>
      </c>
      <c r="BF467" t="str">
        <f>HYPERLINK("http://dx.doi.org/10.1111/aec.13269","http://dx.doi.org/10.1111/aec.13269")</f>
        <v>http://dx.doi.org/10.1111/aec.13269</v>
      </c>
      <c r="BG467" t="s">
        <v>74</v>
      </c>
      <c r="BH467" t="s">
        <v>5796</v>
      </c>
      <c r="BI467">
        <v>17</v>
      </c>
      <c r="BJ467" t="s">
        <v>2639</v>
      </c>
      <c r="BK467" t="s">
        <v>104</v>
      </c>
      <c r="BL467" t="s">
        <v>217</v>
      </c>
      <c r="BM467" t="s">
        <v>8951</v>
      </c>
      <c r="BN467" t="s">
        <v>74</v>
      </c>
      <c r="BO467" t="s">
        <v>74</v>
      </c>
      <c r="BP467" t="s">
        <v>74</v>
      </c>
      <c r="BQ467" t="s">
        <v>74</v>
      </c>
      <c r="BR467" t="s">
        <v>108</v>
      </c>
      <c r="BS467" t="s">
        <v>8952</v>
      </c>
      <c r="BT467" t="str">
        <f>HYPERLINK("https%3A%2F%2Fwww.webofscience.com%2Fwos%2Fwoscc%2Ffull-record%2FWOS:000894088400001","View Full Record in Web of Science")</f>
        <v>View Full Record in Web of Science</v>
      </c>
    </row>
    <row r="468" spans="1:72" x14ac:dyDescent="0.15">
      <c r="A468" t="s">
        <v>72</v>
      </c>
      <c r="B468" t="s">
        <v>8953</v>
      </c>
      <c r="C468" t="s">
        <v>74</v>
      </c>
      <c r="D468" t="s">
        <v>74</v>
      </c>
      <c r="E468" t="s">
        <v>74</v>
      </c>
      <c r="F468" t="s">
        <v>8954</v>
      </c>
      <c r="G468" t="s">
        <v>74</v>
      </c>
      <c r="H468" t="s">
        <v>74</v>
      </c>
      <c r="I468" t="s">
        <v>8955</v>
      </c>
      <c r="J468" t="s">
        <v>8956</v>
      </c>
      <c r="K468" t="s">
        <v>74</v>
      </c>
      <c r="L468" t="s">
        <v>74</v>
      </c>
      <c r="M468" t="s">
        <v>78</v>
      </c>
      <c r="N468" t="s">
        <v>79</v>
      </c>
      <c r="O468" t="s">
        <v>74</v>
      </c>
      <c r="P468" t="s">
        <v>74</v>
      </c>
      <c r="Q468" t="s">
        <v>74</v>
      </c>
      <c r="R468" t="s">
        <v>74</v>
      </c>
      <c r="S468" t="s">
        <v>74</v>
      </c>
      <c r="T468" t="s">
        <v>8957</v>
      </c>
      <c r="U468" t="s">
        <v>8958</v>
      </c>
      <c r="V468" t="s">
        <v>8959</v>
      </c>
      <c r="W468" t="s">
        <v>8960</v>
      </c>
      <c r="X468" t="s">
        <v>8961</v>
      </c>
      <c r="Y468" t="s">
        <v>8962</v>
      </c>
      <c r="Z468" t="s">
        <v>8963</v>
      </c>
      <c r="AA468" t="s">
        <v>74</v>
      </c>
      <c r="AB468" t="s">
        <v>74</v>
      </c>
      <c r="AC468" t="s">
        <v>8964</v>
      </c>
      <c r="AD468" t="s">
        <v>8965</v>
      </c>
      <c r="AE468" t="s">
        <v>8966</v>
      </c>
      <c r="AF468" t="s">
        <v>74</v>
      </c>
      <c r="AG468">
        <v>37</v>
      </c>
      <c r="AH468">
        <v>2</v>
      </c>
      <c r="AI468">
        <v>2</v>
      </c>
      <c r="AJ468">
        <v>12</v>
      </c>
      <c r="AK468">
        <v>19</v>
      </c>
      <c r="AL468" t="s">
        <v>269</v>
      </c>
      <c r="AM468" t="s">
        <v>270</v>
      </c>
      <c r="AN468" t="s">
        <v>271</v>
      </c>
      <c r="AO468" t="s">
        <v>8967</v>
      </c>
      <c r="AP468" t="s">
        <v>8968</v>
      </c>
      <c r="AQ468" t="s">
        <v>74</v>
      </c>
      <c r="AR468" t="s">
        <v>8969</v>
      </c>
      <c r="AS468" t="s">
        <v>8970</v>
      </c>
      <c r="AT468" t="s">
        <v>244</v>
      </c>
      <c r="AU468">
        <v>2023</v>
      </c>
      <c r="AV468">
        <v>79</v>
      </c>
      <c r="AW468">
        <v>2</v>
      </c>
      <c r="AX468" t="s">
        <v>74</v>
      </c>
      <c r="AY468" t="s">
        <v>74</v>
      </c>
      <c r="AZ468" t="s">
        <v>74</v>
      </c>
      <c r="BA468" t="s">
        <v>74</v>
      </c>
      <c r="BB468">
        <v>109</v>
      </c>
      <c r="BC468">
        <v>121</v>
      </c>
      <c r="BD468" t="s">
        <v>74</v>
      </c>
      <c r="BE468" t="s">
        <v>8971</v>
      </c>
      <c r="BF468" t="str">
        <f>HYPERLINK("http://dx.doi.org/10.1007/s10872-022-00669-y","http://dx.doi.org/10.1007/s10872-022-00669-y")</f>
        <v>http://dx.doi.org/10.1007/s10872-022-00669-y</v>
      </c>
      <c r="BG468" t="s">
        <v>74</v>
      </c>
      <c r="BH468" t="s">
        <v>5796</v>
      </c>
      <c r="BI468">
        <v>13</v>
      </c>
      <c r="BJ468" t="s">
        <v>403</v>
      </c>
      <c r="BK468" t="s">
        <v>104</v>
      </c>
      <c r="BL468" t="s">
        <v>403</v>
      </c>
      <c r="BM468" t="s">
        <v>8972</v>
      </c>
      <c r="BN468" t="s">
        <v>74</v>
      </c>
      <c r="BO468" t="s">
        <v>219</v>
      </c>
      <c r="BP468" t="s">
        <v>74</v>
      </c>
      <c r="BQ468" t="s">
        <v>74</v>
      </c>
      <c r="BR468" t="s">
        <v>108</v>
      </c>
      <c r="BS468" t="s">
        <v>8973</v>
      </c>
      <c r="BT468" t="str">
        <f>HYPERLINK("https%3A%2F%2Fwww.webofscience.com%2Fwos%2Fwoscc%2Ffull-record%2FWOS:000895024900001","View Full Record in Web of Science")</f>
        <v>View Full Record in Web of Science</v>
      </c>
    </row>
    <row r="469" spans="1:72" x14ac:dyDescent="0.15">
      <c r="A469" t="s">
        <v>72</v>
      </c>
      <c r="B469" t="s">
        <v>8974</v>
      </c>
      <c r="C469" t="s">
        <v>74</v>
      </c>
      <c r="D469" t="s">
        <v>74</v>
      </c>
      <c r="E469" t="s">
        <v>74</v>
      </c>
      <c r="F469" t="s">
        <v>8975</v>
      </c>
      <c r="G469" t="s">
        <v>74</v>
      </c>
      <c r="H469" t="s">
        <v>74</v>
      </c>
      <c r="I469" t="s">
        <v>8976</v>
      </c>
      <c r="J469" t="s">
        <v>618</v>
      </c>
      <c r="K469" t="s">
        <v>74</v>
      </c>
      <c r="L469" t="s">
        <v>74</v>
      </c>
      <c r="M469" t="s">
        <v>78</v>
      </c>
      <c r="N469" t="s">
        <v>79</v>
      </c>
      <c r="O469" t="s">
        <v>74</v>
      </c>
      <c r="P469" t="s">
        <v>74</v>
      </c>
      <c r="Q469" t="s">
        <v>74</v>
      </c>
      <c r="R469" t="s">
        <v>74</v>
      </c>
      <c r="S469" t="s">
        <v>74</v>
      </c>
      <c r="T469" t="s">
        <v>8977</v>
      </c>
      <c r="U469" t="s">
        <v>8978</v>
      </c>
      <c r="V469" t="s">
        <v>8979</v>
      </c>
      <c r="W469" t="s">
        <v>8980</v>
      </c>
      <c r="X469" t="s">
        <v>8981</v>
      </c>
      <c r="Y469" t="s">
        <v>8982</v>
      </c>
      <c r="Z469" t="s">
        <v>8983</v>
      </c>
      <c r="AA469" t="s">
        <v>8984</v>
      </c>
      <c r="AB469" t="s">
        <v>8985</v>
      </c>
      <c r="AC469" t="s">
        <v>8986</v>
      </c>
      <c r="AD469" t="s">
        <v>8987</v>
      </c>
      <c r="AE469" t="s">
        <v>8988</v>
      </c>
      <c r="AF469" t="s">
        <v>74</v>
      </c>
      <c r="AG469">
        <v>81</v>
      </c>
      <c r="AH469">
        <v>0</v>
      </c>
      <c r="AI469">
        <v>0</v>
      </c>
      <c r="AJ469">
        <v>3</v>
      </c>
      <c r="AK469">
        <v>5</v>
      </c>
      <c r="AL469" t="s">
        <v>269</v>
      </c>
      <c r="AM469" t="s">
        <v>93</v>
      </c>
      <c r="AN469" t="s">
        <v>397</v>
      </c>
      <c r="AO469" t="s">
        <v>630</v>
      </c>
      <c r="AP469" t="s">
        <v>631</v>
      </c>
      <c r="AQ469" t="s">
        <v>74</v>
      </c>
      <c r="AR469" t="s">
        <v>632</v>
      </c>
      <c r="AS469" t="s">
        <v>633</v>
      </c>
      <c r="AT469" t="s">
        <v>276</v>
      </c>
      <c r="AU469">
        <v>2023</v>
      </c>
      <c r="AV469">
        <v>46</v>
      </c>
      <c r="AW469">
        <v>1</v>
      </c>
      <c r="AX469" t="s">
        <v>74</v>
      </c>
      <c r="AY469" t="s">
        <v>74</v>
      </c>
      <c r="AZ469" t="s">
        <v>74</v>
      </c>
      <c r="BA469" t="s">
        <v>74</v>
      </c>
      <c r="BB469">
        <v>1</v>
      </c>
      <c r="BC469">
        <v>19</v>
      </c>
      <c r="BD469" t="s">
        <v>74</v>
      </c>
      <c r="BE469" t="s">
        <v>8989</v>
      </c>
      <c r="BF469" t="str">
        <f>HYPERLINK("http://dx.doi.org/10.1007/s00300-022-03103-7","http://dx.doi.org/10.1007/s00300-022-03103-7")</f>
        <v>http://dx.doi.org/10.1007/s00300-022-03103-7</v>
      </c>
      <c r="BG469" t="s">
        <v>74</v>
      </c>
      <c r="BH469" t="s">
        <v>5796</v>
      </c>
      <c r="BI469">
        <v>19</v>
      </c>
      <c r="BJ469" t="s">
        <v>305</v>
      </c>
      <c r="BK469" t="s">
        <v>104</v>
      </c>
      <c r="BL469" t="s">
        <v>306</v>
      </c>
      <c r="BM469" t="s">
        <v>6706</v>
      </c>
      <c r="BN469" t="s">
        <v>74</v>
      </c>
      <c r="BO469" t="s">
        <v>74</v>
      </c>
      <c r="BP469" t="s">
        <v>74</v>
      </c>
      <c r="BQ469" t="s">
        <v>74</v>
      </c>
      <c r="BR469" t="s">
        <v>108</v>
      </c>
      <c r="BS469" t="s">
        <v>8990</v>
      </c>
      <c r="BT469" t="str">
        <f>HYPERLINK("https%3A%2F%2Fwww.webofscience.com%2Fwos%2Fwoscc%2Ffull-record%2FWOS:000894986200001","View Full Record in Web of Science")</f>
        <v>View Full Record in Web of Science</v>
      </c>
    </row>
    <row r="470" spans="1:72" x14ac:dyDescent="0.15">
      <c r="A470" t="s">
        <v>72</v>
      </c>
      <c r="B470" t="s">
        <v>8991</v>
      </c>
      <c r="C470" t="s">
        <v>74</v>
      </c>
      <c r="D470" t="s">
        <v>74</v>
      </c>
      <c r="E470" t="s">
        <v>74</v>
      </c>
      <c r="F470" t="s">
        <v>8992</v>
      </c>
      <c r="G470" t="s">
        <v>74</v>
      </c>
      <c r="H470" t="s">
        <v>74</v>
      </c>
      <c r="I470" t="s">
        <v>8993</v>
      </c>
      <c r="J470" t="s">
        <v>77</v>
      </c>
      <c r="K470" t="s">
        <v>74</v>
      </c>
      <c r="L470" t="s">
        <v>74</v>
      </c>
      <c r="M470" t="s">
        <v>78</v>
      </c>
      <c r="N470" t="s">
        <v>79</v>
      </c>
      <c r="O470" t="s">
        <v>74</v>
      </c>
      <c r="P470" t="s">
        <v>74</v>
      </c>
      <c r="Q470" t="s">
        <v>74</v>
      </c>
      <c r="R470" t="s">
        <v>74</v>
      </c>
      <c r="S470" t="s">
        <v>74</v>
      </c>
      <c r="T470" t="s">
        <v>8994</v>
      </c>
      <c r="U470" t="s">
        <v>74</v>
      </c>
      <c r="V470" t="s">
        <v>8995</v>
      </c>
      <c r="W470" t="s">
        <v>8996</v>
      </c>
      <c r="X470" t="s">
        <v>8997</v>
      </c>
      <c r="Y470" t="s">
        <v>8998</v>
      </c>
      <c r="Z470" t="s">
        <v>8999</v>
      </c>
      <c r="AA470" t="s">
        <v>74</v>
      </c>
      <c r="AB470" t="s">
        <v>9000</v>
      </c>
      <c r="AC470" t="s">
        <v>74</v>
      </c>
      <c r="AD470" t="s">
        <v>74</v>
      </c>
      <c r="AE470" t="s">
        <v>74</v>
      </c>
      <c r="AF470" t="s">
        <v>74</v>
      </c>
      <c r="AG470">
        <v>27</v>
      </c>
      <c r="AH470">
        <v>0</v>
      </c>
      <c r="AI470">
        <v>0</v>
      </c>
      <c r="AJ470">
        <v>2</v>
      </c>
      <c r="AK470">
        <v>6</v>
      </c>
      <c r="AL470" t="s">
        <v>92</v>
      </c>
      <c r="AM470" t="s">
        <v>93</v>
      </c>
      <c r="AN470" t="s">
        <v>94</v>
      </c>
      <c r="AO470" t="s">
        <v>95</v>
      </c>
      <c r="AP470" t="s">
        <v>96</v>
      </c>
      <c r="AQ470" t="s">
        <v>74</v>
      </c>
      <c r="AR470" t="s">
        <v>97</v>
      </c>
      <c r="AS470" t="s">
        <v>98</v>
      </c>
      <c r="AT470" t="s">
        <v>9001</v>
      </c>
      <c r="AU470">
        <v>2022</v>
      </c>
      <c r="AV470">
        <v>34</v>
      </c>
      <c r="AW470">
        <v>6</v>
      </c>
      <c r="AX470" t="s">
        <v>74</v>
      </c>
      <c r="AY470" t="s">
        <v>74</v>
      </c>
      <c r="AZ470" t="s">
        <v>74</v>
      </c>
      <c r="BA470" t="s">
        <v>74</v>
      </c>
      <c r="BB470">
        <v>423</v>
      </c>
      <c r="BC470">
        <v>431</v>
      </c>
      <c r="BD470" t="s">
        <v>9002</v>
      </c>
      <c r="BE470" t="s">
        <v>9003</v>
      </c>
      <c r="BF470" t="str">
        <f>HYPERLINK("http://dx.doi.org/10.1017/S0954102022000396","http://dx.doi.org/10.1017/S0954102022000396")</f>
        <v>http://dx.doi.org/10.1017/S0954102022000396</v>
      </c>
      <c r="BG470" t="s">
        <v>74</v>
      </c>
      <c r="BH470" t="s">
        <v>5796</v>
      </c>
      <c r="BI470">
        <v>9</v>
      </c>
      <c r="BJ470" t="s">
        <v>103</v>
      </c>
      <c r="BK470" t="s">
        <v>104</v>
      </c>
      <c r="BL470" t="s">
        <v>105</v>
      </c>
      <c r="BM470" t="s">
        <v>9004</v>
      </c>
      <c r="BN470" t="s">
        <v>74</v>
      </c>
      <c r="BO470" t="s">
        <v>248</v>
      </c>
      <c r="BP470" t="s">
        <v>74</v>
      </c>
      <c r="BQ470" t="s">
        <v>74</v>
      </c>
      <c r="BR470" t="s">
        <v>108</v>
      </c>
      <c r="BS470" t="s">
        <v>9005</v>
      </c>
      <c r="BT470" t="str">
        <f>HYPERLINK("https%3A%2F%2Fwww.webofscience.com%2Fwos%2Fwoscc%2Ffull-record%2FWOS:000894553800001","View Full Record in Web of Science")</f>
        <v>View Full Record in Web of Science</v>
      </c>
    </row>
    <row r="471" spans="1:72" x14ac:dyDescent="0.15">
      <c r="A471" t="s">
        <v>72</v>
      </c>
      <c r="B471" t="s">
        <v>9006</v>
      </c>
      <c r="C471" t="s">
        <v>74</v>
      </c>
      <c r="D471" t="s">
        <v>74</v>
      </c>
      <c r="E471" t="s">
        <v>74</v>
      </c>
      <c r="F471" t="s">
        <v>9007</v>
      </c>
      <c r="G471" t="s">
        <v>74</v>
      </c>
      <c r="H471" t="s">
        <v>74</v>
      </c>
      <c r="I471" t="s">
        <v>9008</v>
      </c>
      <c r="J471" t="s">
        <v>170</v>
      </c>
      <c r="K471" t="s">
        <v>74</v>
      </c>
      <c r="L471" t="s">
        <v>74</v>
      </c>
      <c r="M471" t="s">
        <v>78</v>
      </c>
      <c r="N471" t="s">
        <v>79</v>
      </c>
      <c r="O471" t="s">
        <v>74</v>
      </c>
      <c r="P471" t="s">
        <v>74</v>
      </c>
      <c r="Q471" t="s">
        <v>74</v>
      </c>
      <c r="R471" t="s">
        <v>74</v>
      </c>
      <c r="S471" t="s">
        <v>74</v>
      </c>
      <c r="T471" t="s">
        <v>74</v>
      </c>
      <c r="U471" t="s">
        <v>9009</v>
      </c>
      <c r="V471" t="s">
        <v>9010</v>
      </c>
      <c r="W471" t="s">
        <v>9011</v>
      </c>
      <c r="X471" t="s">
        <v>9012</v>
      </c>
      <c r="Y471" t="s">
        <v>9013</v>
      </c>
      <c r="Z471" t="s">
        <v>9014</v>
      </c>
      <c r="AA471" t="s">
        <v>9015</v>
      </c>
      <c r="AB471" t="s">
        <v>9016</v>
      </c>
      <c r="AC471" t="s">
        <v>9017</v>
      </c>
      <c r="AD471" t="s">
        <v>9018</v>
      </c>
      <c r="AE471" t="s">
        <v>9019</v>
      </c>
      <c r="AF471" t="s">
        <v>74</v>
      </c>
      <c r="AG471">
        <v>49</v>
      </c>
      <c r="AH471">
        <v>3</v>
      </c>
      <c r="AI471">
        <v>3</v>
      </c>
      <c r="AJ471">
        <v>7</v>
      </c>
      <c r="AK471">
        <v>11</v>
      </c>
      <c r="AL471" t="s">
        <v>182</v>
      </c>
      <c r="AM471" t="s">
        <v>183</v>
      </c>
      <c r="AN471" t="s">
        <v>184</v>
      </c>
      <c r="AO471" t="s">
        <v>185</v>
      </c>
      <c r="AP471" t="s">
        <v>74</v>
      </c>
      <c r="AQ471" t="s">
        <v>74</v>
      </c>
      <c r="AR471" t="s">
        <v>186</v>
      </c>
      <c r="AS471" t="s">
        <v>187</v>
      </c>
      <c r="AT471" t="s">
        <v>9020</v>
      </c>
      <c r="AU471">
        <v>2022</v>
      </c>
      <c r="AV471">
        <v>12</v>
      </c>
      <c r="AW471">
        <v>1</v>
      </c>
      <c r="AX471" t="s">
        <v>74</v>
      </c>
      <c r="AY471" t="s">
        <v>74</v>
      </c>
      <c r="AZ471" t="s">
        <v>74</v>
      </c>
      <c r="BA471" t="s">
        <v>74</v>
      </c>
      <c r="BB471" t="s">
        <v>74</v>
      </c>
      <c r="BC471" t="s">
        <v>74</v>
      </c>
      <c r="BD471">
        <v>21044</v>
      </c>
      <c r="BE471" t="s">
        <v>9021</v>
      </c>
      <c r="BF471" t="str">
        <f>HYPERLINK("http://dx.doi.org/10.1038/s41598-022-25310-2","http://dx.doi.org/10.1038/s41598-022-25310-2")</f>
        <v>http://dx.doi.org/10.1038/s41598-022-25310-2</v>
      </c>
      <c r="BG471" t="s">
        <v>74</v>
      </c>
      <c r="BH471" t="s">
        <v>74</v>
      </c>
      <c r="BI471">
        <v>10</v>
      </c>
      <c r="BJ471" t="s">
        <v>189</v>
      </c>
      <c r="BK471" t="s">
        <v>104</v>
      </c>
      <c r="BL471" t="s">
        <v>190</v>
      </c>
      <c r="BM471" t="s">
        <v>9022</v>
      </c>
      <c r="BN471">
        <v>36473886</v>
      </c>
      <c r="BO471" t="s">
        <v>5503</v>
      </c>
      <c r="BP471" t="s">
        <v>74</v>
      </c>
      <c r="BQ471" t="s">
        <v>74</v>
      </c>
      <c r="BR471" t="s">
        <v>108</v>
      </c>
      <c r="BS471" t="s">
        <v>9023</v>
      </c>
      <c r="BT471" t="str">
        <f>HYPERLINK("https%3A%2F%2Fwww.webofscience.com%2Fwos%2Fwoscc%2Ffull-record%2FWOS:000934498000003","View Full Record in Web of Science")</f>
        <v>View Full Record in Web of Science</v>
      </c>
    </row>
    <row r="472" spans="1:72" x14ac:dyDescent="0.15">
      <c r="A472" t="s">
        <v>72</v>
      </c>
      <c r="B472" t="s">
        <v>9024</v>
      </c>
      <c r="C472" t="s">
        <v>74</v>
      </c>
      <c r="D472" t="s">
        <v>74</v>
      </c>
      <c r="E472" t="s">
        <v>74</v>
      </c>
      <c r="F472" t="s">
        <v>9025</v>
      </c>
      <c r="G472" t="s">
        <v>74</v>
      </c>
      <c r="H472" t="s">
        <v>74</v>
      </c>
      <c r="I472" t="s">
        <v>9026</v>
      </c>
      <c r="J472" t="s">
        <v>9027</v>
      </c>
      <c r="K472" t="s">
        <v>74</v>
      </c>
      <c r="L472" t="s">
        <v>74</v>
      </c>
      <c r="M472" t="s">
        <v>78</v>
      </c>
      <c r="N472" t="s">
        <v>79</v>
      </c>
      <c r="O472" t="s">
        <v>74</v>
      </c>
      <c r="P472" t="s">
        <v>74</v>
      </c>
      <c r="Q472" t="s">
        <v>74</v>
      </c>
      <c r="R472" t="s">
        <v>74</v>
      </c>
      <c r="S472" t="s">
        <v>74</v>
      </c>
      <c r="T472" t="s">
        <v>9028</v>
      </c>
      <c r="U472" t="s">
        <v>9029</v>
      </c>
      <c r="V472" t="s">
        <v>9030</v>
      </c>
      <c r="W472" t="s">
        <v>9031</v>
      </c>
      <c r="X472" t="s">
        <v>9032</v>
      </c>
      <c r="Y472" t="s">
        <v>9033</v>
      </c>
      <c r="Z472" t="s">
        <v>9034</v>
      </c>
      <c r="AA472" t="s">
        <v>74</v>
      </c>
      <c r="AB472" t="s">
        <v>74</v>
      </c>
      <c r="AC472" t="s">
        <v>9035</v>
      </c>
      <c r="AD472" t="s">
        <v>9036</v>
      </c>
      <c r="AE472" t="s">
        <v>9037</v>
      </c>
      <c r="AF472" t="s">
        <v>74</v>
      </c>
      <c r="AG472">
        <v>148</v>
      </c>
      <c r="AH472">
        <v>0</v>
      </c>
      <c r="AI472">
        <v>0</v>
      </c>
      <c r="AJ472">
        <v>4</v>
      </c>
      <c r="AK472">
        <v>6</v>
      </c>
      <c r="AL472" t="s">
        <v>237</v>
      </c>
      <c r="AM472" t="s">
        <v>238</v>
      </c>
      <c r="AN472" t="s">
        <v>239</v>
      </c>
      <c r="AO472" t="s">
        <v>9038</v>
      </c>
      <c r="AP472" t="s">
        <v>9039</v>
      </c>
      <c r="AQ472" t="s">
        <v>74</v>
      </c>
      <c r="AR472" t="s">
        <v>9040</v>
      </c>
      <c r="AS472" t="s">
        <v>9041</v>
      </c>
      <c r="AT472" t="s">
        <v>276</v>
      </c>
      <c r="AU472">
        <v>2023</v>
      </c>
      <c r="AV472">
        <v>455</v>
      </c>
      <c r="AW472" t="s">
        <v>74</v>
      </c>
      <c r="AX472" t="s">
        <v>74</v>
      </c>
      <c r="AY472" t="s">
        <v>74</v>
      </c>
      <c r="AZ472" t="s">
        <v>74</v>
      </c>
      <c r="BA472" t="s">
        <v>74</v>
      </c>
      <c r="BB472" t="s">
        <v>74</v>
      </c>
      <c r="BC472" t="s">
        <v>74</v>
      </c>
      <c r="BD472">
        <v>106958</v>
      </c>
      <c r="BE472" t="s">
        <v>9042</v>
      </c>
      <c r="BF472" t="str">
        <f>HYPERLINK("http://dx.doi.org/10.1016/j.margeo.2022.106958","http://dx.doi.org/10.1016/j.margeo.2022.106958")</f>
        <v>http://dx.doi.org/10.1016/j.margeo.2022.106958</v>
      </c>
      <c r="BG472" t="s">
        <v>74</v>
      </c>
      <c r="BH472" t="s">
        <v>5796</v>
      </c>
      <c r="BI472">
        <v>19</v>
      </c>
      <c r="BJ472" t="s">
        <v>9043</v>
      </c>
      <c r="BK472" t="s">
        <v>104</v>
      </c>
      <c r="BL472" t="s">
        <v>9044</v>
      </c>
      <c r="BM472" t="s">
        <v>9045</v>
      </c>
      <c r="BN472" t="s">
        <v>74</v>
      </c>
      <c r="BO472" t="s">
        <v>660</v>
      </c>
      <c r="BP472" t="s">
        <v>74</v>
      </c>
      <c r="BQ472" t="s">
        <v>74</v>
      </c>
      <c r="BR472" t="s">
        <v>108</v>
      </c>
      <c r="BS472" t="s">
        <v>9046</v>
      </c>
      <c r="BT472" t="str">
        <f>HYPERLINK("https%3A%2F%2Fwww.webofscience.com%2Fwos%2Fwoscc%2Ffull-record%2FWOS:000899384900004","View Full Record in Web of Science")</f>
        <v>View Full Record in Web of Science</v>
      </c>
    </row>
    <row r="473" spans="1:72" x14ac:dyDescent="0.15">
      <c r="A473" t="s">
        <v>72</v>
      </c>
      <c r="B473" t="s">
        <v>9047</v>
      </c>
      <c r="C473" t="s">
        <v>74</v>
      </c>
      <c r="D473" t="s">
        <v>74</v>
      </c>
      <c r="E473" t="s">
        <v>74</v>
      </c>
      <c r="F473" t="s">
        <v>9048</v>
      </c>
      <c r="G473" t="s">
        <v>74</v>
      </c>
      <c r="H473" t="s">
        <v>74</v>
      </c>
      <c r="I473" t="s">
        <v>9049</v>
      </c>
      <c r="J473" t="s">
        <v>7392</v>
      </c>
      <c r="K473" t="s">
        <v>74</v>
      </c>
      <c r="L473" t="s">
        <v>74</v>
      </c>
      <c r="M473" t="s">
        <v>78</v>
      </c>
      <c r="N473" t="s">
        <v>79</v>
      </c>
      <c r="O473" t="s">
        <v>74</v>
      </c>
      <c r="P473" t="s">
        <v>74</v>
      </c>
      <c r="Q473" t="s">
        <v>74</v>
      </c>
      <c r="R473" t="s">
        <v>74</v>
      </c>
      <c r="S473" t="s">
        <v>74</v>
      </c>
      <c r="T473" t="s">
        <v>74</v>
      </c>
      <c r="U473" t="s">
        <v>9050</v>
      </c>
      <c r="V473" t="s">
        <v>9051</v>
      </c>
      <c r="W473" t="s">
        <v>9052</v>
      </c>
      <c r="X473" t="s">
        <v>9053</v>
      </c>
      <c r="Y473" t="s">
        <v>9054</v>
      </c>
      <c r="Z473" t="s">
        <v>9055</v>
      </c>
      <c r="AA473" t="s">
        <v>9056</v>
      </c>
      <c r="AB473" t="s">
        <v>9057</v>
      </c>
      <c r="AC473" t="s">
        <v>9058</v>
      </c>
      <c r="AD473" t="s">
        <v>9059</v>
      </c>
      <c r="AE473" t="s">
        <v>9060</v>
      </c>
      <c r="AF473" t="s">
        <v>74</v>
      </c>
      <c r="AG473">
        <v>46</v>
      </c>
      <c r="AH473">
        <v>2</v>
      </c>
      <c r="AI473">
        <v>2</v>
      </c>
      <c r="AJ473">
        <v>5</v>
      </c>
      <c r="AK473">
        <v>8</v>
      </c>
      <c r="AL473" t="s">
        <v>126</v>
      </c>
      <c r="AM473" t="s">
        <v>127</v>
      </c>
      <c r="AN473" t="s">
        <v>128</v>
      </c>
      <c r="AO473" t="s">
        <v>7401</v>
      </c>
      <c r="AP473" t="s">
        <v>7402</v>
      </c>
      <c r="AQ473" t="s">
        <v>74</v>
      </c>
      <c r="AR473" t="s">
        <v>7392</v>
      </c>
      <c r="AS473" t="s">
        <v>7403</v>
      </c>
      <c r="AT473" t="s">
        <v>9020</v>
      </c>
      <c r="AU473">
        <v>2022</v>
      </c>
      <c r="AV473">
        <v>16</v>
      </c>
      <c r="AW473">
        <v>12</v>
      </c>
      <c r="AX473" t="s">
        <v>74</v>
      </c>
      <c r="AY473" t="s">
        <v>74</v>
      </c>
      <c r="AZ473" t="s">
        <v>74</v>
      </c>
      <c r="BA473" t="s">
        <v>74</v>
      </c>
      <c r="BB473">
        <v>4887</v>
      </c>
      <c r="BC473">
        <v>4905</v>
      </c>
      <c r="BD473" t="s">
        <v>74</v>
      </c>
      <c r="BE473" t="s">
        <v>9061</v>
      </c>
      <c r="BF473" t="str">
        <f>HYPERLINK("http://dx.doi.org/10.5194/tc-16-4887-2022","http://dx.doi.org/10.5194/tc-16-4887-2022")</f>
        <v>http://dx.doi.org/10.5194/tc-16-4887-2022</v>
      </c>
      <c r="BG473" t="s">
        <v>74</v>
      </c>
      <c r="BH473" t="s">
        <v>74</v>
      </c>
      <c r="BI473">
        <v>19</v>
      </c>
      <c r="BJ473" t="s">
        <v>611</v>
      </c>
      <c r="BK473" t="s">
        <v>104</v>
      </c>
      <c r="BL473" t="s">
        <v>612</v>
      </c>
      <c r="BM473" t="s">
        <v>9062</v>
      </c>
      <c r="BN473" t="s">
        <v>74</v>
      </c>
      <c r="BO473" t="s">
        <v>384</v>
      </c>
      <c r="BP473" t="s">
        <v>74</v>
      </c>
      <c r="BQ473" t="s">
        <v>74</v>
      </c>
      <c r="BR473" t="s">
        <v>108</v>
      </c>
      <c r="BS473" t="s">
        <v>9063</v>
      </c>
      <c r="BT473" t="str">
        <f>HYPERLINK("https%3A%2F%2Fwww.webofscience.com%2Fwos%2Fwoscc%2Ffull-record%2FWOS:000894436400001","View Full Record in Web of Science")</f>
        <v>View Full Record in Web of Science</v>
      </c>
    </row>
    <row r="474" spans="1:72" x14ac:dyDescent="0.15">
      <c r="A474" t="s">
        <v>72</v>
      </c>
      <c r="B474" t="s">
        <v>9064</v>
      </c>
      <c r="C474" t="s">
        <v>74</v>
      </c>
      <c r="D474" t="s">
        <v>74</v>
      </c>
      <c r="E474" t="s">
        <v>74</v>
      </c>
      <c r="F474" t="s">
        <v>9065</v>
      </c>
      <c r="G474" t="s">
        <v>74</v>
      </c>
      <c r="H474" t="s">
        <v>74</v>
      </c>
      <c r="I474" t="s">
        <v>9066</v>
      </c>
      <c r="J474" t="s">
        <v>9067</v>
      </c>
      <c r="K474" t="s">
        <v>74</v>
      </c>
      <c r="L474" t="s">
        <v>74</v>
      </c>
      <c r="M474" t="s">
        <v>78</v>
      </c>
      <c r="N474" t="s">
        <v>5927</v>
      </c>
      <c r="O474" t="s">
        <v>74</v>
      </c>
      <c r="P474" t="s">
        <v>74</v>
      </c>
      <c r="Q474" t="s">
        <v>74</v>
      </c>
      <c r="R474" t="s">
        <v>74</v>
      </c>
      <c r="S474" t="s">
        <v>74</v>
      </c>
      <c r="T474" t="s">
        <v>9068</v>
      </c>
      <c r="U474" t="s">
        <v>74</v>
      </c>
      <c r="V474" t="s">
        <v>74</v>
      </c>
      <c r="W474" t="s">
        <v>9069</v>
      </c>
      <c r="X474" t="s">
        <v>9070</v>
      </c>
      <c r="Y474" t="s">
        <v>9071</v>
      </c>
      <c r="Z474" t="s">
        <v>9072</v>
      </c>
      <c r="AA474" t="s">
        <v>9073</v>
      </c>
      <c r="AB474" t="s">
        <v>9074</v>
      </c>
      <c r="AC474" t="s">
        <v>74</v>
      </c>
      <c r="AD474" t="s">
        <v>74</v>
      </c>
      <c r="AE474" t="s">
        <v>74</v>
      </c>
      <c r="AF474" t="s">
        <v>74</v>
      </c>
      <c r="AG474">
        <v>1</v>
      </c>
      <c r="AH474">
        <v>0</v>
      </c>
      <c r="AI474">
        <v>0</v>
      </c>
      <c r="AJ474">
        <v>1</v>
      </c>
      <c r="AK474">
        <v>1</v>
      </c>
      <c r="AL474" t="s">
        <v>448</v>
      </c>
      <c r="AM474" t="s">
        <v>449</v>
      </c>
      <c r="AN474" t="s">
        <v>450</v>
      </c>
      <c r="AO474" t="s">
        <v>74</v>
      </c>
      <c r="AP474" t="s">
        <v>9075</v>
      </c>
      <c r="AQ474" t="s">
        <v>74</v>
      </c>
      <c r="AR474" t="s">
        <v>9076</v>
      </c>
      <c r="AS474" t="s">
        <v>9077</v>
      </c>
      <c r="AT474" t="s">
        <v>9078</v>
      </c>
      <c r="AU474">
        <v>2022</v>
      </c>
      <c r="AV474">
        <v>2</v>
      </c>
      <c r="AW474" t="s">
        <v>74</v>
      </c>
      <c r="AX474" t="s">
        <v>74</v>
      </c>
      <c r="AY474" t="s">
        <v>74</v>
      </c>
      <c r="AZ474" t="s">
        <v>74</v>
      </c>
      <c r="BA474" t="s">
        <v>74</v>
      </c>
      <c r="BB474" t="s">
        <v>74</v>
      </c>
      <c r="BC474" t="s">
        <v>74</v>
      </c>
      <c r="BD474">
        <v>1101893</v>
      </c>
      <c r="BE474" t="s">
        <v>9079</v>
      </c>
      <c r="BF474" t="str">
        <f>HYPERLINK("http://dx.doi.org/10.3389/fsoil.2022.1101893","http://dx.doi.org/10.3389/fsoil.2022.1101893")</f>
        <v>http://dx.doi.org/10.3389/fsoil.2022.1101893</v>
      </c>
      <c r="BG474" t="s">
        <v>74</v>
      </c>
      <c r="BH474" t="s">
        <v>74</v>
      </c>
      <c r="BI474">
        <v>2</v>
      </c>
      <c r="BJ474" t="s">
        <v>9080</v>
      </c>
      <c r="BK474" t="s">
        <v>757</v>
      </c>
      <c r="BL474" t="s">
        <v>9081</v>
      </c>
      <c r="BM474" t="s">
        <v>9082</v>
      </c>
      <c r="BN474" t="s">
        <v>74</v>
      </c>
      <c r="BO474" t="s">
        <v>165</v>
      </c>
      <c r="BP474" t="s">
        <v>74</v>
      </c>
      <c r="BQ474" t="s">
        <v>74</v>
      </c>
      <c r="BR474" t="s">
        <v>108</v>
      </c>
      <c r="BS474" t="s">
        <v>9083</v>
      </c>
      <c r="BT474" t="str">
        <f>HYPERLINK("https%3A%2F%2Fwww.webofscience.com%2Fwos%2Fwoscc%2Ffull-record%2FWOS:001097743000001","View Full Record in Web of Science")</f>
        <v>View Full Record in Web of Science</v>
      </c>
    </row>
    <row r="475" spans="1:72" x14ac:dyDescent="0.15">
      <c r="A475" t="s">
        <v>72</v>
      </c>
      <c r="B475" t="s">
        <v>9084</v>
      </c>
      <c r="C475" t="s">
        <v>74</v>
      </c>
      <c r="D475" t="s">
        <v>74</v>
      </c>
      <c r="E475" t="s">
        <v>74</v>
      </c>
      <c r="F475" t="s">
        <v>9085</v>
      </c>
      <c r="G475" t="s">
        <v>74</v>
      </c>
      <c r="H475" t="s">
        <v>74</v>
      </c>
      <c r="I475" t="s">
        <v>9086</v>
      </c>
      <c r="J475" t="s">
        <v>562</v>
      </c>
      <c r="K475" t="s">
        <v>74</v>
      </c>
      <c r="L475" t="s">
        <v>74</v>
      </c>
      <c r="M475" t="s">
        <v>78</v>
      </c>
      <c r="N475" t="s">
        <v>743</v>
      </c>
      <c r="O475" t="s">
        <v>74</v>
      </c>
      <c r="P475" t="s">
        <v>74</v>
      </c>
      <c r="Q475" t="s">
        <v>74</v>
      </c>
      <c r="R475" t="s">
        <v>74</v>
      </c>
      <c r="S475" t="s">
        <v>74</v>
      </c>
      <c r="T475" t="s">
        <v>74</v>
      </c>
      <c r="U475" t="s">
        <v>74</v>
      </c>
      <c r="V475" t="s">
        <v>74</v>
      </c>
      <c r="W475" t="s">
        <v>9087</v>
      </c>
      <c r="X475" t="s">
        <v>9088</v>
      </c>
      <c r="Y475" t="s">
        <v>9089</v>
      </c>
      <c r="Z475" t="s">
        <v>9090</v>
      </c>
      <c r="AA475" t="s">
        <v>9091</v>
      </c>
      <c r="AB475" t="s">
        <v>9092</v>
      </c>
      <c r="AC475" t="s">
        <v>74</v>
      </c>
      <c r="AD475" t="s">
        <v>74</v>
      </c>
      <c r="AE475" t="s">
        <v>74</v>
      </c>
      <c r="AF475" t="s">
        <v>74</v>
      </c>
      <c r="AG475">
        <v>16</v>
      </c>
      <c r="AH475">
        <v>1</v>
      </c>
      <c r="AI475">
        <v>2</v>
      </c>
      <c r="AJ475">
        <v>1</v>
      </c>
      <c r="AK475">
        <v>4</v>
      </c>
      <c r="AL475" t="s">
        <v>575</v>
      </c>
      <c r="AM475" t="s">
        <v>576</v>
      </c>
      <c r="AN475" t="s">
        <v>577</v>
      </c>
      <c r="AO475" t="s">
        <v>578</v>
      </c>
      <c r="AP475" t="s">
        <v>579</v>
      </c>
      <c r="AQ475" t="s">
        <v>74</v>
      </c>
      <c r="AR475" t="s">
        <v>580</v>
      </c>
      <c r="AS475" t="s">
        <v>581</v>
      </c>
      <c r="AT475" t="s">
        <v>9078</v>
      </c>
      <c r="AU475">
        <v>2022</v>
      </c>
      <c r="AV475">
        <v>119</v>
      </c>
      <c r="AW475">
        <v>50</v>
      </c>
      <c r="AX475" t="s">
        <v>74</v>
      </c>
      <c r="AY475" t="s">
        <v>74</v>
      </c>
      <c r="AZ475" t="s">
        <v>74</v>
      </c>
      <c r="BA475" t="s">
        <v>74</v>
      </c>
      <c r="BB475" t="s">
        <v>74</v>
      </c>
      <c r="BC475" t="s">
        <v>74</v>
      </c>
      <c r="BD475" t="s">
        <v>9093</v>
      </c>
      <c r="BE475" t="s">
        <v>9094</v>
      </c>
      <c r="BF475" t="str">
        <f>HYPERLINK("http://dx.doi.org/10.1073/pnas.2212800119","http://dx.doi.org/10.1073/pnas.2212800119")</f>
        <v>http://dx.doi.org/10.1073/pnas.2212800119</v>
      </c>
      <c r="BG475" t="s">
        <v>74</v>
      </c>
      <c r="BH475" t="s">
        <v>74</v>
      </c>
      <c r="BI475">
        <v>5</v>
      </c>
      <c r="BJ475" t="s">
        <v>189</v>
      </c>
      <c r="BK475" t="s">
        <v>104</v>
      </c>
      <c r="BL475" t="s">
        <v>190</v>
      </c>
      <c r="BM475" t="s">
        <v>9095</v>
      </c>
      <c r="BN475">
        <v>36480475</v>
      </c>
      <c r="BO475" t="s">
        <v>248</v>
      </c>
      <c r="BP475" t="s">
        <v>74</v>
      </c>
      <c r="BQ475" t="s">
        <v>74</v>
      </c>
      <c r="BR475" t="s">
        <v>108</v>
      </c>
      <c r="BS475" t="s">
        <v>9096</v>
      </c>
      <c r="BT475" t="str">
        <f>HYPERLINK("https%3A%2F%2Fwww.webofscience.com%2Fwos%2Fwoscc%2Ffull-record%2FWOS:000964666900004","View Full Record in Web of Science")</f>
        <v>View Full Record in Web of Science</v>
      </c>
    </row>
    <row r="476" spans="1:72" x14ac:dyDescent="0.15">
      <c r="A476" t="s">
        <v>72</v>
      </c>
      <c r="B476" t="s">
        <v>9097</v>
      </c>
      <c r="C476" t="s">
        <v>74</v>
      </c>
      <c r="D476" t="s">
        <v>74</v>
      </c>
      <c r="E476" t="s">
        <v>74</v>
      </c>
      <c r="F476" t="s">
        <v>9098</v>
      </c>
      <c r="G476" t="s">
        <v>74</v>
      </c>
      <c r="H476" t="s">
        <v>74</v>
      </c>
      <c r="I476" t="s">
        <v>9099</v>
      </c>
      <c r="J476" t="s">
        <v>9100</v>
      </c>
      <c r="K476" t="s">
        <v>74</v>
      </c>
      <c r="L476" t="s">
        <v>74</v>
      </c>
      <c r="M476" t="s">
        <v>78</v>
      </c>
      <c r="N476" t="s">
        <v>869</v>
      </c>
      <c r="O476" t="s">
        <v>74</v>
      </c>
      <c r="P476" t="s">
        <v>74</v>
      </c>
      <c r="Q476" t="s">
        <v>74</v>
      </c>
      <c r="R476" t="s">
        <v>74</v>
      </c>
      <c r="S476" t="s">
        <v>74</v>
      </c>
      <c r="T476" t="s">
        <v>74</v>
      </c>
      <c r="U476" t="s">
        <v>74</v>
      </c>
      <c r="V476" t="s">
        <v>74</v>
      </c>
      <c r="W476" t="s">
        <v>9101</v>
      </c>
      <c r="X476" t="s">
        <v>791</v>
      </c>
      <c r="Y476" t="s">
        <v>9102</v>
      </c>
      <c r="Z476" t="s">
        <v>9103</v>
      </c>
      <c r="AA476" t="s">
        <v>9104</v>
      </c>
      <c r="AB476" t="s">
        <v>74</v>
      </c>
      <c r="AC476" t="s">
        <v>74</v>
      </c>
      <c r="AD476" t="s">
        <v>74</v>
      </c>
      <c r="AE476" t="s">
        <v>74</v>
      </c>
      <c r="AF476" t="s">
        <v>74</v>
      </c>
      <c r="AG476">
        <v>4</v>
      </c>
      <c r="AH476">
        <v>0</v>
      </c>
      <c r="AI476">
        <v>0</v>
      </c>
      <c r="AJ476">
        <v>0</v>
      </c>
      <c r="AK476">
        <v>0</v>
      </c>
      <c r="AL476" t="s">
        <v>7639</v>
      </c>
      <c r="AM476" t="s">
        <v>7640</v>
      </c>
      <c r="AN476" t="s">
        <v>7641</v>
      </c>
      <c r="AO476" t="s">
        <v>9105</v>
      </c>
      <c r="AP476" t="s">
        <v>9106</v>
      </c>
      <c r="AQ476" t="s">
        <v>74</v>
      </c>
      <c r="AR476" t="s">
        <v>9107</v>
      </c>
      <c r="AS476" t="s">
        <v>9108</v>
      </c>
      <c r="AT476" t="s">
        <v>9078</v>
      </c>
      <c r="AU476">
        <v>2022</v>
      </c>
      <c r="AV476">
        <v>32</v>
      </c>
      <c r="AW476">
        <v>23</v>
      </c>
      <c r="AX476" t="s">
        <v>74</v>
      </c>
      <c r="AY476" t="s">
        <v>74</v>
      </c>
      <c r="AZ476" t="s">
        <v>74</v>
      </c>
      <c r="BA476" t="s">
        <v>74</v>
      </c>
      <c r="BB476" t="s">
        <v>9109</v>
      </c>
      <c r="BC476" t="s">
        <v>9110</v>
      </c>
      <c r="BD476" t="s">
        <v>74</v>
      </c>
      <c r="BE476" t="s">
        <v>74</v>
      </c>
      <c r="BF476" t="s">
        <v>74</v>
      </c>
      <c r="BG476" t="s">
        <v>74</v>
      </c>
      <c r="BH476" t="s">
        <v>74</v>
      </c>
      <c r="BI476">
        <v>2</v>
      </c>
      <c r="BJ476" t="s">
        <v>9111</v>
      </c>
      <c r="BK476" t="s">
        <v>104</v>
      </c>
      <c r="BL476" t="s">
        <v>9112</v>
      </c>
      <c r="BM476" t="s">
        <v>9113</v>
      </c>
      <c r="BN476" t="s">
        <v>74</v>
      </c>
      <c r="BO476" t="s">
        <v>74</v>
      </c>
      <c r="BP476" t="s">
        <v>74</v>
      </c>
      <c r="BQ476" t="s">
        <v>74</v>
      </c>
      <c r="BR476" t="s">
        <v>108</v>
      </c>
      <c r="BS476" t="s">
        <v>9114</v>
      </c>
      <c r="BT476" t="str">
        <f>HYPERLINK("https%3A%2F%2Fwww.webofscience.com%2Fwos%2Fwoscc%2Ffull-record%2FWOS:000918551300002","View Full Record in Web of Science")</f>
        <v>View Full Record in Web of Science</v>
      </c>
    </row>
    <row r="477" spans="1:72" x14ac:dyDescent="0.15">
      <c r="A477" t="s">
        <v>72</v>
      </c>
      <c r="B477" t="s">
        <v>9115</v>
      </c>
      <c r="C477" t="s">
        <v>74</v>
      </c>
      <c r="D477" t="s">
        <v>74</v>
      </c>
      <c r="E477" t="s">
        <v>74</v>
      </c>
      <c r="F477" t="s">
        <v>9116</v>
      </c>
      <c r="G477" t="s">
        <v>74</v>
      </c>
      <c r="H477" t="s">
        <v>74</v>
      </c>
      <c r="I477" t="s">
        <v>9117</v>
      </c>
      <c r="J477" t="s">
        <v>9118</v>
      </c>
      <c r="K477" t="s">
        <v>74</v>
      </c>
      <c r="L477" t="s">
        <v>74</v>
      </c>
      <c r="M477" t="s">
        <v>78</v>
      </c>
      <c r="N477" t="s">
        <v>743</v>
      </c>
      <c r="O477" t="s">
        <v>74</v>
      </c>
      <c r="P477" t="s">
        <v>74</v>
      </c>
      <c r="Q477" t="s">
        <v>74</v>
      </c>
      <c r="R477" t="s">
        <v>74</v>
      </c>
      <c r="S477" t="s">
        <v>74</v>
      </c>
      <c r="T477" t="s">
        <v>9119</v>
      </c>
      <c r="U477" t="s">
        <v>74</v>
      </c>
      <c r="V477" t="s">
        <v>9120</v>
      </c>
      <c r="W477" t="s">
        <v>9121</v>
      </c>
      <c r="X477" t="s">
        <v>9122</v>
      </c>
      <c r="Y477" t="s">
        <v>9123</v>
      </c>
      <c r="Z477" t="s">
        <v>9124</v>
      </c>
      <c r="AA477" t="s">
        <v>9125</v>
      </c>
      <c r="AB477" t="s">
        <v>9126</v>
      </c>
      <c r="AC477" t="s">
        <v>74</v>
      </c>
      <c r="AD477" t="s">
        <v>74</v>
      </c>
      <c r="AE477" t="s">
        <v>74</v>
      </c>
      <c r="AF477" t="s">
        <v>74</v>
      </c>
      <c r="AG477">
        <v>11</v>
      </c>
      <c r="AH477">
        <v>0</v>
      </c>
      <c r="AI477">
        <v>0</v>
      </c>
      <c r="AJ477">
        <v>4</v>
      </c>
      <c r="AK477">
        <v>11</v>
      </c>
      <c r="AL477" t="s">
        <v>703</v>
      </c>
      <c r="AM477" t="s">
        <v>704</v>
      </c>
      <c r="AN477" t="s">
        <v>705</v>
      </c>
      <c r="AO477" t="s">
        <v>9127</v>
      </c>
      <c r="AP477" t="s">
        <v>9128</v>
      </c>
      <c r="AQ477" t="s">
        <v>74</v>
      </c>
      <c r="AR477" t="s">
        <v>9129</v>
      </c>
      <c r="AS477" t="s">
        <v>9130</v>
      </c>
      <c r="AT477" t="s">
        <v>9078</v>
      </c>
      <c r="AU477">
        <v>2022</v>
      </c>
      <c r="AV477">
        <v>15</v>
      </c>
      <c r="AW477" t="s">
        <v>9131</v>
      </c>
      <c r="AX477" t="s">
        <v>74</v>
      </c>
      <c r="AY477" t="s">
        <v>74</v>
      </c>
      <c r="AZ477" t="s">
        <v>754</v>
      </c>
      <c r="BA477" t="s">
        <v>74</v>
      </c>
      <c r="BB477">
        <v>179</v>
      </c>
      <c r="BC477">
        <v>182</v>
      </c>
      <c r="BD477" t="s">
        <v>74</v>
      </c>
      <c r="BE477" t="s">
        <v>9132</v>
      </c>
      <c r="BF477" t="str">
        <f>HYPERLINK("http://dx.doi.org/10.1080/17550874.2022.2164703","http://dx.doi.org/10.1080/17550874.2022.2164703")</f>
        <v>http://dx.doi.org/10.1080/17550874.2022.2164703</v>
      </c>
      <c r="BG477" t="s">
        <v>74</v>
      </c>
      <c r="BH477" t="s">
        <v>74</v>
      </c>
      <c r="BI477">
        <v>4</v>
      </c>
      <c r="BJ477" t="s">
        <v>507</v>
      </c>
      <c r="BK477" t="s">
        <v>104</v>
      </c>
      <c r="BL477" t="s">
        <v>507</v>
      </c>
      <c r="BM477" t="s">
        <v>9133</v>
      </c>
      <c r="BN477" t="s">
        <v>74</v>
      </c>
      <c r="BO477" t="s">
        <v>248</v>
      </c>
      <c r="BP477" t="s">
        <v>74</v>
      </c>
      <c r="BQ477" t="s">
        <v>74</v>
      </c>
      <c r="BR477" t="s">
        <v>108</v>
      </c>
      <c r="BS477" t="s">
        <v>9134</v>
      </c>
      <c r="BT477" t="str">
        <f>HYPERLINK("https%3A%2F%2Fwww.webofscience.com%2Fwos%2Fwoscc%2Ffull-record%2FWOS:000911425100001","View Full Record in Web of Science")</f>
        <v>View Full Record in Web of Science</v>
      </c>
    </row>
    <row r="478" spans="1:72" x14ac:dyDescent="0.15">
      <c r="A478" t="s">
        <v>72</v>
      </c>
      <c r="B478" t="s">
        <v>9135</v>
      </c>
      <c r="C478" t="s">
        <v>74</v>
      </c>
      <c r="D478" t="s">
        <v>74</v>
      </c>
      <c r="E478" t="s">
        <v>74</v>
      </c>
      <c r="F478" t="s">
        <v>9136</v>
      </c>
      <c r="G478" t="s">
        <v>74</v>
      </c>
      <c r="H478" t="s">
        <v>74</v>
      </c>
      <c r="I478" t="s">
        <v>9137</v>
      </c>
      <c r="J478" t="s">
        <v>9138</v>
      </c>
      <c r="K478" t="s">
        <v>74</v>
      </c>
      <c r="L478" t="s">
        <v>74</v>
      </c>
      <c r="M478" t="s">
        <v>78</v>
      </c>
      <c r="N478" t="s">
        <v>743</v>
      </c>
      <c r="O478" t="s">
        <v>74</v>
      </c>
      <c r="P478" t="s">
        <v>74</v>
      </c>
      <c r="Q478" t="s">
        <v>74</v>
      </c>
      <c r="R478" t="s">
        <v>74</v>
      </c>
      <c r="S478" t="s">
        <v>74</v>
      </c>
      <c r="T478" t="s">
        <v>9139</v>
      </c>
      <c r="U478" t="s">
        <v>74</v>
      </c>
      <c r="V478" t="s">
        <v>74</v>
      </c>
      <c r="W478" t="s">
        <v>9140</v>
      </c>
      <c r="X478" t="s">
        <v>9141</v>
      </c>
      <c r="Y478" t="s">
        <v>9142</v>
      </c>
      <c r="Z478" t="s">
        <v>9143</v>
      </c>
      <c r="AA478" t="s">
        <v>74</v>
      </c>
      <c r="AB478" t="s">
        <v>9144</v>
      </c>
      <c r="AC478" t="s">
        <v>74</v>
      </c>
      <c r="AD478" t="s">
        <v>74</v>
      </c>
      <c r="AE478" t="s">
        <v>74</v>
      </c>
      <c r="AF478" t="s">
        <v>74</v>
      </c>
      <c r="AG478">
        <v>1</v>
      </c>
      <c r="AH478">
        <v>0</v>
      </c>
      <c r="AI478">
        <v>0</v>
      </c>
      <c r="AJ478">
        <v>0</v>
      </c>
      <c r="AK478">
        <v>7</v>
      </c>
      <c r="AL478" t="s">
        <v>448</v>
      </c>
      <c r="AM478" t="s">
        <v>449</v>
      </c>
      <c r="AN478" t="s">
        <v>450</v>
      </c>
      <c r="AO478" t="s">
        <v>74</v>
      </c>
      <c r="AP478" t="s">
        <v>9145</v>
      </c>
      <c r="AQ478" t="s">
        <v>74</v>
      </c>
      <c r="AR478" t="s">
        <v>9146</v>
      </c>
      <c r="AS478" t="s">
        <v>9147</v>
      </c>
      <c r="AT478" t="s">
        <v>9078</v>
      </c>
      <c r="AU478">
        <v>2022</v>
      </c>
      <c r="AV478">
        <v>13</v>
      </c>
      <c r="AW478" t="s">
        <v>74</v>
      </c>
      <c r="AX478" t="s">
        <v>74</v>
      </c>
      <c r="AY478" t="s">
        <v>74</v>
      </c>
      <c r="AZ478" t="s">
        <v>74</v>
      </c>
      <c r="BA478" t="s">
        <v>74</v>
      </c>
      <c r="BB478" t="s">
        <v>74</v>
      </c>
      <c r="BC478" t="s">
        <v>74</v>
      </c>
      <c r="BD478">
        <v>1098400</v>
      </c>
      <c r="BE478" t="s">
        <v>9148</v>
      </c>
      <c r="BF478" t="str">
        <f>HYPERLINK("http://dx.doi.org/10.3389/fmicb.2022.1098400","http://dx.doi.org/10.3389/fmicb.2022.1098400")</f>
        <v>http://dx.doi.org/10.3389/fmicb.2022.1098400</v>
      </c>
      <c r="BG478" t="s">
        <v>74</v>
      </c>
      <c r="BH478" t="s">
        <v>74</v>
      </c>
      <c r="BI478">
        <v>3</v>
      </c>
      <c r="BJ478" t="s">
        <v>1699</v>
      </c>
      <c r="BK478" t="s">
        <v>104</v>
      </c>
      <c r="BL478" t="s">
        <v>1699</v>
      </c>
      <c r="BM478" t="s">
        <v>9149</v>
      </c>
      <c r="BN478">
        <v>36545206</v>
      </c>
      <c r="BO478" t="s">
        <v>192</v>
      </c>
      <c r="BP478" t="s">
        <v>74</v>
      </c>
      <c r="BQ478" t="s">
        <v>74</v>
      </c>
      <c r="BR478" t="s">
        <v>108</v>
      </c>
      <c r="BS478" t="s">
        <v>9150</v>
      </c>
      <c r="BT478" t="str">
        <f>HYPERLINK("https%3A%2F%2Fwww.webofscience.com%2Fwos%2Fwoscc%2Ffull-record%2FWOS:000900163800001","View Full Record in Web of Science")</f>
        <v>View Full Record in Web of Science</v>
      </c>
    </row>
    <row r="479" spans="1:72" x14ac:dyDescent="0.15">
      <c r="A479" t="s">
        <v>72</v>
      </c>
      <c r="B479" t="s">
        <v>9151</v>
      </c>
      <c r="C479" t="s">
        <v>74</v>
      </c>
      <c r="D479" t="s">
        <v>74</v>
      </c>
      <c r="E479" t="s">
        <v>74</v>
      </c>
      <c r="F479" t="s">
        <v>9152</v>
      </c>
      <c r="G479" t="s">
        <v>74</v>
      </c>
      <c r="H479" t="s">
        <v>74</v>
      </c>
      <c r="I479" t="s">
        <v>9153</v>
      </c>
      <c r="J479" t="s">
        <v>9154</v>
      </c>
      <c r="K479" t="s">
        <v>74</v>
      </c>
      <c r="L479" t="s">
        <v>74</v>
      </c>
      <c r="M479" t="s">
        <v>78</v>
      </c>
      <c r="N479" t="s">
        <v>79</v>
      </c>
      <c r="O479" t="s">
        <v>74</v>
      </c>
      <c r="P479" t="s">
        <v>74</v>
      </c>
      <c r="Q479" t="s">
        <v>74</v>
      </c>
      <c r="R479" t="s">
        <v>74</v>
      </c>
      <c r="S479" t="s">
        <v>74</v>
      </c>
      <c r="T479" t="s">
        <v>9155</v>
      </c>
      <c r="U479" t="s">
        <v>9156</v>
      </c>
      <c r="V479" t="s">
        <v>9157</v>
      </c>
      <c r="W479" t="s">
        <v>9158</v>
      </c>
      <c r="X479" t="s">
        <v>9159</v>
      </c>
      <c r="Y479" t="s">
        <v>9160</v>
      </c>
      <c r="Z479" t="s">
        <v>9161</v>
      </c>
      <c r="AA479" t="s">
        <v>9162</v>
      </c>
      <c r="AB479" t="s">
        <v>9163</v>
      </c>
      <c r="AC479" t="s">
        <v>74</v>
      </c>
      <c r="AD479" t="s">
        <v>74</v>
      </c>
      <c r="AE479" t="s">
        <v>74</v>
      </c>
      <c r="AF479" t="s">
        <v>74</v>
      </c>
      <c r="AG479">
        <v>132</v>
      </c>
      <c r="AH479">
        <v>3</v>
      </c>
      <c r="AI479">
        <v>3</v>
      </c>
      <c r="AJ479">
        <v>1</v>
      </c>
      <c r="AK479">
        <v>9</v>
      </c>
      <c r="AL479" t="s">
        <v>297</v>
      </c>
      <c r="AM479" t="s">
        <v>298</v>
      </c>
      <c r="AN479" t="s">
        <v>299</v>
      </c>
      <c r="AO479" t="s">
        <v>9164</v>
      </c>
      <c r="AP479" t="s">
        <v>9165</v>
      </c>
      <c r="AQ479" t="s">
        <v>74</v>
      </c>
      <c r="AR479" t="s">
        <v>9166</v>
      </c>
      <c r="AS479" t="s">
        <v>9167</v>
      </c>
      <c r="AT479" t="s">
        <v>276</v>
      </c>
      <c r="AU479">
        <v>2023</v>
      </c>
      <c r="AV479">
        <v>48</v>
      </c>
      <c r="AW479">
        <v>1</v>
      </c>
      <c r="AX479" t="s">
        <v>74</v>
      </c>
      <c r="AY479" t="s">
        <v>74</v>
      </c>
      <c r="AZ479" t="s">
        <v>74</v>
      </c>
      <c r="BA479" t="s">
        <v>74</v>
      </c>
      <c r="BB479">
        <v>142</v>
      </c>
      <c r="BC479">
        <v>162</v>
      </c>
      <c r="BD479" t="s">
        <v>74</v>
      </c>
      <c r="BE479" t="s">
        <v>9168</v>
      </c>
      <c r="BF479" t="str">
        <f>HYPERLINK("http://dx.doi.org/10.1111/syen.12567","http://dx.doi.org/10.1111/syen.12567")</f>
        <v>http://dx.doi.org/10.1111/syen.12567</v>
      </c>
      <c r="BG479" t="s">
        <v>74</v>
      </c>
      <c r="BH479" t="s">
        <v>5796</v>
      </c>
      <c r="BI479">
        <v>21</v>
      </c>
      <c r="BJ479" t="s">
        <v>9169</v>
      </c>
      <c r="BK479" t="s">
        <v>104</v>
      </c>
      <c r="BL479" t="s">
        <v>9169</v>
      </c>
      <c r="BM479" t="s">
        <v>9170</v>
      </c>
      <c r="BN479" t="s">
        <v>74</v>
      </c>
      <c r="BO479" t="s">
        <v>9171</v>
      </c>
      <c r="BP479" t="s">
        <v>74</v>
      </c>
      <c r="BQ479" t="s">
        <v>74</v>
      </c>
      <c r="BR479" t="s">
        <v>108</v>
      </c>
      <c r="BS479" t="s">
        <v>9172</v>
      </c>
      <c r="BT479" t="str">
        <f>HYPERLINK("https%3A%2F%2Fwww.webofscience.com%2Fwos%2Fwoscc%2Ffull-record%2FWOS:000898112700001","View Full Record in Web of Science")</f>
        <v>View Full Record in Web of Science</v>
      </c>
    </row>
    <row r="480" spans="1:72" x14ac:dyDescent="0.15">
      <c r="A480" t="s">
        <v>72</v>
      </c>
      <c r="B480" t="s">
        <v>9173</v>
      </c>
      <c r="C480" t="s">
        <v>74</v>
      </c>
      <c r="D480" t="s">
        <v>74</v>
      </c>
      <c r="E480" t="s">
        <v>74</v>
      </c>
      <c r="F480" t="s">
        <v>9174</v>
      </c>
      <c r="G480" t="s">
        <v>74</v>
      </c>
      <c r="H480" t="s">
        <v>74</v>
      </c>
      <c r="I480" t="s">
        <v>9175</v>
      </c>
      <c r="J480" t="s">
        <v>6711</v>
      </c>
      <c r="K480" t="s">
        <v>74</v>
      </c>
      <c r="L480" t="s">
        <v>74</v>
      </c>
      <c r="M480" t="s">
        <v>78</v>
      </c>
      <c r="N480" t="s">
        <v>79</v>
      </c>
      <c r="O480" t="s">
        <v>74</v>
      </c>
      <c r="P480" t="s">
        <v>74</v>
      </c>
      <c r="Q480" t="s">
        <v>74</v>
      </c>
      <c r="R480" t="s">
        <v>74</v>
      </c>
      <c r="S480" t="s">
        <v>74</v>
      </c>
      <c r="T480" t="s">
        <v>9176</v>
      </c>
      <c r="U480" t="s">
        <v>9177</v>
      </c>
      <c r="V480" t="s">
        <v>9178</v>
      </c>
      <c r="W480" t="s">
        <v>9179</v>
      </c>
      <c r="X480" t="s">
        <v>9180</v>
      </c>
      <c r="Y480" t="s">
        <v>9181</v>
      </c>
      <c r="Z480" t="s">
        <v>9182</v>
      </c>
      <c r="AA480" t="s">
        <v>74</v>
      </c>
      <c r="AB480" t="s">
        <v>74</v>
      </c>
      <c r="AC480" t="s">
        <v>9183</v>
      </c>
      <c r="AD480" t="s">
        <v>9184</v>
      </c>
      <c r="AE480" t="s">
        <v>9185</v>
      </c>
      <c r="AF480" t="s">
        <v>74</v>
      </c>
      <c r="AG480">
        <v>43</v>
      </c>
      <c r="AH480">
        <v>5</v>
      </c>
      <c r="AI480">
        <v>5</v>
      </c>
      <c r="AJ480">
        <v>8</v>
      </c>
      <c r="AK480">
        <v>33</v>
      </c>
      <c r="AL480" t="s">
        <v>603</v>
      </c>
      <c r="AM480" t="s">
        <v>208</v>
      </c>
      <c r="AN480" t="s">
        <v>604</v>
      </c>
      <c r="AO480" t="s">
        <v>6723</v>
      </c>
      <c r="AP480" t="s">
        <v>6724</v>
      </c>
      <c r="AQ480" t="s">
        <v>74</v>
      </c>
      <c r="AR480" t="s">
        <v>6725</v>
      </c>
      <c r="AS480" t="s">
        <v>6726</v>
      </c>
      <c r="AT480" t="s">
        <v>276</v>
      </c>
      <c r="AU480">
        <v>2023</v>
      </c>
      <c r="AV480">
        <v>186</v>
      </c>
      <c r="AW480" t="s">
        <v>74</v>
      </c>
      <c r="AX480" t="s">
        <v>74</v>
      </c>
      <c r="AY480" t="s">
        <v>74</v>
      </c>
      <c r="AZ480" t="s">
        <v>74</v>
      </c>
      <c r="BA480" t="s">
        <v>74</v>
      </c>
      <c r="BB480" t="s">
        <v>74</v>
      </c>
      <c r="BC480" t="s">
        <v>74</v>
      </c>
      <c r="BD480">
        <v>114441</v>
      </c>
      <c r="BE480" t="s">
        <v>9186</v>
      </c>
      <c r="BF480" t="str">
        <f>HYPERLINK("http://dx.doi.org/10.1016/j.marpolbul.2022.114441","http://dx.doi.org/10.1016/j.marpolbul.2022.114441")</f>
        <v>http://dx.doi.org/10.1016/j.marpolbul.2022.114441</v>
      </c>
      <c r="BG480" t="s">
        <v>74</v>
      </c>
      <c r="BH480" t="s">
        <v>5796</v>
      </c>
      <c r="BI480">
        <v>13</v>
      </c>
      <c r="BJ480" t="s">
        <v>6728</v>
      </c>
      <c r="BK480" t="s">
        <v>104</v>
      </c>
      <c r="BL480" t="s">
        <v>6729</v>
      </c>
      <c r="BM480" t="s">
        <v>9187</v>
      </c>
      <c r="BN480">
        <v>36473247</v>
      </c>
      <c r="BO480" t="s">
        <v>74</v>
      </c>
      <c r="BP480" t="s">
        <v>74</v>
      </c>
      <c r="BQ480" t="s">
        <v>74</v>
      </c>
      <c r="BR480" t="s">
        <v>108</v>
      </c>
      <c r="BS480" t="s">
        <v>9188</v>
      </c>
      <c r="BT480" t="str">
        <f>HYPERLINK("https%3A%2F%2Fwww.webofscience.com%2Fwos%2Fwoscc%2Ffull-record%2FWOS:000899006300003","View Full Record in Web of Science")</f>
        <v>View Full Record in Web of Science</v>
      </c>
    </row>
    <row r="481" spans="1:72" x14ac:dyDescent="0.15">
      <c r="A481" t="s">
        <v>72</v>
      </c>
      <c r="B481" t="s">
        <v>9189</v>
      </c>
      <c r="C481" t="s">
        <v>74</v>
      </c>
      <c r="D481" t="s">
        <v>74</v>
      </c>
      <c r="E481" t="s">
        <v>74</v>
      </c>
      <c r="F481" t="s">
        <v>9190</v>
      </c>
      <c r="G481" t="s">
        <v>74</v>
      </c>
      <c r="H481" t="s">
        <v>74</v>
      </c>
      <c r="I481" t="s">
        <v>9191</v>
      </c>
      <c r="J481" t="s">
        <v>9192</v>
      </c>
      <c r="K481" t="s">
        <v>74</v>
      </c>
      <c r="L481" t="s">
        <v>74</v>
      </c>
      <c r="M481" t="s">
        <v>78</v>
      </c>
      <c r="N481" t="s">
        <v>79</v>
      </c>
      <c r="O481" t="s">
        <v>74</v>
      </c>
      <c r="P481" t="s">
        <v>74</v>
      </c>
      <c r="Q481" t="s">
        <v>74</v>
      </c>
      <c r="R481" t="s">
        <v>74</v>
      </c>
      <c r="S481" t="s">
        <v>74</v>
      </c>
      <c r="T481" t="s">
        <v>9193</v>
      </c>
      <c r="U481" t="s">
        <v>9194</v>
      </c>
      <c r="V481" t="s">
        <v>9195</v>
      </c>
      <c r="W481" t="s">
        <v>9196</v>
      </c>
      <c r="X481" t="s">
        <v>9197</v>
      </c>
      <c r="Y481" t="s">
        <v>9198</v>
      </c>
      <c r="Z481" t="s">
        <v>9199</v>
      </c>
      <c r="AA481" t="s">
        <v>74</v>
      </c>
      <c r="AB481" t="s">
        <v>9200</v>
      </c>
      <c r="AC481" t="s">
        <v>9201</v>
      </c>
      <c r="AD481" t="s">
        <v>9202</v>
      </c>
      <c r="AE481" t="s">
        <v>9203</v>
      </c>
      <c r="AF481" t="s">
        <v>74</v>
      </c>
      <c r="AG481">
        <v>39</v>
      </c>
      <c r="AH481">
        <v>0</v>
      </c>
      <c r="AI481">
        <v>0</v>
      </c>
      <c r="AJ481">
        <v>1</v>
      </c>
      <c r="AK481">
        <v>5</v>
      </c>
      <c r="AL481" t="s">
        <v>297</v>
      </c>
      <c r="AM481" t="s">
        <v>298</v>
      </c>
      <c r="AN481" t="s">
        <v>299</v>
      </c>
      <c r="AO481" t="s">
        <v>9204</v>
      </c>
      <c r="AP481" t="s">
        <v>9205</v>
      </c>
      <c r="AQ481" t="s">
        <v>74</v>
      </c>
      <c r="AR481" t="s">
        <v>9206</v>
      </c>
      <c r="AS481" t="s">
        <v>9207</v>
      </c>
      <c r="AT481" t="s">
        <v>99</v>
      </c>
      <c r="AU481">
        <v>2023</v>
      </c>
      <c r="AV481">
        <v>102</v>
      </c>
      <c r="AW481">
        <v>2</v>
      </c>
      <c r="AX481" t="s">
        <v>74</v>
      </c>
      <c r="AY481" t="s">
        <v>74</v>
      </c>
      <c r="AZ481" t="s">
        <v>74</v>
      </c>
      <c r="BA481" t="s">
        <v>74</v>
      </c>
      <c r="BB481">
        <v>395</v>
      </c>
      <c r="BC481">
        <v>402</v>
      </c>
      <c r="BD481" t="s">
        <v>74</v>
      </c>
      <c r="BE481" t="s">
        <v>9208</v>
      </c>
      <c r="BF481" t="str">
        <f>HYPERLINK("http://dx.doi.org/10.1111/jfb.15267","http://dx.doi.org/10.1111/jfb.15267")</f>
        <v>http://dx.doi.org/10.1111/jfb.15267</v>
      </c>
      <c r="BG481" t="s">
        <v>74</v>
      </c>
      <c r="BH481" t="s">
        <v>5796</v>
      </c>
      <c r="BI481">
        <v>8</v>
      </c>
      <c r="BJ481" t="s">
        <v>5211</v>
      </c>
      <c r="BK481" t="s">
        <v>104</v>
      </c>
      <c r="BL481" t="s">
        <v>5211</v>
      </c>
      <c r="BM481" t="s">
        <v>9209</v>
      </c>
      <c r="BN481">
        <v>36371657</v>
      </c>
      <c r="BO481" t="s">
        <v>219</v>
      </c>
      <c r="BP481" t="s">
        <v>74</v>
      </c>
      <c r="BQ481" t="s">
        <v>74</v>
      </c>
      <c r="BR481" t="s">
        <v>108</v>
      </c>
      <c r="BS481" t="s">
        <v>9210</v>
      </c>
      <c r="BT481" t="str">
        <f>HYPERLINK("https%3A%2F%2Fwww.webofscience.com%2Fwos%2Fwoscc%2Ffull-record%2FWOS:000897506900001","View Full Record in Web of Science")</f>
        <v>View Full Record in Web of Science</v>
      </c>
    </row>
    <row r="482" spans="1:72" x14ac:dyDescent="0.15">
      <c r="A482" t="s">
        <v>72</v>
      </c>
      <c r="B482" t="s">
        <v>9211</v>
      </c>
      <c r="C482" t="s">
        <v>74</v>
      </c>
      <c r="D482" t="s">
        <v>74</v>
      </c>
      <c r="E482" t="s">
        <v>74</v>
      </c>
      <c r="F482" t="s">
        <v>9212</v>
      </c>
      <c r="G482" t="s">
        <v>74</v>
      </c>
      <c r="H482" t="s">
        <v>74</v>
      </c>
      <c r="I482" t="s">
        <v>9213</v>
      </c>
      <c r="J482" t="s">
        <v>7370</v>
      </c>
      <c r="K482" t="s">
        <v>74</v>
      </c>
      <c r="L482" t="s">
        <v>74</v>
      </c>
      <c r="M482" t="s">
        <v>78</v>
      </c>
      <c r="N482" t="s">
        <v>79</v>
      </c>
      <c r="O482" t="s">
        <v>74</v>
      </c>
      <c r="P482" t="s">
        <v>74</v>
      </c>
      <c r="Q482" t="s">
        <v>74</v>
      </c>
      <c r="R482" t="s">
        <v>74</v>
      </c>
      <c r="S482" t="s">
        <v>74</v>
      </c>
      <c r="T482" t="s">
        <v>74</v>
      </c>
      <c r="U482" t="s">
        <v>9214</v>
      </c>
      <c r="V482" t="s">
        <v>9215</v>
      </c>
      <c r="W482" t="s">
        <v>9216</v>
      </c>
      <c r="X482" t="s">
        <v>4258</v>
      </c>
      <c r="Y482" t="s">
        <v>9217</v>
      </c>
      <c r="Z482" t="s">
        <v>9218</v>
      </c>
      <c r="AA482" t="s">
        <v>9219</v>
      </c>
      <c r="AB482" t="s">
        <v>9220</v>
      </c>
      <c r="AC482" t="s">
        <v>9221</v>
      </c>
      <c r="AD482" t="s">
        <v>9222</v>
      </c>
      <c r="AE482" t="s">
        <v>9223</v>
      </c>
      <c r="AF482" t="s">
        <v>74</v>
      </c>
      <c r="AG482">
        <v>51</v>
      </c>
      <c r="AH482">
        <v>3</v>
      </c>
      <c r="AI482">
        <v>3</v>
      </c>
      <c r="AJ482">
        <v>4</v>
      </c>
      <c r="AK482">
        <v>11</v>
      </c>
      <c r="AL482" t="s">
        <v>182</v>
      </c>
      <c r="AM482" t="s">
        <v>183</v>
      </c>
      <c r="AN482" t="s">
        <v>184</v>
      </c>
      <c r="AO482" t="s">
        <v>7382</v>
      </c>
      <c r="AP482" t="s">
        <v>7383</v>
      </c>
      <c r="AQ482" t="s">
        <v>74</v>
      </c>
      <c r="AR482" t="s">
        <v>7384</v>
      </c>
      <c r="AS482" t="s">
        <v>7385</v>
      </c>
      <c r="AT482" t="s">
        <v>276</v>
      </c>
      <c r="AU482">
        <v>2023</v>
      </c>
      <c r="AV482">
        <v>16</v>
      </c>
      <c r="AW482">
        <v>1</v>
      </c>
      <c r="AX482" t="s">
        <v>74</v>
      </c>
      <c r="AY482" t="s">
        <v>74</v>
      </c>
      <c r="AZ482" t="s">
        <v>74</v>
      </c>
      <c r="BA482" t="s">
        <v>74</v>
      </c>
      <c r="BB482">
        <v>44</v>
      </c>
      <c r="BC482" t="s">
        <v>351</v>
      </c>
      <c r="BD482" t="s">
        <v>74</v>
      </c>
      <c r="BE482" t="s">
        <v>9224</v>
      </c>
      <c r="BF482" t="str">
        <f>HYPERLINK("http://dx.doi.org/10.1038/s41561-022-01088-w","http://dx.doi.org/10.1038/s41561-022-01088-w")</f>
        <v>http://dx.doi.org/10.1038/s41561-022-01088-w</v>
      </c>
      <c r="BG482" t="s">
        <v>74</v>
      </c>
      <c r="BH482" t="s">
        <v>5796</v>
      </c>
      <c r="BI482">
        <v>12</v>
      </c>
      <c r="BJ482" t="s">
        <v>455</v>
      </c>
      <c r="BK482" t="s">
        <v>104</v>
      </c>
      <c r="BL482" t="s">
        <v>456</v>
      </c>
      <c r="BM482" t="s">
        <v>7387</v>
      </c>
      <c r="BN482" t="s">
        <v>74</v>
      </c>
      <c r="BO482" t="s">
        <v>74</v>
      </c>
      <c r="BP482" t="s">
        <v>74</v>
      </c>
      <c r="BQ482" t="s">
        <v>74</v>
      </c>
      <c r="BR482" t="s">
        <v>108</v>
      </c>
      <c r="BS482" t="s">
        <v>9225</v>
      </c>
      <c r="BT482" t="str">
        <f>HYPERLINK("https%3A%2F%2Fwww.webofscience.com%2Fwos%2Fwoscc%2Ffull-record%2FWOS:000894413900001","View Full Record in Web of Science")</f>
        <v>View Full Record in Web of Science</v>
      </c>
    </row>
    <row r="483" spans="1:72" x14ac:dyDescent="0.15">
      <c r="A483" t="s">
        <v>72</v>
      </c>
      <c r="B483" t="s">
        <v>9226</v>
      </c>
      <c r="C483" t="s">
        <v>74</v>
      </c>
      <c r="D483" t="s">
        <v>74</v>
      </c>
      <c r="E483" t="s">
        <v>74</v>
      </c>
      <c r="F483" t="s">
        <v>9227</v>
      </c>
      <c r="G483" t="s">
        <v>74</v>
      </c>
      <c r="H483" t="s">
        <v>74</v>
      </c>
      <c r="I483" t="s">
        <v>9228</v>
      </c>
      <c r="J483" t="s">
        <v>7798</v>
      </c>
      <c r="K483" t="s">
        <v>74</v>
      </c>
      <c r="L483" t="s">
        <v>74</v>
      </c>
      <c r="M483" t="s">
        <v>78</v>
      </c>
      <c r="N483" t="s">
        <v>79</v>
      </c>
      <c r="O483" t="s">
        <v>74</v>
      </c>
      <c r="P483" t="s">
        <v>74</v>
      </c>
      <c r="Q483" t="s">
        <v>74</v>
      </c>
      <c r="R483" t="s">
        <v>74</v>
      </c>
      <c r="S483" t="s">
        <v>74</v>
      </c>
      <c r="T483" t="s">
        <v>9229</v>
      </c>
      <c r="U483" t="s">
        <v>9230</v>
      </c>
      <c r="V483" t="s">
        <v>9231</v>
      </c>
      <c r="W483" t="s">
        <v>9232</v>
      </c>
      <c r="X483" t="s">
        <v>9233</v>
      </c>
      <c r="Y483" t="s">
        <v>9234</v>
      </c>
      <c r="Z483" t="s">
        <v>9235</v>
      </c>
      <c r="AA483" t="s">
        <v>9236</v>
      </c>
      <c r="AB483" t="s">
        <v>9237</v>
      </c>
      <c r="AC483" t="s">
        <v>9238</v>
      </c>
      <c r="AD483" t="s">
        <v>9239</v>
      </c>
      <c r="AE483" t="s">
        <v>9240</v>
      </c>
      <c r="AF483" t="s">
        <v>74</v>
      </c>
      <c r="AG483">
        <v>36</v>
      </c>
      <c r="AH483">
        <v>1</v>
      </c>
      <c r="AI483">
        <v>1</v>
      </c>
      <c r="AJ483">
        <v>0</v>
      </c>
      <c r="AK483">
        <v>5</v>
      </c>
      <c r="AL483" t="s">
        <v>92</v>
      </c>
      <c r="AM483" t="s">
        <v>7640</v>
      </c>
      <c r="AN483" t="s">
        <v>7811</v>
      </c>
      <c r="AO483" t="s">
        <v>7812</v>
      </c>
      <c r="AP483" t="s">
        <v>7813</v>
      </c>
      <c r="AQ483" t="s">
        <v>74</v>
      </c>
      <c r="AR483" t="s">
        <v>7814</v>
      </c>
      <c r="AS483" t="s">
        <v>7815</v>
      </c>
      <c r="AT483" t="s">
        <v>9241</v>
      </c>
      <c r="AU483">
        <v>2023</v>
      </c>
      <c r="AV483">
        <v>69</v>
      </c>
      <c r="AW483">
        <v>275</v>
      </c>
      <c r="AX483" t="s">
        <v>74</v>
      </c>
      <c r="AY483" t="s">
        <v>74</v>
      </c>
      <c r="AZ483" t="s">
        <v>74</v>
      </c>
      <c r="BA483" t="s">
        <v>74</v>
      </c>
      <c r="BB483">
        <v>623</v>
      </c>
      <c r="BC483">
        <v>638</v>
      </c>
      <c r="BD483" t="s">
        <v>9242</v>
      </c>
      <c r="BE483" t="s">
        <v>9243</v>
      </c>
      <c r="BF483" t="str">
        <f>HYPERLINK("http://dx.doi.org/10.1017/jog.2022.94","http://dx.doi.org/10.1017/jog.2022.94")</f>
        <v>http://dx.doi.org/10.1017/jog.2022.94</v>
      </c>
      <c r="BG483" t="s">
        <v>74</v>
      </c>
      <c r="BH483" t="s">
        <v>5796</v>
      </c>
      <c r="BI483">
        <v>16</v>
      </c>
      <c r="BJ483" t="s">
        <v>611</v>
      </c>
      <c r="BK483" t="s">
        <v>104</v>
      </c>
      <c r="BL483" t="s">
        <v>612</v>
      </c>
      <c r="BM483" t="s">
        <v>9244</v>
      </c>
      <c r="BN483" t="s">
        <v>74</v>
      </c>
      <c r="BO483" t="s">
        <v>9245</v>
      </c>
      <c r="BP483" t="s">
        <v>74</v>
      </c>
      <c r="BQ483" t="s">
        <v>74</v>
      </c>
      <c r="BR483" t="s">
        <v>108</v>
      </c>
      <c r="BS483" t="s">
        <v>9246</v>
      </c>
      <c r="BT483" t="str">
        <f>HYPERLINK("https%3A%2F%2Fwww.webofscience.com%2Fwos%2Fwoscc%2Ffull-record%2FWOS:000893905500001","View Full Record in Web of Science")</f>
        <v>View Full Record in Web of Science</v>
      </c>
    </row>
    <row r="484" spans="1:72" x14ac:dyDescent="0.15">
      <c r="A484" t="s">
        <v>72</v>
      </c>
      <c r="B484" t="s">
        <v>9247</v>
      </c>
      <c r="C484" t="s">
        <v>74</v>
      </c>
      <c r="D484" t="s">
        <v>74</v>
      </c>
      <c r="E484" t="s">
        <v>74</v>
      </c>
      <c r="F484" t="s">
        <v>9248</v>
      </c>
      <c r="G484" t="s">
        <v>74</v>
      </c>
      <c r="H484" t="s">
        <v>74</v>
      </c>
      <c r="I484" t="s">
        <v>9249</v>
      </c>
      <c r="J484" t="s">
        <v>9250</v>
      </c>
      <c r="K484" t="s">
        <v>74</v>
      </c>
      <c r="L484" t="s">
        <v>74</v>
      </c>
      <c r="M484" t="s">
        <v>78</v>
      </c>
      <c r="N484" t="s">
        <v>79</v>
      </c>
      <c r="O484" t="s">
        <v>74</v>
      </c>
      <c r="P484" t="s">
        <v>74</v>
      </c>
      <c r="Q484" t="s">
        <v>74</v>
      </c>
      <c r="R484" t="s">
        <v>74</v>
      </c>
      <c r="S484" t="s">
        <v>74</v>
      </c>
      <c r="T484" t="s">
        <v>9251</v>
      </c>
      <c r="U484" t="s">
        <v>9252</v>
      </c>
      <c r="V484" t="s">
        <v>9253</v>
      </c>
      <c r="W484" t="s">
        <v>9254</v>
      </c>
      <c r="X484" t="s">
        <v>9255</v>
      </c>
      <c r="Y484" t="s">
        <v>9256</v>
      </c>
      <c r="Z484" t="s">
        <v>9257</v>
      </c>
      <c r="AA484" t="s">
        <v>9258</v>
      </c>
      <c r="AB484" t="s">
        <v>9259</v>
      </c>
      <c r="AC484" t="s">
        <v>9260</v>
      </c>
      <c r="AD484" t="s">
        <v>9260</v>
      </c>
      <c r="AE484" t="s">
        <v>9261</v>
      </c>
      <c r="AF484" t="s">
        <v>74</v>
      </c>
      <c r="AG484">
        <v>55</v>
      </c>
      <c r="AH484">
        <v>2</v>
      </c>
      <c r="AI484">
        <v>2</v>
      </c>
      <c r="AJ484">
        <v>2</v>
      </c>
      <c r="AK484">
        <v>7</v>
      </c>
      <c r="AL484" t="s">
        <v>9262</v>
      </c>
      <c r="AM484" t="s">
        <v>9263</v>
      </c>
      <c r="AN484" t="s">
        <v>9264</v>
      </c>
      <c r="AO484" t="s">
        <v>9265</v>
      </c>
      <c r="AP484" t="s">
        <v>9266</v>
      </c>
      <c r="AQ484" t="s">
        <v>74</v>
      </c>
      <c r="AR484" t="s">
        <v>9267</v>
      </c>
      <c r="AS484" t="s">
        <v>9268</v>
      </c>
      <c r="AT484" t="s">
        <v>9269</v>
      </c>
      <c r="AU484">
        <v>2023</v>
      </c>
      <c r="AV484">
        <v>104</v>
      </c>
      <c r="AW484">
        <v>1</v>
      </c>
      <c r="AX484" t="s">
        <v>74</v>
      </c>
      <c r="AY484" t="s">
        <v>74</v>
      </c>
      <c r="AZ484" t="s">
        <v>74</v>
      </c>
      <c r="BA484" t="s">
        <v>74</v>
      </c>
      <c r="BB484">
        <v>29</v>
      </c>
      <c r="BC484">
        <v>38</v>
      </c>
      <c r="BD484" t="s">
        <v>74</v>
      </c>
      <c r="BE484" t="s">
        <v>9270</v>
      </c>
      <c r="BF484" t="str">
        <f>HYPERLINK("http://dx.doi.org/10.1093/jmammal/gyac106","http://dx.doi.org/10.1093/jmammal/gyac106")</f>
        <v>http://dx.doi.org/10.1093/jmammal/gyac106</v>
      </c>
      <c r="BG484" t="s">
        <v>74</v>
      </c>
      <c r="BH484" t="s">
        <v>5796</v>
      </c>
      <c r="BI484">
        <v>10</v>
      </c>
      <c r="BJ484" t="s">
        <v>2468</v>
      </c>
      <c r="BK484" t="s">
        <v>104</v>
      </c>
      <c r="BL484" t="s">
        <v>2468</v>
      </c>
      <c r="BM484" t="s">
        <v>9271</v>
      </c>
      <c r="BN484" t="s">
        <v>74</v>
      </c>
      <c r="BO484" t="s">
        <v>660</v>
      </c>
      <c r="BP484" t="s">
        <v>74</v>
      </c>
      <c r="BQ484" t="s">
        <v>74</v>
      </c>
      <c r="BR484" t="s">
        <v>108</v>
      </c>
      <c r="BS484" t="s">
        <v>9272</v>
      </c>
      <c r="BT484" t="str">
        <f>HYPERLINK("https%3A%2F%2Fwww.webofscience.com%2Fwos%2Fwoscc%2Ffull-record%2FWOS:000893986900001","View Full Record in Web of Science")</f>
        <v>View Full Record in Web of Science</v>
      </c>
    </row>
    <row r="485" spans="1:72" x14ac:dyDescent="0.15">
      <c r="A485" t="s">
        <v>72</v>
      </c>
      <c r="B485" t="s">
        <v>9273</v>
      </c>
      <c r="C485" t="s">
        <v>74</v>
      </c>
      <c r="D485" t="s">
        <v>74</v>
      </c>
      <c r="E485" t="s">
        <v>74</v>
      </c>
      <c r="F485" t="s">
        <v>9274</v>
      </c>
      <c r="G485" t="s">
        <v>74</v>
      </c>
      <c r="H485" t="s">
        <v>74</v>
      </c>
      <c r="I485" t="s">
        <v>9275</v>
      </c>
      <c r="J485" t="s">
        <v>9276</v>
      </c>
      <c r="K485" t="s">
        <v>74</v>
      </c>
      <c r="L485" t="s">
        <v>74</v>
      </c>
      <c r="M485" t="s">
        <v>78</v>
      </c>
      <c r="N485" t="s">
        <v>79</v>
      </c>
      <c r="O485" t="s">
        <v>74</v>
      </c>
      <c r="P485" t="s">
        <v>74</v>
      </c>
      <c r="Q485" t="s">
        <v>74</v>
      </c>
      <c r="R485" t="s">
        <v>74</v>
      </c>
      <c r="S485" t="s">
        <v>74</v>
      </c>
      <c r="T485" t="s">
        <v>9277</v>
      </c>
      <c r="U485" t="s">
        <v>9278</v>
      </c>
      <c r="V485" t="s">
        <v>9279</v>
      </c>
      <c r="W485" t="s">
        <v>9280</v>
      </c>
      <c r="X485" t="s">
        <v>9281</v>
      </c>
      <c r="Y485" t="s">
        <v>9282</v>
      </c>
      <c r="Z485" t="s">
        <v>9283</v>
      </c>
      <c r="AA485" t="s">
        <v>9284</v>
      </c>
      <c r="AB485" t="s">
        <v>9285</v>
      </c>
      <c r="AC485" t="s">
        <v>9286</v>
      </c>
      <c r="AD485" t="s">
        <v>9287</v>
      </c>
      <c r="AE485" t="s">
        <v>9288</v>
      </c>
      <c r="AF485" t="s">
        <v>74</v>
      </c>
      <c r="AG485">
        <v>132</v>
      </c>
      <c r="AH485">
        <v>0</v>
      </c>
      <c r="AI485">
        <v>0</v>
      </c>
      <c r="AJ485">
        <v>2</v>
      </c>
      <c r="AK485">
        <v>8</v>
      </c>
      <c r="AL485" t="s">
        <v>297</v>
      </c>
      <c r="AM485" t="s">
        <v>298</v>
      </c>
      <c r="AN485" t="s">
        <v>299</v>
      </c>
      <c r="AO485" t="s">
        <v>74</v>
      </c>
      <c r="AP485" t="s">
        <v>9289</v>
      </c>
      <c r="AQ485" t="s">
        <v>74</v>
      </c>
      <c r="AR485" t="s">
        <v>9290</v>
      </c>
      <c r="AS485" t="s">
        <v>9291</v>
      </c>
      <c r="AT485" t="s">
        <v>99</v>
      </c>
      <c r="AU485">
        <v>2023</v>
      </c>
      <c r="AV485">
        <v>9</v>
      </c>
      <c r="AW485">
        <v>1</v>
      </c>
      <c r="AX485" t="s">
        <v>74</v>
      </c>
      <c r="AY485" t="s">
        <v>74</v>
      </c>
      <c r="AZ485" t="s">
        <v>74</v>
      </c>
      <c r="BA485" t="s">
        <v>74</v>
      </c>
      <c r="BB485">
        <v>30</v>
      </c>
      <c r="BC485">
        <v>51</v>
      </c>
      <c r="BD485" t="s">
        <v>74</v>
      </c>
      <c r="BE485" t="s">
        <v>9292</v>
      </c>
      <c r="BF485" t="str">
        <f>HYPERLINK("http://dx.doi.org/10.1002/dep2.212","http://dx.doi.org/10.1002/dep2.212")</f>
        <v>http://dx.doi.org/10.1002/dep2.212</v>
      </c>
      <c r="BG485" t="s">
        <v>74</v>
      </c>
      <c r="BH485" t="s">
        <v>5796</v>
      </c>
      <c r="BI485">
        <v>22</v>
      </c>
      <c r="BJ485" t="s">
        <v>456</v>
      </c>
      <c r="BK485" t="s">
        <v>104</v>
      </c>
      <c r="BL485" t="s">
        <v>456</v>
      </c>
      <c r="BM485" t="s">
        <v>9293</v>
      </c>
      <c r="BN485" t="s">
        <v>74</v>
      </c>
      <c r="BO485" t="s">
        <v>9294</v>
      </c>
      <c r="BP485" t="s">
        <v>74</v>
      </c>
      <c r="BQ485" t="s">
        <v>74</v>
      </c>
      <c r="BR485" t="s">
        <v>108</v>
      </c>
      <c r="BS485" t="s">
        <v>9295</v>
      </c>
      <c r="BT485" t="str">
        <f>HYPERLINK("https%3A%2F%2Fwww.webofscience.com%2Fwos%2Fwoscc%2Ffull-record%2FWOS:000897699800001","View Full Record in Web of Science")</f>
        <v>View Full Record in Web of Science</v>
      </c>
    </row>
    <row r="486" spans="1:72" x14ac:dyDescent="0.15">
      <c r="A486" t="s">
        <v>72</v>
      </c>
      <c r="B486" t="s">
        <v>9296</v>
      </c>
      <c r="C486" t="s">
        <v>74</v>
      </c>
      <c r="D486" t="s">
        <v>74</v>
      </c>
      <c r="E486" t="s">
        <v>74</v>
      </c>
      <c r="F486" t="s">
        <v>9297</v>
      </c>
      <c r="G486" t="s">
        <v>74</v>
      </c>
      <c r="H486" t="s">
        <v>74</v>
      </c>
      <c r="I486" t="s">
        <v>9298</v>
      </c>
      <c r="J486" t="s">
        <v>8122</v>
      </c>
      <c r="K486" t="s">
        <v>74</v>
      </c>
      <c r="L486" t="s">
        <v>74</v>
      </c>
      <c r="M486" t="s">
        <v>78</v>
      </c>
      <c r="N486" t="s">
        <v>6601</v>
      </c>
      <c r="O486" t="s">
        <v>74</v>
      </c>
      <c r="P486" t="s">
        <v>74</v>
      </c>
      <c r="Q486" t="s">
        <v>74</v>
      </c>
      <c r="R486" t="s">
        <v>74</v>
      </c>
      <c r="S486" t="s">
        <v>74</v>
      </c>
      <c r="T486" t="s">
        <v>74</v>
      </c>
      <c r="U486" t="s">
        <v>9299</v>
      </c>
      <c r="V486" t="s">
        <v>9300</v>
      </c>
      <c r="W486" t="s">
        <v>9301</v>
      </c>
      <c r="X486" t="s">
        <v>9302</v>
      </c>
      <c r="Y486" t="s">
        <v>9303</v>
      </c>
      <c r="Z486" t="s">
        <v>9304</v>
      </c>
      <c r="AA486" t="s">
        <v>9305</v>
      </c>
      <c r="AB486" t="s">
        <v>9306</v>
      </c>
      <c r="AC486" t="s">
        <v>9307</v>
      </c>
      <c r="AD486" t="s">
        <v>9308</v>
      </c>
      <c r="AE486" t="s">
        <v>9309</v>
      </c>
      <c r="AF486" t="s">
        <v>74</v>
      </c>
      <c r="AG486">
        <v>50</v>
      </c>
      <c r="AH486">
        <v>0</v>
      </c>
      <c r="AI486">
        <v>0</v>
      </c>
      <c r="AJ486">
        <v>0</v>
      </c>
      <c r="AK486">
        <v>2</v>
      </c>
      <c r="AL486" t="s">
        <v>182</v>
      </c>
      <c r="AM486" t="s">
        <v>183</v>
      </c>
      <c r="AN486" t="s">
        <v>184</v>
      </c>
      <c r="AO486" t="s">
        <v>74</v>
      </c>
      <c r="AP486" t="s">
        <v>8134</v>
      </c>
      <c r="AQ486" t="s">
        <v>74</v>
      </c>
      <c r="AR486" t="s">
        <v>8135</v>
      </c>
      <c r="AS486" t="s">
        <v>8136</v>
      </c>
      <c r="AT486" t="s">
        <v>9310</v>
      </c>
      <c r="AU486">
        <v>2022</v>
      </c>
      <c r="AV486">
        <v>9</v>
      </c>
      <c r="AW486">
        <v>1</v>
      </c>
      <c r="AX486" t="s">
        <v>74</v>
      </c>
      <c r="AY486" t="s">
        <v>74</v>
      </c>
      <c r="AZ486" t="s">
        <v>74</v>
      </c>
      <c r="BA486" t="s">
        <v>74</v>
      </c>
      <c r="BB486" t="s">
        <v>74</v>
      </c>
      <c r="BC486" t="s">
        <v>74</v>
      </c>
      <c r="BD486">
        <v>750</v>
      </c>
      <c r="BE486" t="s">
        <v>9311</v>
      </c>
      <c r="BF486" t="str">
        <f>HYPERLINK("http://dx.doi.org/10.1038/s41597-022-01865-7","http://dx.doi.org/10.1038/s41597-022-01865-7")</f>
        <v>http://dx.doi.org/10.1038/s41597-022-01865-7</v>
      </c>
      <c r="BG486" t="s">
        <v>74</v>
      </c>
      <c r="BH486" t="s">
        <v>74</v>
      </c>
      <c r="BI486">
        <v>9</v>
      </c>
      <c r="BJ486" t="s">
        <v>189</v>
      </c>
      <c r="BK486" t="s">
        <v>104</v>
      </c>
      <c r="BL486" t="s">
        <v>190</v>
      </c>
      <c r="BM486" t="s">
        <v>9312</v>
      </c>
      <c r="BN486">
        <v>36463241</v>
      </c>
      <c r="BO486" t="s">
        <v>192</v>
      </c>
      <c r="BP486" t="s">
        <v>74</v>
      </c>
      <c r="BQ486" t="s">
        <v>74</v>
      </c>
      <c r="BR486" t="s">
        <v>108</v>
      </c>
      <c r="BS486" t="s">
        <v>9313</v>
      </c>
      <c r="BT486" t="str">
        <f>HYPERLINK("https%3A%2F%2Fwww.webofscience.com%2Fwos%2Fwoscc%2Ffull-record%2FWOS:000893934400003","View Full Record in Web of Science")</f>
        <v>View Full Record in Web of Science</v>
      </c>
    </row>
    <row r="487" spans="1:72" x14ac:dyDescent="0.15">
      <c r="A487" t="s">
        <v>72</v>
      </c>
      <c r="B487" t="s">
        <v>9314</v>
      </c>
      <c r="C487" t="s">
        <v>74</v>
      </c>
      <c r="D487" t="s">
        <v>74</v>
      </c>
      <c r="E487" t="s">
        <v>74</v>
      </c>
      <c r="F487" t="s">
        <v>9315</v>
      </c>
      <c r="G487" t="s">
        <v>74</v>
      </c>
      <c r="H487" t="s">
        <v>74</v>
      </c>
      <c r="I487" t="s">
        <v>9316</v>
      </c>
      <c r="J487" t="s">
        <v>9317</v>
      </c>
      <c r="K487" t="s">
        <v>74</v>
      </c>
      <c r="L487" t="s">
        <v>74</v>
      </c>
      <c r="M487" t="s">
        <v>78</v>
      </c>
      <c r="N487" t="s">
        <v>79</v>
      </c>
      <c r="O487" t="s">
        <v>74</v>
      </c>
      <c r="P487" t="s">
        <v>74</v>
      </c>
      <c r="Q487" t="s">
        <v>74</v>
      </c>
      <c r="R487" t="s">
        <v>74</v>
      </c>
      <c r="S487" t="s">
        <v>74</v>
      </c>
      <c r="T487" t="s">
        <v>74</v>
      </c>
      <c r="U487" t="s">
        <v>9318</v>
      </c>
      <c r="V487" t="s">
        <v>9319</v>
      </c>
      <c r="W487" t="s">
        <v>9320</v>
      </c>
      <c r="X487" t="s">
        <v>9321</v>
      </c>
      <c r="Y487" t="s">
        <v>9322</v>
      </c>
      <c r="Z487" t="s">
        <v>9323</v>
      </c>
      <c r="AA487" t="s">
        <v>9324</v>
      </c>
      <c r="AB487" t="s">
        <v>9325</v>
      </c>
      <c r="AC487" t="s">
        <v>9326</v>
      </c>
      <c r="AD487" t="s">
        <v>9327</v>
      </c>
      <c r="AE487" t="s">
        <v>9328</v>
      </c>
      <c r="AF487" t="s">
        <v>74</v>
      </c>
      <c r="AG487">
        <v>51</v>
      </c>
      <c r="AH487">
        <v>5</v>
      </c>
      <c r="AI487">
        <v>5</v>
      </c>
      <c r="AJ487">
        <v>1</v>
      </c>
      <c r="AK487">
        <v>9</v>
      </c>
      <c r="AL487" t="s">
        <v>182</v>
      </c>
      <c r="AM487" t="s">
        <v>183</v>
      </c>
      <c r="AN487" t="s">
        <v>184</v>
      </c>
      <c r="AO487" t="s">
        <v>74</v>
      </c>
      <c r="AP487" t="s">
        <v>9329</v>
      </c>
      <c r="AQ487" t="s">
        <v>74</v>
      </c>
      <c r="AR487" t="s">
        <v>9330</v>
      </c>
      <c r="AS487" t="s">
        <v>9331</v>
      </c>
      <c r="AT487" t="s">
        <v>9310</v>
      </c>
      <c r="AU487">
        <v>2022</v>
      </c>
      <c r="AV487">
        <v>5</v>
      </c>
      <c r="AW487">
        <v>1</v>
      </c>
      <c r="AX487" t="s">
        <v>74</v>
      </c>
      <c r="AY487" t="s">
        <v>74</v>
      </c>
      <c r="AZ487" t="s">
        <v>74</v>
      </c>
      <c r="BA487" t="s">
        <v>74</v>
      </c>
      <c r="BB487" t="s">
        <v>74</v>
      </c>
      <c r="BC487" t="s">
        <v>74</v>
      </c>
      <c r="BD487">
        <v>1329</v>
      </c>
      <c r="BE487" t="s">
        <v>9332</v>
      </c>
      <c r="BF487" t="str">
        <f>HYPERLINK("http://dx.doi.org/10.1038/s42003-022-04273-0","http://dx.doi.org/10.1038/s42003-022-04273-0")</f>
        <v>http://dx.doi.org/10.1038/s42003-022-04273-0</v>
      </c>
      <c r="BG487" t="s">
        <v>74</v>
      </c>
      <c r="BH487" t="s">
        <v>74</v>
      </c>
      <c r="BI487">
        <v>10</v>
      </c>
      <c r="BJ487" t="s">
        <v>9333</v>
      </c>
      <c r="BK487" t="s">
        <v>104</v>
      </c>
      <c r="BL487" t="s">
        <v>9334</v>
      </c>
      <c r="BM487" t="s">
        <v>9335</v>
      </c>
      <c r="BN487">
        <v>36463333</v>
      </c>
      <c r="BO487" t="s">
        <v>3181</v>
      </c>
      <c r="BP487" t="s">
        <v>74</v>
      </c>
      <c r="BQ487" t="s">
        <v>74</v>
      </c>
      <c r="BR487" t="s">
        <v>108</v>
      </c>
      <c r="BS487" t="s">
        <v>9336</v>
      </c>
      <c r="BT487" t="str">
        <f>HYPERLINK("https%3A%2F%2Fwww.webofscience.com%2Fwos%2Fwoscc%2Ffull-record%2FWOS:000894480000003","View Full Record in Web of Science")</f>
        <v>View Full Record in Web of Science</v>
      </c>
    </row>
    <row r="488" spans="1:72" x14ac:dyDescent="0.15">
      <c r="A488" t="s">
        <v>72</v>
      </c>
      <c r="B488" t="s">
        <v>9337</v>
      </c>
      <c r="C488" t="s">
        <v>74</v>
      </c>
      <c r="D488" t="s">
        <v>74</v>
      </c>
      <c r="E488" t="s">
        <v>74</v>
      </c>
      <c r="F488" t="s">
        <v>9338</v>
      </c>
      <c r="G488" t="s">
        <v>74</v>
      </c>
      <c r="H488" t="s">
        <v>74</v>
      </c>
      <c r="I488" t="s">
        <v>9339</v>
      </c>
      <c r="J488" t="s">
        <v>9340</v>
      </c>
      <c r="K488" t="s">
        <v>74</v>
      </c>
      <c r="L488" t="s">
        <v>74</v>
      </c>
      <c r="M488" t="s">
        <v>78</v>
      </c>
      <c r="N488" t="s">
        <v>79</v>
      </c>
      <c r="O488" t="s">
        <v>74</v>
      </c>
      <c r="P488" t="s">
        <v>74</v>
      </c>
      <c r="Q488" t="s">
        <v>74</v>
      </c>
      <c r="R488" t="s">
        <v>74</v>
      </c>
      <c r="S488" t="s">
        <v>74</v>
      </c>
      <c r="T488" t="s">
        <v>9341</v>
      </c>
      <c r="U488" t="s">
        <v>9342</v>
      </c>
      <c r="V488" t="s">
        <v>9343</v>
      </c>
      <c r="W488" t="s">
        <v>9344</v>
      </c>
      <c r="X488" t="s">
        <v>9345</v>
      </c>
      <c r="Y488" t="s">
        <v>9346</v>
      </c>
      <c r="Z488" t="s">
        <v>9347</v>
      </c>
      <c r="AA488" t="s">
        <v>9348</v>
      </c>
      <c r="AB488" t="s">
        <v>9349</v>
      </c>
      <c r="AC488" t="s">
        <v>9350</v>
      </c>
      <c r="AD488" t="s">
        <v>9351</v>
      </c>
      <c r="AE488" t="s">
        <v>9352</v>
      </c>
      <c r="AF488" t="s">
        <v>74</v>
      </c>
      <c r="AG488">
        <v>97</v>
      </c>
      <c r="AH488">
        <v>4</v>
      </c>
      <c r="AI488">
        <v>4</v>
      </c>
      <c r="AJ488">
        <v>6</v>
      </c>
      <c r="AK488">
        <v>11</v>
      </c>
      <c r="AL488" t="s">
        <v>422</v>
      </c>
      <c r="AM488" t="s">
        <v>208</v>
      </c>
      <c r="AN488" t="s">
        <v>423</v>
      </c>
      <c r="AO488" t="s">
        <v>9353</v>
      </c>
      <c r="AP488" t="s">
        <v>9354</v>
      </c>
      <c r="AQ488" t="s">
        <v>74</v>
      </c>
      <c r="AR488" t="s">
        <v>9355</v>
      </c>
      <c r="AS488" t="s">
        <v>9356</v>
      </c>
      <c r="AT488" t="s">
        <v>9357</v>
      </c>
      <c r="AU488">
        <v>2023</v>
      </c>
      <c r="AV488">
        <v>197</v>
      </c>
      <c r="AW488">
        <v>4</v>
      </c>
      <c r="AX488" t="s">
        <v>74</v>
      </c>
      <c r="AY488" t="s">
        <v>74</v>
      </c>
      <c r="AZ488" t="s">
        <v>74</v>
      </c>
      <c r="BA488" t="s">
        <v>74</v>
      </c>
      <c r="BB488">
        <v>924</v>
      </c>
      <c r="BC488">
        <v>964</v>
      </c>
      <c r="BD488" t="s">
        <v>74</v>
      </c>
      <c r="BE488" t="s">
        <v>9358</v>
      </c>
      <c r="BF488" t="str">
        <f>HYPERLINK("http://dx.doi.org/10.1093/zoolinnean/zlac091","http://dx.doi.org/10.1093/zoolinnean/zlac091")</f>
        <v>http://dx.doi.org/10.1093/zoolinnean/zlac091</v>
      </c>
      <c r="BG488" t="s">
        <v>74</v>
      </c>
      <c r="BH488" t="s">
        <v>5796</v>
      </c>
      <c r="BI488">
        <v>41</v>
      </c>
      <c r="BJ488" t="s">
        <v>2468</v>
      </c>
      <c r="BK488" t="s">
        <v>104</v>
      </c>
      <c r="BL488" t="s">
        <v>2468</v>
      </c>
      <c r="BM488" t="s">
        <v>9359</v>
      </c>
      <c r="BN488" t="s">
        <v>74</v>
      </c>
      <c r="BO488" t="s">
        <v>660</v>
      </c>
      <c r="BP488" t="s">
        <v>74</v>
      </c>
      <c r="BQ488" t="s">
        <v>74</v>
      </c>
      <c r="BR488" t="s">
        <v>108</v>
      </c>
      <c r="BS488" t="s">
        <v>9360</v>
      </c>
      <c r="BT488" t="str">
        <f>HYPERLINK("https%3A%2F%2Fwww.webofscience.com%2Fwos%2Fwoscc%2Ffull-record%2FWOS:000893403100001","View Full Record in Web of Science")</f>
        <v>View Full Record in Web of Science</v>
      </c>
    </row>
    <row r="489" spans="1:72" x14ac:dyDescent="0.15">
      <c r="A489" t="s">
        <v>72</v>
      </c>
      <c r="B489" t="s">
        <v>9361</v>
      </c>
      <c r="C489" t="s">
        <v>74</v>
      </c>
      <c r="D489" t="s">
        <v>74</v>
      </c>
      <c r="E489" t="s">
        <v>74</v>
      </c>
      <c r="F489" t="s">
        <v>9362</v>
      </c>
      <c r="G489" t="s">
        <v>74</v>
      </c>
      <c r="H489" t="s">
        <v>74</v>
      </c>
      <c r="I489" t="s">
        <v>9363</v>
      </c>
      <c r="J489" t="s">
        <v>9364</v>
      </c>
      <c r="K489" t="s">
        <v>74</v>
      </c>
      <c r="L489" t="s">
        <v>74</v>
      </c>
      <c r="M489" t="s">
        <v>78</v>
      </c>
      <c r="N489" t="s">
        <v>79</v>
      </c>
      <c r="O489" t="s">
        <v>74</v>
      </c>
      <c r="P489" t="s">
        <v>74</v>
      </c>
      <c r="Q489" t="s">
        <v>74</v>
      </c>
      <c r="R489" t="s">
        <v>74</v>
      </c>
      <c r="S489" t="s">
        <v>74</v>
      </c>
      <c r="T489" t="s">
        <v>9365</v>
      </c>
      <c r="U489" t="s">
        <v>9366</v>
      </c>
      <c r="V489" t="s">
        <v>9367</v>
      </c>
      <c r="W489" t="s">
        <v>9368</v>
      </c>
      <c r="X489" t="s">
        <v>9369</v>
      </c>
      <c r="Y489" t="s">
        <v>9370</v>
      </c>
      <c r="Z489" t="s">
        <v>9371</v>
      </c>
      <c r="AA489" t="s">
        <v>9372</v>
      </c>
      <c r="AB489" t="s">
        <v>9373</v>
      </c>
      <c r="AC489" t="s">
        <v>9374</v>
      </c>
      <c r="AD489" t="s">
        <v>8202</v>
      </c>
      <c r="AE489" t="s">
        <v>9375</v>
      </c>
      <c r="AF489" t="s">
        <v>74</v>
      </c>
      <c r="AG489">
        <v>56</v>
      </c>
      <c r="AH489">
        <v>0</v>
      </c>
      <c r="AI489">
        <v>0</v>
      </c>
      <c r="AJ489">
        <v>0</v>
      </c>
      <c r="AK489">
        <v>3</v>
      </c>
      <c r="AL489" t="s">
        <v>703</v>
      </c>
      <c r="AM489" t="s">
        <v>704</v>
      </c>
      <c r="AN489" t="s">
        <v>705</v>
      </c>
      <c r="AO489" t="s">
        <v>9376</v>
      </c>
      <c r="AP489" t="s">
        <v>9377</v>
      </c>
      <c r="AQ489" t="s">
        <v>74</v>
      </c>
      <c r="AR489" t="s">
        <v>9364</v>
      </c>
      <c r="AS489" t="s">
        <v>9378</v>
      </c>
      <c r="AT489" t="s">
        <v>7892</v>
      </c>
      <c r="AU489">
        <v>2022</v>
      </c>
      <c r="AV489">
        <v>93</v>
      </c>
      <c r="AW489">
        <v>4</v>
      </c>
      <c r="AX489" t="s">
        <v>74</v>
      </c>
      <c r="AY489" t="s">
        <v>74</v>
      </c>
      <c r="AZ489" t="s">
        <v>74</v>
      </c>
      <c r="BA489" t="s">
        <v>74</v>
      </c>
      <c r="BB489">
        <v>271</v>
      </c>
      <c r="BC489">
        <v>279</v>
      </c>
      <c r="BD489" t="s">
        <v>74</v>
      </c>
      <c r="BE489" t="s">
        <v>9379</v>
      </c>
      <c r="BF489" t="str">
        <f>HYPERLINK("http://dx.doi.org/10.2989/00306525.2022.2150706","http://dx.doi.org/10.2989/00306525.2022.2150706")</f>
        <v>http://dx.doi.org/10.2989/00306525.2022.2150706</v>
      </c>
      <c r="BG489" t="s">
        <v>74</v>
      </c>
      <c r="BH489" t="s">
        <v>5796</v>
      </c>
      <c r="BI489">
        <v>9</v>
      </c>
      <c r="BJ489" t="s">
        <v>2467</v>
      </c>
      <c r="BK489" t="s">
        <v>104</v>
      </c>
      <c r="BL489" t="s">
        <v>2468</v>
      </c>
      <c r="BM489" t="s">
        <v>9380</v>
      </c>
      <c r="BN489" t="s">
        <v>74</v>
      </c>
      <c r="BO489" t="s">
        <v>74</v>
      </c>
      <c r="BP489" t="s">
        <v>74</v>
      </c>
      <c r="BQ489" t="s">
        <v>74</v>
      </c>
      <c r="BR489" t="s">
        <v>108</v>
      </c>
      <c r="BS489" t="s">
        <v>9381</v>
      </c>
      <c r="BT489" t="str">
        <f>HYPERLINK("https%3A%2F%2Fwww.webofscience.com%2Fwos%2Fwoscc%2Ffull-record%2FWOS:000893497300001","View Full Record in Web of Science")</f>
        <v>View Full Record in Web of Science</v>
      </c>
    </row>
    <row r="490" spans="1:72" x14ac:dyDescent="0.15">
      <c r="A490" t="s">
        <v>72</v>
      </c>
      <c r="B490" t="s">
        <v>9382</v>
      </c>
      <c r="C490" t="s">
        <v>74</v>
      </c>
      <c r="D490" t="s">
        <v>74</v>
      </c>
      <c r="E490" t="s">
        <v>74</v>
      </c>
      <c r="F490" t="s">
        <v>9383</v>
      </c>
      <c r="G490" t="s">
        <v>74</v>
      </c>
      <c r="H490" t="s">
        <v>74</v>
      </c>
      <c r="I490" t="s">
        <v>9384</v>
      </c>
      <c r="J490" t="s">
        <v>9317</v>
      </c>
      <c r="K490" t="s">
        <v>74</v>
      </c>
      <c r="L490" t="s">
        <v>74</v>
      </c>
      <c r="M490" t="s">
        <v>78</v>
      </c>
      <c r="N490" t="s">
        <v>79</v>
      </c>
      <c r="O490" t="s">
        <v>74</v>
      </c>
      <c r="P490" t="s">
        <v>74</v>
      </c>
      <c r="Q490" t="s">
        <v>74</v>
      </c>
      <c r="R490" t="s">
        <v>74</v>
      </c>
      <c r="S490" t="s">
        <v>74</v>
      </c>
      <c r="T490" t="s">
        <v>74</v>
      </c>
      <c r="U490" t="s">
        <v>9385</v>
      </c>
      <c r="V490" t="s">
        <v>9386</v>
      </c>
      <c r="W490" t="s">
        <v>9387</v>
      </c>
      <c r="X490" t="s">
        <v>9388</v>
      </c>
      <c r="Y490" t="s">
        <v>9389</v>
      </c>
      <c r="Z490" t="s">
        <v>9390</v>
      </c>
      <c r="AA490" t="s">
        <v>9391</v>
      </c>
      <c r="AB490" t="s">
        <v>9392</v>
      </c>
      <c r="AC490" t="s">
        <v>9393</v>
      </c>
      <c r="AD490" t="s">
        <v>9394</v>
      </c>
      <c r="AE490" t="s">
        <v>9395</v>
      </c>
      <c r="AF490" t="s">
        <v>74</v>
      </c>
      <c r="AG490">
        <v>64</v>
      </c>
      <c r="AH490">
        <v>0</v>
      </c>
      <c r="AI490">
        <v>0</v>
      </c>
      <c r="AJ490">
        <v>2</v>
      </c>
      <c r="AK490">
        <v>4</v>
      </c>
      <c r="AL490" t="s">
        <v>182</v>
      </c>
      <c r="AM490" t="s">
        <v>183</v>
      </c>
      <c r="AN490" t="s">
        <v>184</v>
      </c>
      <c r="AO490" t="s">
        <v>74</v>
      </c>
      <c r="AP490" t="s">
        <v>9329</v>
      </c>
      <c r="AQ490" t="s">
        <v>74</v>
      </c>
      <c r="AR490" t="s">
        <v>9330</v>
      </c>
      <c r="AS490" t="s">
        <v>9331</v>
      </c>
      <c r="AT490" t="s">
        <v>9396</v>
      </c>
      <c r="AU490">
        <v>2022</v>
      </c>
      <c r="AV490">
        <v>5</v>
      </c>
      <c r="AW490">
        <v>1</v>
      </c>
      <c r="AX490" t="s">
        <v>74</v>
      </c>
      <c r="AY490" t="s">
        <v>74</v>
      </c>
      <c r="AZ490" t="s">
        <v>74</v>
      </c>
      <c r="BA490" t="s">
        <v>74</v>
      </c>
      <c r="BB490" t="s">
        <v>74</v>
      </c>
      <c r="BC490" t="s">
        <v>74</v>
      </c>
      <c r="BD490">
        <v>1307</v>
      </c>
      <c r="BE490" t="s">
        <v>9397</v>
      </c>
      <c r="BF490" t="str">
        <f>HYPERLINK("http://dx.doi.org/10.1038/s42003-022-04137-7","http://dx.doi.org/10.1038/s42003-022-04137-7")</f>
        <v>http://dx.doi.org/10.1038/s42003-022-04137-7</v>
      </c>
      <c r="BG490" t="s">
        <v>74</v>
      </c>
      <c r="BH490" t="s">
        <v>74</v>
      </c>
      <c r="BI490">
        <v>9</v>
      </c>
      <c r="BJ490" t="s">
        <v>9333</v>
      </c>
      <c r="BK490" t="s">
        <v>104</v>
      </c>
      <c r="BL490" t="s">
        <v>9334</v>
      </c>
      <c r="BM490" t="s">
        <v>9398</v>
      </c>
      <c r="BN490">
        <v>36460800</v>
      </c>
      <c r="BO490" t="s">
        <v>8139</v>
      </c>
      <c r="BP490" t="s">
        <v>74</v>
      </c>
      <c r="BQ490" t="s">
        <v>74</v>
      </c>
      <c r="BR490" t="s">
        <v>108</v>
      </c>
      <c r="BS490" t="s">
        <v>9399</v>
      </c>
      <c r="BT490" t="str">
        <f>HYPERLINK("https%3A%2F%2Fwww.webofscience.com%2Fwos%2Fwoscc%2Ffull-record%2FWOS:000914643900002","View Full Record in Web of Science")</f>
        <v>View Full Record in Web of Science</v>
      </c>
    </row>
    <row r="491" spans="1:72" x14ac:dyDescent="0.15">
      <c r="A491" t="s">
        <v>72</v>
      </c>
      <c r="B491" t="s">
        <v>9400</v>
      </c>
      <c r="C491" t="s">
        <v>74</v>
      </c>
      <c r="D491" t="s">
        <v>74</v>
      </c>
      <c r="E491" t="s">
        <v>74</v>
      </c>
      <c r="F491" t="s">
        <v>9401</v>
      </c>
      <c r="G491" t="s">
        <v>74</v>
      </c>
      <c r="H491" t="s">
        <v>74</v>
      </c>
      <c r="I491" t="s">
        <v>9402</v>
      </c>
      <c r="J491" t="s">
        <v>77</v>
      </c>
      <c r="K491" t="s">
        <v>74</v>
      </c>
      <c r="L491" t="s">
        <v>74</v>
      </c>
      <c r="M491" t="s">
        <v>78</v>
      </c>
      <c r="N491" t="s">
        <v>79</v>
      </c>
      <c r="O491" t="s">
        <v>74</v>
      </c>
      <c r="P491" t="s">
        <v>74</v>
      </c>
      <c r="Q491" t="s">
        <v>74</v>
      </c>
      <c r="R491" t="s">
        <v>74</v>
      </c>
      <c r="S491" t="s">
        <v>74</v>
      </c>
      <c r="T491" t="s">
        <v>9403</v>
      </c>
      <c r="U491" t="s">
        <v>9404</v>
      </c>
      <c r="V491" t="s">
        <v>9405</v>
      </c>
      <c r="W491" t="s">
        <v>9406</v>
      </c>
      <c r="X491" t="s">
        <v>9407</v>
      </c>
      <c r="Y491" t="s">
        <v>9408</v>
      </c>
      <c r="Z491" t="s">
        <v>9409</v>
      </c>
      <c r="AA491" t="s">
        <v>9410</v>
      </c>
      <c r="AB491" t="s">
        <v>9411</v>
      </c>
      <c r="AC491" t="s">
        <v>9412</v>
      </c>
      <c r="AD491" t="s">
        <v>9413</v>
      </c>
      <c r="AE491" t="s">
        <v>9414</v>
      </c>
      <c r="AF491" t="s">
        <v>74</v>
      </c>
      <c r="AG491">
        <v>59</v>
      </c>
      <c r="AH491">
        <v>2</v>
      </c>
      <c r="AI491">
        <v>2</v>
      </c>
      <c r="AJ491">
        <v>4</v>
      </c>
      <c r="AK491">
        <v>9</v>
      </c>
      <c r="AL491" t="s">
        <v>92</v>
      </c>
      <c r="AM491" t="s">
        <v>93</v>
      </c>
      <c r="AN491" t="s">
        <v>94</v>
      </c>
      <c r="AO491" t="s">
        <v>95</v>
      </c>
      <c r="AP491" t="s">
        <v>96</v>
      </c>
      <c r="AQ491" t="s">
        <v>74</v>
      </c>
      <c r="AR491" t="s">
        <v>97</v>
      </c>
      <c r="AS491" t="s">
        <v>98</v>
      </c>
      <c r="AT491" t="s">
        <v>9001</v>
      </c>
      <c r="AU491">
        <v>2022</v>
      </c>
      <c r="AV491">
        <v>34</v>
      </c>
      <c r="AW491">
        <v>6</v>
      </c>
      <c r="AX491" t="s">
        <v>74</v>
      </c>
      <c r="AY491" t="s">
        <v>74</v>
      </c>
      <c r="AZ491" t="s">
        <v>74</v>
      </c>
      <c r="BA491" t="s">
        <v>74</v>
      </c>
      <c r="BB491">
        <v>446</v>
      </c>
      <c r="BC491">
        <v>455</v>
      </c>
      <c r="BD491" t="s">
        <v>9415</v>
      </c>
      <c r="BE491" t="s">
        <v>9416</v>
      </c>
      <c r="BF491" t="str">
        <f>HYPERLINK("http://dx.doi.org/10.1017/S0954102022000402","http://dx.doi.org/10.1017/S0954102022000402")</f>
        <v>http://dx.doi.org/10.1017/S0954102022000402</v>
      </c>
      <c r="BG491" t="s">
        <v>74</v>
      </c>
      <c r="BH491" t="s">
        <v>5796</v>
      </c>
      <c r="BI491">
        <v>10</v>
      </c>
      <c r="BJ491" t="s">
        <v>103</v>
      </c>
      <c r="BK491" t="s">
        <v>104</v>
      </c>
      <c r="BL491" t="s">
        <v>105</v>
      </c>
      <c r="BM491" t="s">
        <v>9004</v>
      </c>
      <c r="BN491" t="s">
        <v>74</v>
      </c>
      <c r="BO491" t="s">
        <v>8686</v>
      </c>
      <c r="BP491" t="s">
        <v>74</v>
      </c>
      <c r="BQ491" t="s">
        <v>74</v>
      </c>
      <c r="BR491" t="s">
        <v>108</v>
      </c>
      <c r="BS491" t="s">
        <v>9417</v>
      </c>
      <c r="BT491" t="str">
        <f>HYPERLINK("https%3A%2F%2Fwww.webofscience.com%2Fwos%2Fwoscc%2Ffull-record%2FWOS:000912748100001","View Full Record in Web of Science")</f>
        <v>View Full Record in Web of Science</v>
      </c>
    </row>
    <row r="492" spans="1:72" x14ac:dyDescent="0.15">
      <c r="A492" t="s">
        <v>72</v>
      </c>
      <c r="B492" t="s">
        <v>9418</v>
      </c>
      <c r="C492" t="s">
        <v>74</v>
      </c>
      <c r="D492" t="s">
        <v>74</v>
      </c>
      <c r="E492" t="s">
        <v>74</v>
      </c>
      <c r="F492" t="s">
        <v>9419</v>
      </c>
      <c r="G492" t="s">
        <v>74</v>
      </c>
      <c r="H492" t="s">
        <v>74</v>
      </c>
      <c r="I492" t="s">
        <v>9420</v>
      </c>
      <c r="J492" t="s">
        <v>9421</v>
      </c>
      <c r="K492" t="s">
        <v>74</v>
      </c>
      <c r="L492" t="s">
        <v>74</v>
      </c>
      <c r="M492" t="s">
        <v>78</v>
      </c>
      <c r="N492" t="s">
        <v>79</v>
      </c>
      <c r="O492" t="s">
        <v>74</v>
      </c>
      <c r="P492" t="s">
        <v>74</v>
      </c>
      <c r="Q492" t="s">
        <v>74</v>
      </c>
      <c r="R492" t="s">
        <v>74</v>
      </c>
      <c r="S492" t="s">
        <v>74</v>
      </c>
      <c r="T492" t="s">
        <v>9422</v>
      </c>
      <c r="U492" t="s">
        <v>9423</v>
      </c>
      <c r="V492" t="s">
        <v>9424</v>
      </c>
      <c r="W492" t="s">
        <v>9425</v>
      </c>
      <c r="X492" t="s">
        <v>9426</v>
      </c>
      <c r="Y492" t="s">
        <v>9427</v>
      </c>
      <c r="Z492" t="s">
        <v>9428</v>
      </c>
      <c r="AA492" t="s">
        <v>74</v>
      </c>
      <c r="AB492" t="s">
        <v>9429</v>
      </c>
      <c r="AC492" t="s">
        <v>9430</v>
      </c>
      <c r="AD492" t="s">
        <v>9431</v>
      </c>
      <c r="AE492" t="s">
        <v>9432</v>
      </c>
      <c r="AF492" t="s">
        <v>74</v>
      </c>
      <c r="AG492">
        <v>51</v>
      </c>
      <c r="AH492">
        <v>3</v>
      </c>
      <c r="AI492">
        <v>3</v>
      </c>
      <c r="AJ492">
        <v>0</v>
      </c>
      <c r="AK492">
        <v>0</v>
      </c>
      <c r="AL492" t="s">
        <v>8762</v>
      </c>
      <c r="AM492" t="s">
        <v>2564</v>
      </c>
      <c r="AN492" t="s">
        <v>8763</v>
      </c>
      <c r="AO492" t="s">
        <v>9433</v>
      </c>
      <c r="AP492" t="s">
        <v>9434</v>
      </c>
      <c r="AQ492" t="s">
        <v>74</v>
      </c>
      <c r="AR492" t="s">
        <v>9435</v>
      </c>
      <c r="AS492" t="s">
        <v>9436</v>
      </c>
      <c r="AT492" t="s">
        <v>609</v>
      </c>
      <c r="AU492">
        <v>2023</v>
      </c>
      <c r="AV492">
        <v>474</v>
      </c>
      <c r="AW492" t="s">
        <v>74</v>
      </c>
      <c r="AX492" t="s">
        <v>74</v>
      </c>
      <c r="AY492" t="s">
        <v>74</v>
      </c>
      <c r="AZ492" t="s">
        <v>74</v>
      </c>
      <c r="BA492" t="s">
        <v>74</v>
      </c>
      <c r="BB492" t="s">
        <v>74</v>
      </c>
      <c r="BC492" t="s">
        <v>74</v>
      </c>
      <c r="BD492">
        <v>111802</v>
      </c>
      <c r="BE492" t="s">
        <v>9437</v>
      </c>
      <c r="BF492" t="str">
        <f>HYPERLINK("http://dx.doi.org/10.1016/j.jcp.2022.111802","http://dx.doi.org/10.1016/j.jcp.2022.111802")</f>
        <v>http://dx.doi.org/10.1016/j.jcp.2022.111802</v>
      </c>
      <c r="BG492" t="s">
        <v>74</v>
      </c>
      <c r="BH492" t="s">
        <v>5796</v>
      </c>
      <c r="BI492">
        <v>14</v>
      </c>
      <c r="BJ492" t="s">
        <v>9438</v>
      </c>
      <c r="BK492" t="s">
        <v>104</v>
      </c>
      <c r="BL492" t="s">
        <v>9439</v>
      </c>
      <c r="BM492" t="s">
        <v>9440</v>
      </c>
      <c r="BN492" t="s">
        <v>74</v>
      </c>
      <c r="BO492" t="s">
        <v>9171</v>
      </c>
      <c r="BP492" t="s">
        <v>74</v>
      </c>
      <c r="BQ492" t="s">
        <v>74</v>
      </c>
      <c r="BR492" t="s">
        <v>108</v>
      </c>
      <c r="BS492" t="s">
        <v>9441</v>
      </c>
      <c r="BT492" t="str">
        <f>HYPERLINK("https%3A%2F%2Fwww.webofscience.com%2Fwos%2Fwoscc%2Ffull-record%2FWOS:000897544100016","View Full Record in Web of Science")</f>
        <v>View Full Record in Web of Science</v>
      </c>
    </row>
    <row r="493" spans="1:72" x14ac:dyDescent="0.15">
      <c r="A493" t="s">
        <v>72</v>
      </c>
      <c r="B493" t="s">
        <v>9442</v>
      </c>
      <c r="C493" t="s">
        <v>74</v>
      </c>
      <c r="D493" t="s">
        <v>74</v>
      </c>
      <c r="E493" t="s">
        <v>74</v>
      </c>
      <c r="F493" t="s">
        <v>9443</v>
      </c>
      <c r="G493" t="s">
        <v>74</v>
      </c>
      <c r="H493" t="s">
        <v>74</v>
      </c>
      <c r="I493" t="s">
        <v>9444</v>
      </c>
      <c r="J493" t="s">
        <v>9445</v>
      </c>
      <c r="K493" t="s">
        <v>74</v>
      </c>
      <c r="L493" t="s">
        <v>74</v>
      </c>
      <c r="M493" t="s">
        <v>78</v>
      </c>
      <c r="N493" t="s">
        <v>79</v>
      </c>
      <c r="O493" t="s">
        <v>74</v>
      </c>
      <c r="P493" t="s">
        <v>74</v>
      </c>
      <c r="Q493" t="s">
        <v>74</v>
      </c>
      <c r="R493" t="s">
        <v>74</v>
      </c>
      <c r="S493" t="s">
        <v>74</v>
      </c>
      <c r="T493" t="s">
        <v>9446</v>
      </c>
      <c r="U493" t="s">
        <v>9447</v>
      </c>
      <c r="V493" t="s">
        <v>9448</v>
      </c>
      <c r="W493" t="s">
        <v>9449</v>
      </c>
      <c r="X493" t="s">
        <v>9450</v>
      </c>
      <c r="Y493" t="s">
        <v>9451</v>
      </c>
      <c r="Z493" t="s">
        <v>9452</v>
      </c>
      <c r="AA493" t="s">
        <v>9453</v>
      </c>
      <c r="AB493" t="s">
        <v>9454</v>
      </c>
      <c r="AC493" t="s">
        <v>9455</v>
      </c>
      <c r="AD493" t="s">
        <v>9456</v>
      </c>
      <c r="AE493" t="s">
        <v>9457</v>
      </c>
      <c r="AF493" t="s">
        <v>74</v>
      </c>
      <c r="AG493">
        <v>108</v>
      </c>
      <c r="AH493">
        <v>0</v>
      </c>
      <c r="AI493">
        <v>0</v>
      </c>
      <c r="AJ493">
        <v>4</v>
      </c>
      <c r="AK493">
        <v>17</v>
      </c>
      <c r="AL493" t="s">
        <v>8179</v>
      </c>
      <c r="AM493" t="s">
        <v>375</v>
      </c>
      <c r="AN493" t="s">
        <v>8180</v>
      </c>
      <c r="AO493" t="s">
        <v>9458</v>
      </c>
      <c r="AP493" t="s">
        <v>74</v>
      </c>
      <c r="AQ493" t="s">
        <v>74</v>
      </c>
      <c r="AR493" t="s">
        <v>9445</v>
      </c>
      <c r="AS493" t="s">
        <v>9459</v>
      </c>
      <c r="AT493" t="s">
        <v>9396</v>
      </c>
      <c r="AU493">
        <v>2022</v>
      </c>
      <c r="AV493">
        <v>10</v>
      </c>
      <c r="AW493">
        <v>1</v>
      </c>
      <c r="AX493" t="s">
        <v>74</v>
      </c>
      <c r="AY493" t="s">
        <v>74</v>
      </c>
      <c r="AZ493" t="s">
        <v>74</v>
      </c>
      <c r="BA493" t="s">
        <v>74</v>
      </c>
      <c r="BB493" t="s">
        <v>74</v>
      </c>
      <c r="BC493" t="s">
        <v>74</v>
      </c>
      <c r="BD493">
        <v>207</v>
      </c>
      <c r="BE493" t="s">
        <v>9460</v>
      </c>
      <c r="BF493" t="str">
        <f>HYPERLINK("http://dx.doi.org/10.1186/s40168-022-01404-x","http://dx.doi.org/10.1186/s40168-022-01404-x")</f>
        <v>http://dx.doi.org/10.1186/s40168-022-01404-x</v>
      </c>
      <c r="BG493" t="s">
        <v>74</v>
      </c>
      <c r="BH493" t="s">
        <v>74</v>
      </c>
      <c r="BI493">
        <v>22</v>
      </c>
      <c r="BJ493" t="s">
        <v>1699</v>
      </c>
      <c r="BK493" t="s">
        <v>104</v>
      </c>
      <c r="BL493" t="s">
        <v>1699</v>
      </c>
      <c r="BM493" t="s">
        <v>9461</v>
      </c>
      <c r="BN493">
        <v>36457105</v>
      </c>
      <c r="BO493" t="s">
        <v>192</v>
      </c>
      <c r="BP493" t="s">
        <v>74</v>
      </c>
      <c r="BQ493" t="s">
        <v>74</v>
      </c>
      <c r="BR493" t="s">
        <v>108</v>
      </c>
      <c r="BS493" t="s">
        <v>9462</v>
      </c>
      <c r="BT493" t="str">
        <f>HYPERLINK("https%3A%2F%2Fwww.webofscience.com%2Fwos%2Fwoscc%2Ffull-record%2FWOS:000893094500002","View Full Record in Web of Science")</f>
        <v>View Full Record in Web of Science</v>
      </c>
    </row>
    <row r="494" spans="1:72" x14ac:dyDescent="0.15">
      <c r="A494" t="s">
        <v>72</v>
      </c>
      <c r="B494" t="s">
        <v>9463</v>
      </c>
      <c r="C494" t="s">
        <v>74</v>
      </c>
      <c r="D494" t="s">
        <v>74</v>
      </c>
      <c r="E494" t="s">
        <v>74</v>
      </c>
      <c r="F494" t="s">
        <v>9464</v>
      </c>
      <c r="G494" t="s">
        <v>74</v>
      </c>
      <c r="H494" t="s">
        <v>74</v>
      </c>
      <c r="I494" t="s">
        <v>9465</v>
      </c>
      <c r="J494" t="s">
        <v>9466</v>
      </c>
      <c r="K494" t="s">
        <v>74</v>
      </c>
      <c r="L494" t="s">
        <v>74</v>
      </c>
      <c r="M494" t="s">
        <v>78</v>
      </c>
      <c r="N494" t="s">
        <v>79</v>
      </c>
      <c r="O494" t="s">
        <v>74</v>
      </c>
      <c r="P494" t="s">
        <v>74</v>
      </c>
      <c r="Q494" t="s">
        <v>74</v>
      </c>
      <c r="R494" t="s">
        <v>74</v>
      </c>
      <c r="S494" t="s">
        <v>74</v>
      </c>
      <c r="T494" t="s">
        <v>74</v>
      </c>
      <c r="U494" t="s">
        <v>9467</v>
      </c>
      <c r="V494" t="s">
        <v>9468</v>
      </c>
      <c r="W494" t="s">
        <v>9469</v>
      </c>
      <c r="X494" t="s">
        <v>9470</v>
      </c>
      <c r="Y494" t="s">
        <v>9471</v>
      </c>
      <c r="Z494" t="s">
        <v>9472</v>
      </c>
      <c r="AA494" t="s">
        <v>9473</v>
      </c>
      <c r="AB494" t="s">
        <v>9474</v>
      </c>
      <c r="AC494" t="s">
        <v>9475</v>
      </c>
      <c r="AD494" t="s">
        <v>9476</v>
      </c>
      <c r="AE494" t="s">
        <v>9477</v>
      </c>
      <c r="AF494" t="s">
        <v>74</v>
      </c>
      <c r="AG494">
        <v>79</v>
      </c>
      <c r="AH494">
        <v>5</v>
      </c>
      <c r="AI494">
        <v>6</v>
      </c>
      <c r="AJ494">
        <v>0</v>
      </c>
      <c r="AK494">
        <v>0</v>
      </c>
      <c r="AL494" t="s">
        <v>126</v>
      </c>
      <c r="AM494" t="s">
        <v>127</v>
      </c>
      <c r="AN494" t="s">
        <v>128</v>
      </c>
      <c r="AO494" t="s">
        <v>74</v>
      </c>
      <c r="AP494" t="s">
        <v>9478</v>
      </c>
      <c r="AQ494" t="s">
        <v>74</v>
      </c>
      <c r="AR494" t="s">
        <v>9479</v>
      </c>
      <c r="AS494" t="s">
        <v>9479</v>
      </c>
      <c r="AT494" t="s">
        <v>9396</v>
      </c>
      <c r="AU494">
        <v>2022</v>
      </c>
      <c r="AV494">
        <v>3</v>
      </c>
      <c r="AW494">
        <v>4</v>
      </c>
      <c r="AX494" t="s">
        <v>74</v>
      </c>
      <c r="AY494" t="s">
        <v>74</v>
      </c>
      <c r="AZ494" t="s">
        <v>74</v>
      </c>
      <c r="BA494" t="s">
        <v>74</v>
      </c>
      <c r="BB494">
        <v>1415</v>
      </c>
      <c r="BC494">
        <v>1437</v>
      </c>
      <c r="BD494" t="s">
        <v>74</v>
      </c>
      <c r="BE494" t="s">
        <v>9480</v>
      </c>
      <c r="BF494" t="str">
        <f>HYPERLINK("http://dx.doi.org/10.5194/wcd-3-1415-2022","http://dx.doi.org/10.5194/wcd-3-1415-2022")</f>
        <v>http://dx.doi.org/10.5194/wcd-3-1415-2022</v>
      </c>
      <c r="BG494" t="s">
        <v>74</v>
      </c>
      <c r="BH494" t="s">
        <v>74</v>
      </c>
      <c r="BI494">
        <v>23</v>
      </c>
      <c r="BJ494" t="s">
        <v>532</v>
      </c>
      <c r="BK494" t="s">
        <v>757</v>
      </c>
      <c r="BL494" t="s">
        <v>532</v>
      </c>
      <c r="BM494" t="s">
        <v>9481</v>
      </c>
      <c r="BN494" t="s">
        <v>74</v>
      </c>
      <c r="BO494" t="s">
        <v>7446</v>
      </c>
      <c r="BP494" t="s">
        <v>74</v>
      </c>
      <c r="BQ494" t="s">
        <v>74</v>
      </c>
      <c r="BR494" t="s">
        <v>108</v>
      </c>
      <c r="BS494" t="s">
        <v>9482</v>
      </c>
      <c r="BT494" t="str">
        <f>HYPERLINK("https%3A%2F%2Fwww.webofscience.com%2Fwos%2Fwoscc%2Ffull-record%2FWOS:001168851400001","View Full Record in Web of Science")</f>
        <v>View Full Record in Web of Science</v>
      </c>
    </row>
    <row r="495" spans="1:72" x14ac:dyDescent="0.15">
      <c r="A495" t="s">
        <v>72</v>
      </c>
      <c r="B495" t="s">
        <v>9483</v>
      </c>
      <c r="C495" t="s">
        <v>74</v>
      </c>
      <c r="D495" t="s">
        <v>74</v>
      </c>
      <c r="E495" t="s">
        <v>74</v>
      </c>
      <c r="F495" t="s">
        <v>9484</v>
      </c>
      <c r="G495" t="s">
        <v>74</v>
      </c>
      <c r="H495" t="s">
        <v>74</v>
      </c>
      <c r="I495" t="s">
        <v>9485</v>
      </c>
      <c r="J495" t="s">
        <v>9486</v>
      </c>
      <c r="K495" t="s">
        <v>74</v>
      </c>
      <c r="L495" t="s">
        <v>74</v>
      </c>
      <c r="M495" t="s">
        <v>78</v>
      </c>
      <c r="N495" t="s">
        <v>79</v>
      </c>
      <c r="O495" t="s">
        <v>74</v>
      </c>
      <c r="P495" t="s">
        <v>74</v>
      </c>
      <c r="Q495" t="s">
        <v>74</v>
      </c>
      <c r="R495" t="s">
        <v>74</v>
      </c>
      <c r="S495" t="s">
        <v>74</v>
      </c>
      <c r="T495" t="s">
        <v>9487</v>
      </c>
      <c r="U495" t="s">
        <v>9488</v>
      </c>
      <c r="V495" t="s">
        <v>9489</v>
      </c>
      <c r="W495" t="s">
        <v>9490</v>
      </c>
      <c r="X495" t="s">
        <v>9491</v>
      </c>
      <c r="Y495" t="s">
        <v>9492</v>
      </c>
      <c r="Z495" t="s">
        <v>9493</v>
      </c>
      <c r="AA495" t="s">
        <v>74</v>
      </c>
      <c r="AB495" t="s">
        <v>9494</v>
      </c>
      <c r="AC495" t="s">
        <v>9495</v>
      </c>
      <c r="AD495" t="s">
        <v>9496</v>
      </c>
      <c r="AE495" t="s">
        <v>9497</v>
      </c>
      <c r="AF495" t="s">
        <v>74</v>
      </c>
      <c r="AG495">
        <v>22</v>
      </c>
      <c r="AH495">
        <v>23</v>
      </c>
      <c r="AI495">
        <v>23</v>
      </c>
      <c r="AJ495">
        <v>1</v>
      </c>
      <c r="AK495">
        <v>1</v>
      </c>
      <c r="AL495" t="s">
        <v>237</v>
      </c>
      <c r="AM495" t="s">
        <v>238</v>
      </c>
      <c r="AN495" t="s">
        <v>239</v>
      </c>
      <c r="AO495" t="s">
        <v>9498</v>
      </c>
      <c r="AP495" t="s">
        <v>74</v>
      </c>
      <c r="AQ495" t="s">
        <v>74</v>
      </c>
      <c r="AR495" t="s">
        <v>9499</v>
      </c>
      <c r="AS495" t="s">
        <v>9500</v>
      </c>
      <c r="AT495" t="s">
        <v>9001</v>
      </c>
      <c r="AU495">
        <v>2022</v>
      </c>
      <c r="AV495">
        <v>2</v>
      </c>
      <c r="AW495" t="s">
        <v>74</v>
      </c>
      <c r="AX495" t="s">
        <v>74</v>
      </c>
      <c r="AY495" t="s">
        <v>74</v>
      </c>
      <c r="AZ495" t="s">
        <v>74</v>
      </c>
      <c r="BA495" t="s">
        <v>74</v>
      </c>
      <c r="BB495" t="s">
        <v>74</v>
      </c>
      <c r="BC495" t="s">
        <v>74</v>
      </c>
      <c r="BD495">
        <v>100072</v>
      </c>
      <c r="BE495" t="s">
        <v>9501</v>
      </c>
      <c r="BF495" t="str">
        <f>HYPERLINK("http://dx.doi.org/10.1016/j.commtr.2022.100072","http://dx.doi.org/10.1016/j.commtr.2022.100072")</f>
        <v>http://dx.doi.org/10.1016/j.commtr.2022.100072</v>
      </c>
      <c r="BG495" t="s">
        <v>74</v>
      </c>
      <c r="BH495" t="s">
        <v>74</v>
      </c>
      <c r="BI495">
        <v>16</v>
      </c>
      <c r="BJ495" t="s">
        <v>9502</v>
      </c>
      <c r="BK495" t="s">
        <v>757</v>
      </c>
      <c r="BL495" t="s">
        <v>9503</v>
      </c>
      <c r="BM495" t="s">
        <v>9504</v>
      </c>
      <c r="BN495" t="s">
        <v>74</v>
      </c>
      <c r="BO495" t="s">
        <v>165</v>
      </c>
      <c r="BP495" t="s">
        <v>74</v>
      </c>
      <c r="BQ495" t="s">
        <v>74</v>
      </c>
      <c r="BR495" t="s">
        <v>108</v>
      </c>
      <c r="BS495" t="s">
        <v>9505</v>
      </c>
      <c r="BT495" t="str">
        <f>HYPERLINK("https%3A%2F%2Fwww.webofscience.com%2Fwos%2Fwoscc%2Ffull-record%2FWOS:001071169000005","View Full Record in Web of Science")</f>
        <v>View Full Record in Web of Science</v>
      </c>
    </row>
    <row r="496" spans="1:72" x14ac:dyDescent="0.15">
      <c r="A496" t="s">
        <v>72</v>
      </c>
      <c r="B496" t="s">
        <v>9483</v>
      </c>
      <c r="C496" t="s">
        <v>74</v>
      </c>
      <c r="D496" t="s">
        <v>74</v>
      </c>
      <c r="E496" t="s">
        <v>74</v>
      </c>
      <c r="F496" t="s">
        <v>9484</v>
      </c>
      <c r="G496" t="s">
        <v>74</v>
      </c>
      <c r="H496" t="s">
        <v>74</v>
      </c>
      <c r="I496" t="s">
        <v>9506</v>
      </c>
      <c r="J496" t="s">
        <v>9486</v>
      </c>
      <c r="K496" t="s">
        <v>74</v>
      </c>
      <c r="L496" t="s">
        <v>74</v>
      </c>
      <c r="M496" t="s">
        <v>78</v>
      </c>
      <c r="N496" t="s">
        <v>79</v>
      </c>
      <c r="O496" t="s">
        <v>74</v>
      </c>
      <c r="P496" t="s">
        <v>74</v>
      </c>
      <c r="Q496" t="s">
        <v>74</v>
      </c>
      <c r="R496" t="s">
        <v>74</v>
      </c>
      <c r="S496" t="s">
        <v>74</v>
      </c>
      <c r="T496" t="s">
        <v>9507</v>
      </c>
      <c r="U496" t="s">
        <v>9488</v>
      </c>
      <c r="V496" t="s">
        <v>9508</v>
      </c>
      <c r="W496" t="s">
        <v>9490</v>
      </c>
      <c r="X496" t="s">
        <v>9491</v>
      </c>
      <c r="Y496" t="s">
        <v>9492</v>
      </c>
      <c r="Z496" t="s">
        <v>9493</v>
      </c>
      <c r="AA496" t="s">
        <v>74</v>
      </c>
      <c r="AB496" t="s">
        <v>9494</v>
      </c>
      <c r="AC496" t="s">
        <v>9509</v>
      </c>
      <c r="AD496" t="s">
        <v>9510</v>
      </c>
      <c r="AE496" t="s">
        <v>9511</v>
      </c>
      <c r="AF496" t="s">
        <v>74</v>
      </c>
      <c r="AG496">
        <v>23</v>
      </c>
      <c r="AH496">
        <v>25</v>
      </c>
      <c r="AI496">
        <v>25</v>
      </c>
      <c r="AJ496">
        <v>2</v>
      </c>
      <c r="AK496">
        <v>2</v>
      </c>
      <c r="AL496" t="s">
        <v>237</v>
      </c>
      <c r="AM496" t="s">
        <v>238</v>
      </c>
      <c r="AN496" t="s">
        <v>239</v>
      </c>
      <c r="AO496" t="s">
        <v>9498</v>
      </c>
      <c r="AP496" t="s">
        <v>74</v>
      </c>
      <c r="AQ496" t="s">
        <v>74</v>
      </c>
      <c r="AR496" t="s">
        <v>9499</v>
      </c>
      <c r="AS496" t="s">
        <v>9500</v>
      </c>
      <c r="AT496" t="s">
        <v>9001</v>
      </c>
      <c r="AU496">
        <v>2022</v>
      </c>
      <c r="AV496">
        <v>2</v>
      </c>
      <c r="AW496" t="s">
        <v>74</v>
      </c>
      <c r="AX496" t="s">
        <v>74</v>
      </c>
      <c r="AY496" t="s">
        <v>74</v>
      </c>
      <c r="AZ496" t="s">
        <v>74</v>
      </c>
      <c r="BA496" t="s">
        <v>74</v>
      </c>
      <c r="BB496" t="s">
        <v>74</v>
      </c>
      <c r="BC496" t="s">
        <v>74</v>
      </c>
      <c r="BD496">
        <v>100073</v>
      </c>
      <c r="BE496" t="s">
        <v>9512</v>
      </c>
      <c r="BF496" t="str">
        <f>HYPERLINK("http://dx.doi.org/10.1016/j.commtr.2022.100073","http://dx.doi.org/10.1016/j.commtr.2022.100073")</f>
        <v>http://dx.doi.org/10.1016/j.commtr.2022.100073</v>
      </c>
      <c r="BG496" t="s">
        <v>74</v>
      </c>
      <c r="BH496" t="s">
        <v>74</v>
      </c>
      <c r="BI496">
        <v>22</v>
      </c>
      <c r="BJ496" t="s">
        <v>9502</v>
      </c>
      <c r="BK496" t="s">
        <v>757</v>
      </c>
      <c r="BL496" t="s">
        <v>9503</v>
      </c>
      <c r="BM496" t="s">
        <v>9504</v>
      </c>
      <c r="BN496" t="s">
        <v>74</v>
      </c>
      <c r="BO496" t="s">
        <v>165</v>
      </c>
      <c r="BP496" t="s">
        <v>74</v>
      </c>
      <c r="BQ496" t="s">
        <v>74</v>
      </c>
      <c r="BR496" t="s">
        <v>108</v>
      </c>
      <c r="BS496" t="s">
        <v>9513</v>
      </c>
      <c r="BT496" t="str">
        <f>HYPERLINK("https%3A%2F%2Fwww.webofscience.com%2Fwos%2Fwoscc%2Ffull-record%2FWOS:001071169000010","View Full Record in Web of Science")</f>
        <v>View Full Record in Web of Science</v>
      </c>
    </row>
    <row r="497" spans="1:72" x14ac:dyDescent="0.15">
      <c r="A497" t="s">
        <v>72</v>
      </c>
      <c r="B497" t="s">
        <v>9514</v>
      </c>
      <c r="C497" t="s">
        <v>74</v>
      </c>
      <c r="D497" t="s">
        <v>74</v>
      </c>
      <c r="E497" t="s">
        <v>74</v>
      </c>
      <c r="F497" t="s">
        <v>9515</v>
      </c>
      <c r="G497" t="s">
        <v>74</v>
      </c>
      <c r="H497" t="s">
        <v>74</v>
      </c>
      <c r="I497" t="s">
        <v>9516</v>
      </c>
      <c r="J497" t="s">
        <v>9486</v>
      </c>
      <c r="K497" t="s">
        <v>74</v>
      </c>
      <c r="L497" t="s">
        <v>74</v>
      </c>
      <c r="M497" t="s">
        <v>78</v>
      </c>
      <c r="N497" t="s">
        <v>79</v>
      </c>
      <c r="O497" t="s">
        <v>74</v>
      </c>
      <c r="P497" t="s">
        <v>74</v>
      </c>
      <c r="Q497" t="s">
        <v>74</v>
      </c>
      <c r="R497" t="s">
        <v>74</v>
      </c>
      <c r="S497" t="s">
        <v>74</v>
      </c>
      <c r="T497" t="s">
        <v>9517</v>
      </c>
      <c r="U497" t="s">
        <v>9518</v>
      </c>
      <c r="V497" t="s">
        <v>9519</v>
      </c>
      <c r="W497" t="s">
        <v>9520</v>
      </c>
      <c r="X497" t="s">
        <v>9521</v>
      </c>
      <c r="Y497" t="s">
        <v>9492</v>
      </c>
      <c r="Z497" t="s">
        <v>9493</v>
      </c>
      <c r="AA497" t="s">
        <v>9522</v>
      </c>
      <c r="AB497" t="s">
        <v>9523</v>
      </c>
      <c r="AC497" t="s">
        <v>9524</v>
      </c>
      <c r="AD497" t="s">
        <v>9525</v>
      </c>
      <c r="AE497" t="s">
        <v>9526</v>
      </c>
      <c r="AF497" t="s">
        <v>74</v>
      </c>
      <c r="AG497">
        <v>44</v>
      </c>
      <c r="AH497">
        <v>30</v>
      </c>
      <c r="AI497">
        <v>30</v>
      </c>
      <c r="AJ497">
        <v>3</v>
      </c>
      <c r="AK497">
        <v>3</v>
      </c>
      <c r="AL497" t="s">
        <v>237</v>
      </c>
      <c r="AM497" t="s">
        <v>238</v>
      </c>
      <c r="AN497" t="s">
        <v>239</v>
      </c>
      <c r="AO497" t="s">
        <v>9498</v>
      </c>
      <c r="AP497" t="s">
        <v>74</v>
      </c>
      <c r="AQ497" t="s">
        <v>74</v>
      </c>
      <c r="AR497" t="s">
        <v>9499</v>
      </c>
      <c r="AS497" t="s">
        <v>9500</v>
      </c>
      <c r="AT497" t="s">
        <v>9001</v>
      </c>
      <c r="AU497">
        <v>2022</v>
      </c>
      <c r="AV497">
        <v>2</v>
      </c>
      <c r="AW497" t="s">
        <v>74</v>
      </c>
      <c r="AX497" t="s">
        <v>74</v>
      </c>
      <c r="AY497" t="s">
        <v>74</v>
      </c>
      <c r="AZ497" t="s">
        <v>74</v>
      </c>
      <c r="BA497" t="s">
        <v>74</v>
      </c>
      <c r="BB497" t="s">
        <v>74</v>
      </c>
      <c r="BC497" t="s">
        <v>74</v>
      </c>
      <c r="BD497">
        <v>100074</v>
      </c>
      <c r="BE497" t="s">
        <v>9527</v>
      </c>
      <c r="BF497" t="str">
        <f>HYPERLINK("http://dx.doi.org/10.1016/j.commtr.2022.100074","http://dx.doi.org/10.1016/j.commtr.2022.100074")</f>
        <v>http://dx.doi.org/10.1016/j.commtr.2022.100074</v>
      </c>
      <c r="BG497" t="s">
        <v>74</v>
      </c>
      <c r="BH497" t="s">
        <v>74</v>
      </c>
      <c r="BI497">
        <v>29</v>
      </c>
      <c r="BJ497" t="s">
        <v>9502</v>
      </c>
      <c r="BK497" t="s">
        <v>757</v>
      </c>
      <c r="BL497" t="s">
        <v>9503</v>
      </c>
      <c r="BM497" t="s">
        <v>9504</v>
      </c>
      <c r="BN497" t="s">
        <v>74</v>
      </c>
      <c r="BO497" t="s">
        <v>3561</v>
      </c>
      <c r="BP497" t="s">
        <v>74</v>
      </c>
      <c r="BQ497" t="s">
        <v>74</v>
      </c>
      <c r="BR497" t="s">
        <v>108</v>
      </c>
      <c r="BS497" t="s">
        <v>9528</v>
      </c>
      <c r="BT497" t="str">
        <f>HYPERLINK("https%3A%2F%2Fwww.webofscience.com%2Fwos%2Fwoscc%2Ffull-record%2FWOS:001071169000009","View Full Record in Web of Science")</f>
        <v>View Full Record in Web of Science</v>
      </c>
    </row>
    <row r="498" spans="1:72" x14ac:dyDescent="0.15">
      <c r="A498" t="s">
        <v>72</v>
      </c>
      <c r="B498" t="s">
        <v>9529</v>
      </c>
      <c r="C498" t="s">
        <v>74</v>
      </c>
      <c r="D498" t="s">
        <v>74</v>
      </c>
      <c r="E498" t="s">
        <v>74</v>
      </c>
      <c r="F498" t="s">
        <v>9530</v>
      </c>
      <c r="G498" t="s">
        <v>74</v>
      </c>
      <c r="H498" t="s">
        <v>74</v>
      </c>
      <c r="I498" t="s">
        <v>9531</v>
      </c>
      <c r="J498" t="s">
        <v>9532</v>
      </c>
      <c r="K498" t="s">
        <v>74</v>
      </c>
      <c r="L498" t="s">
        <v>74</v>
      </c>
      <c r="M498" t="s">
        <v>78</v>
      </c>
      <c r="N498" t="s">
        <v>79</v>
      </c>
      <c r="O498" t="s">
        <v>74</v>
      </c>
      <c r="P498" t="s">
        <v>74</v>
      </c>
      <c r="Q498" t="s">
        <v>74</v>
      </c>
      <c r="R498" t="s">
        <v>74</v>
      </c>
      <c r="S498" t="s">
        <v>74</v>
      </c>
      <c r="T498" t="s">
        <v>74</v>
      </c>
      <c r="U498" t="s">
        <v>9533</v>
      </c>
      <c r="V498" t="s">
        <v>9534</v>
      </c>
      <c r="W498" t="s">
        <v>9535</v>
      </c>
      <c r="X498" t="s">
        <v>9536</v>
      </c>
      <c r="Y498" t="s">
        <v>9537</v>
      </c>
      <c r="Z498" t="s">
        <v>9538</v>
      </c>
      <c r="AA498" t="s">
        <v>74</v>
      </c>
      <c r="AB498" t="s">
        <v>9539</v>
      </c>
      <c r="AC498" t="s">
        <v>9540</v>
      </c>
      <c r="AD498" t="s">
        <v>9541</v>
      </c>
      <c r="AE498" t="s">
        <v>9542</v>
      </c>
      <c r="AF498" t="s">
        <v>74</v>
      </c>
      <c r="AG498">
        <v>28</v>
      </c>
      <c r="AH498">
        <v>4</v>
      </c>
      <c r="AI498">
        <v>4</v>
      </c>
      <c r="AJ498">
        <v>1</v>
      </c>
      <c r="AK498">
        <v>1</v>
      </c>
      <c r="AL498" t="s">
        <v>237</v>
      </c>
      <c r="AM498" t="s">
        <v>238</v>
      </c>
      <c r="AN498" t="s">
        <v>239</v>
      </c>
      <c r="AO498" t="s">
        <v>9543</v>
      </c>
      <c r="AP498" t="s">
        <v>74</v>
      </c>
      <c r="AQ498" t="s">
        <v>74</v>
      </c>
      <c r="AR498" t="s">
        <v>9544</v>
      </c>
      <c r="AS498" t="s">
        <v>9545</v>
      </c>
      <c r="AT498" t="s">
        <v>9001</v>
      </c>
      <c r="AU498">
        <v>2022</v>
      </c>
      <c r="AV498">
        <v>6</v>
      </c>
      <c r="AW498" t="s">
        <v>74</v>
      </c>
      <c r="AX498" t="s">
        <v>74</v>
      </c>
      <c r="AY498" t="s">
        <v>74</v>
      </c>
      <c r="AZ498" t="s">
        <v>74</v>
      </c>
      <c r="BA498" t="s">
        <v>74</v>
      </c>
      <c r="BB498" t="s">
        <v>74</v>
      </c>
      <c r="BC498" t="s">
        <v>74</v>
      </c>
      <c r="BD498">
        <v>100064</v>
      </c>
      <c r="BE498" t="s">
        <v>9546</v>
      </c>
      <c r="BF498" t="str">
        <f>HYPERLINK("http://dx.doi.org/10.1016/j.srs.2022.100064","http://dx.doi.org/10.1016/j.srs.2022.100064")</f>
        <v>http://dx.doi.org/10.1016/j.srs.2022.100064</v>
      </c>
      <c r="BG498" t="s">
        <v>74</v>
      </c>
      <c r="BH498" t="s">
        <v>74</v>
      </c>
      <c r="BI498">
        <v>8</v>
      </c>
      <c r="BJ498" t="s">
        <v>9547</v>
      </c>
      <c r="BK498" t="s">
        <v>757</v>
      </c>
      <c r="BL498" t="s">
        <v>9548</v>
      </c>
      <c r="BM498" t="s">
        <v>9549</v>
      </c>
      <c r="BN498" t="s">
        <v>74</v>
      </c>
      <c r="BO498" t="s">
        <v>74</v>
      </c>
      <c r="BP498" t="s">
        <v>74</v>
      </c>
      <c r="BQ498" t="s">
        <v>74</v>
      </c>
      <c r="BR498" t="s">
        <v>108</v>
      </c>
      <c r="BS498" t="s">
        <v>9550</v>
      </c>
      <c r="BT498" t="str">
        <f>HYPERLINK("https%3A%2F%2Fwww.webofscience.com%2Fwos%2Fwoscc%2Ffull-record%2FWOS:001026127600001","View Full Record in Web of Science")</f>
        <v>View Full Record in Web of Science</v>
      </c>
    </row>
    <row r="499" spans="1:72" x14ac:dyDescent="0.15">
      <c r="A499" t="s">
        <v>72</v>
      </c>
      <c r="B499" t="s">
        <v>9551</v>
      </c>
      <c r="C499" t="s">
        <v>74</v>
      </c>
      <c r="D499" t="s">
        <v>74</v>
      </c>
      <c r="E499" t="s">
        <v>74</v>
      </c>
      <c r="F499" t="s">
        <v>9552</v>
      </c>
      <c r="G499" t="s">
        <v>74</v>
      </c>
      <c r="H499" t="s">
        <v>74</v>
      </c>
      <c r="I499" t="s">
        <v>9553</v>
      </c>
      <c r="J499" t="s">
        <v>9554</v>
      </c>
      <c r="K499" t="s">
        <v>74</v>
      </c>
      <c r="L499" t="s">
        <v>74</v>
      </c>
      <c r="M499" t="s">
        <v>78</v>
      </c>
      <c r="N499" t="s">
        <v>79</v>
      </c>
      <c r="O499" t="s">
        <v>74</v>
      </c>
      <c r="P499" t="s">
        <v>74</v>
      </c>
      <c r="Q499" t="s">
        <v>74</v>
      </c>
      <c r="R499" t="s">
        <v>74</v>
      </c>
      <c r="S499" t="s">
        <v>74</v>
      </c>
      <c r="T499" t="s">
        <v>74</v>
      </c>
      <c r="U499" t="s">
        <v>74</v>
      </c>
      <c r="V499" t="s">
        <v>9555</v>
      </c>
      <c r="W499" t="s">
        <v>9556</v>
      </c>
      <c r="X499" t="s">
        <v>9557</v>
      </c>
      <c r="Y499" t="s">
        <v>9558</v>
      </c>
      <c r="Z499" t="s">
        <v>74</v>
      </c>
      <c r="AA499" t="s">
        <v>74</v>
      </c>
      <c r="AB499" t="s">
        <v>74</v>
      </c>
      <c r="AC499" t="s">
        <v>74</v>
      </c>
      <c r="AD499" t="s">
        <v>74</v>
      </c>
      <c r="AE499" t="s">
        <v>74</v>
      </c>
      <c r="AF499" t="s">
        <v>74</v>
      </c>
      <c r="AG499">
        <v>76</v>
      </c>
      <c r="AH499">
        <v>0</v>
      </c>
      <c r="AI499">
        <v>0</v>
      </c>
      <c r="AJ499">
        <v>1</v>
      </c>
      <c r="AK499">
        <v>1</v>
      </c>
      <c r="AL499" t="s">
        <v>9559</v>
      </c>
      <c r="AM499" t="s">
        <v>9560</v>
      </c>
      <c r="AN499" t="s">
        <v>9561</v>
      </c>
      <c r="AO499" t="s">
        <v>9562</v>
      </c>
      <c r="AP499" t="s">
        <v>9563</v>
      </c>
      <c r="AQ499" t="s">
        <v>74</v>
      </c>
      <c r="AR499" t="s">
        <v>9564</v>
      </c>
      <c r="AS499" t="s">
        <v>9565</v>
      </c>
      <c r="AT499" t="s">
        <v>9001</v>
      </c>
      <c r="AU499">
        <v>2022</v>
      </c>
      <c r="AV499">
        <v>23</v>
      </c>
      <c r="AW499">
        <v>2</v>
      </c>
      <c r="AX499" t="s">
        <v>74</v>
      </c>
      <c r="AY499" t="s">
        <v>74</v>
      </c>
      <c r="AZ499" t="s">
        <v>74</v>
      </c>
      <c r="BA499" t="s">
        <v>74</v>
      </c>
      <c r="BB499" t="s">
        <v>74</v>
      </c>
      <c r="BC499" t="s">
        <v>74</v>
      </c>
      <c r="BD499" t="s">
        <v>74</v>
      </c>
      <c r="BE499" t="s">
        <v>74</v>
      </c>
      <c r="BF499" t="s">
        <v>74</v>
      </c>
      <c r="BG499" t="s">
        <v>74</v>
      </c>
      <c r="BH499" t="s">
        <v>74</v>
      </c>
      <c r="BI499">
        <v>29</v>
      </c>
      <c r="BJ499" t="s">
        <v>9566</v>
      </c>
      <c r="BK499" t="s">
        <v>757</v>
      </c>
      <c r="BL499" t="s">
        <v>9567</v>
      </c>
      <c r="BM499" t="s">
        <v>9568</v>
      </c>
      <c r="BN499" t="s">
        <v>74</v>
      </c>
      <c r="BO499" t="s">
        <v>74</v>
      </c>
      <c r="BP499" t="s">
        <v>74</v>
      </c>
      <c r="BQ499" t="s">
        <v>74</v>
      </c>
      <c r="BR499" t="s">
        <v>108</v>
      </c>
      <c r="BS499" t="s">
        <v>9569</v>
      </c>
      <c r="BT499" t="str">
        <f>HYPERLINK("https%3A%2F%2Fwww.webofscience.com%2Fwos%2Fwoscc%2Ffull-record%2FWOS:000989770600001","View Full Record in Web of Science")</f>
        <v>View Full Record in Web of Science</v>
      </c>
    </row>
    <row r="500" spans="1:72" x14ac:dyDescent="0.15">
      <c r="A500" t="s">
        <v>72</v>
      </c>
      <c r="B500" t="s">
        <v>9570</v>
      </c>
      <c r="C500" t="s">
        <v>74</v>
      </c>
      <c r="D500" t="s">
        <v>74</v>
      </c>
      <c r="E500" t="s">
        <v>74</v>
      </c>
      <c r="F500" t="s">
        <v>9571</v>
      </c>
      <c r="G500" t="s">
        <v>74</v>
      </c>
      <c r="H500" t="s">
        <v>74</v>
      </c>
      <c r="I500" t="s">
        <v>9572</v>
      </c>
      <c r="J500" t="s">
        <v>4819</v>
      </c>
      <c r="K500" t="s">
        <v>74</v>
      </c>
      <c r="L500" t="s">
        <v>74</v>
      </c>
      <c r="M500" t="s">
        <v>78</v>
      </c>
      <c r="N500" t="s">
        <v>79</v>
      </c>
      <c r="O500" t="s">
        <v>74</v>
      </c>
      <c r="P500" t="s">
        <v>74</v>
      </c>
      <c r="Q500" t="s">
        <v>74</v>
      </c>
      <c r="R500" t="s">
        <v>74</v>
      </c>
      <c r="S500" t="s">
        <v>74</v>
      </c>
      <c r="T500" t="s">
        <v>9573</v>
      </c>
      <c r="U500" t="s">
        <v>9574</v>
      </c>
      <c r="V500" t="s">
        <v>9575</v>
      </c>
      <c r="W500" t="s">
        <v>9576</v>
      </c>
      <c r="X500" t="s">
        <v>9577</v>
      </c>
      <c r="Y500" t="s">
        <v>9578</v>
      </c>
      <c r="Z500" t="s">
        <v>9579</v>
      </c>
      <c r="AA500" t="s">
        <v>9580</v>
      </c>
      <c r="AB500" t="s">
        <v>9581</v>
      </c>
      <c r="AC500" t="s">
        <v>9582</v>
      </c>
      <c r="AD500" t="s">
        <v>9583</v>
      </c>
      <c r="AE500" t="s">
        <v>9584</v>
      </c>
      <c r="AF500" t="s">
        <v>74</v>
      </c>
      <c r="AG500">
        <v>57</v>
      </c>
      <c r="AH500">
        <v>0</v>
      </c>
      <c r="AI500">
        <v>0</v>
      </c>
      <c r="AJ500">
        <v>0</v>
      </c>
      <c r="AK500">
        <v>4</v>
      </c>
      <c r="AL500" t="s">
        <v>4804</v>
      </c>
      <c r="AM500" t="s">
        <v>4805</v>
      </c>
      <c r="AN500" t="s">
        <v>4806</v>
      </c>
      <c r="AO500" t="s">
        <v>4829</v>
      </c>
      <c r="AP500" t="s">
        <v>4830</v>
      </c>
      <c r="AQ500" t="s">
        <v>74</v>
      </c>
      <c r="AR500" t="s">
        <v>4831</v>
      </c>
      <c r="AS500" t="s">
        <v>4832</v>
      </c>
      <c r="AT500" t="s">
        <v>9001</v>
      </c>
      <c r="AU500">
        <v>2022</v>
      </c>
      <c r="AV500">
        <v>52</v>
      </c>
      <c r="AW500">
        <v>12</v>
      </c>
      <c r="AX500" t="s">
        <v>74</v>
      </c>
      <c r="AY500" t="s">
        <v>74</v>
      </c>
      <c r="AZ500" t="s">
        <v>74</v>
      </c>
      <c r="BA500" t="s">
        <v>74</v>
      </c>
      <c r="BB500">
        <v>2957</v>
      </c>
      <c r="BC500">
        <v>2973</v>
      </c>
      <c r="BD500" t="s">
        <v>74</v>
      </c>
      <c r="BE500" t="s">
        <v>9585</v>
      </c>
      <c r="BF500" t="str">
        <f>HYPERLINK("http://dx.doi.org/10.1175/JPO-D-21-0312.1","http://dx.doi.org/10.1175/JPO-D-21-0312.1")</f>
        <v>http://dx.doi.org/10.1175/JPO-D-21-0312.1</v>
      </c>
      <c r="BG500" t="s">
        <v>74</v>
      </c>
      <c r="BH500" t="s">
        <v>74</v>
      </c>
      <c r="BI500">
        <v>17</v>
      </c>
      <c r="BJ500" t="s">
        <v>403</v>
      </c>
      <c r="BK500" t="s">
        <v>104</v>
      </c>
      <c r="BL500" t="s">
        <v>403</v>
      </c>
      <c r="BM500" t="s">
        <v>9586</v>
      </c>
      <c r="BN500" t="s">
        <v>74</v>
      </c>
      <c r="BO500" t="s">
        <v>8686</v>
      </c>
      <c r="BP500" t="s">
        <v>74</v>
      </c>
      <c r="BQ500" t="s">
        <v>74</v>
      </c>
      <c r="BR500" t="s">
        <v>108</v>
      </c>
      <c r="BS500" t="s">
        <v>9587</v>
      </c>
      <c r="BT500" t="str">
        <f>HYPERLINK("https%3A%2F%2Fwww.webofscience.com%2Fwos%2Fwoscc%2Ffull-record%2FWOS:000913390900005","View Full Record in Web of Science")</f>
        <v>View Full Record in Web of Science</v>
      </c>
    </row>
    <row r="501" spans="1:72" x14ac:dyDescent="0.15">
      <c r="A501" t="s">
        <v>72</v>
      </c>
      <c r="B501" t="s">
        <v>9588</v>
      </c>
      <c r="C501" t="s">
        <v>74</v>
      </c>
      <c r="D501" t="s">
        <v>74</v>
      </c>
      <c r="E501" t="s">
        <v>74</v>
      </c>
      <c r="F501" t="s">
        <v>9589</v>
      </c>
      <c r="G501" t="s">
        <v>74</v>
      </c>
      <c r="H501" t="s">
        <v>74</v>
      </c>
      <c r="I501" t="s">
        <v>9590</v>
      </c>
      <c r="J501" t="s">
        <v>4819</v>
      </c>
      <c r="K501" t="s">
        <v>74</v>
      </c>
      <c r="L501" t="s">
        <v>74</v>
      </c>
      <c r="M501" t="s">
        <v>78</v>
      </c>
      <c r="N501" t="s">
        <v>79</v>
      </c>
      <c r="O501" t="s">
        <v>74</v>
      </c>
      <c r="P501" t="s">
        <v>74</v>
      </c>
      <c r="Q501" t="s">
        <v>74</v>
      </c>
      <c r="R501" t="s">
        <v>74</v>
      </c>
      <c r="S501" t="s">
        <v>74</v>
      </c>
      <c r="T501" t="s">
        <v>9591</v>
      </c>
      <c r="U501" t="s">
        <v>9592</v>
      </c>
      <c r="V501" t="s">
        <v>9593</v>
      </c>
      <c r="W501" t="s">
        <v>9594</v>
      </c>
      <c r="X501" t="s">
        <v>3627</v>
      </c>
      <c r="Y501" t="s">
        <v>9595</v>
      </c>
      <c r="Z501" t="s">
        <v>9596</v>
      </c>
      <c r="AA501" t="s">
        <v>74</v>
      </c>
      <c r="AB501" t="s">
        <v>74</v>
      </c>
      <c r="AC501" t="s">
        <v>9597</v>
      </c>
      <c r="AD501" t="s">
        <v>9598</v>
      </c>
      <c r="AE501" t="s">
        <v>9599</v>
      </c>
      <c r="AF501" t="s">
        <v>74</v>
      </c>
      <c r="AG501">
        <v>33</v>
      </c>
      <c r="AH501">
        <v>0</v>
      </c>
      <c r="AI501">
        <v>0</v>
      </c>
      <c r="AJ501">
        <v>2</v>
      </c>
      <c r="AK501">
        <v>4</v>
      </c>
      <c r="AL501" t="s">
        <v>4804</v>
      </c>
      <c r="AM501" t="s">
        <v>4805</v>
      </c>
      <c r="AN501" t="s">
        <v>4806</v>
      </c>
      <c r="AO501" t="s">
        <v>4829</v>
      </c>
      <c r="AP501" t="s">
        <v>4830</v>
      </c>
      <c r="AQ501" t="s">
        <v>74</v>
      </c>
      <c r="AR501" t="s">
        <v>4831</v>
      </c>
      <c r="AS501" t="s">
        <v>4832</v>
      </c>
      <c r="AT501" t="s">
        <v>9001</v>
      </c>
      <c r="AU501">
        <v>2022</v>
      </c>
      <c r="AV501">
        <v>52</v>
      </c>
      <c r="AW501">
        <v>12</v>
      </c>
      <c r="AX501" t="s">
        <v>74</v>
      </c>
      <c r="AY501" t="s">
        <v>74</v>
      </c>
      <c r="AZ501" t="s">
        <v>74</v>
      </c>
      <c r="BA501" t="s">
        <v>74</v>
      </c>
      <c r="BB501">
        <v>3159</v>
      </c>
      <c r="BC501">
        <v>3177</v>
      </c>
      <c r="BD501" t="s">
        <v>74</v>
      </c>
      <c r="BE501" t="s">
        <v>9600</v>
      </c>
      <c r="BF501" t="str">
        <f>HYPERLINK("http://dx.doi.org/10.1175/JPO-D-21-0256.1","http://dx.doi.org/10.1175/JPO-D-21-0256.1")</f>
        <v>http://dx.doi.org/10.1175/JPO-D-21-0256.1</v>
      </c>
      <c r="BG501" t="s">
        <v>74</v>
      </c>
      <c r="BH501" t="s">
        <v>74</v>
      </c>
      <c r="BI501">
        <v>19</v>
      </c>
      <c r="BJ501" t="s">
        <v>403</v>
      </c>
      <c r="BK501" t="s">
        <v>104</v>
      </c>
      <c r="BL501" t="s">
        <v>403</v>
      </c>
      <c r="BM501" t="s">
        <v>9586</v>
      </c>
      <c r="BN501" t="s">
        <v>74</v>
      </c>
      <c r="BO501" t="s">
        <v>660</v>
      </c>
      <c r="BP501" t="s">
        <v>74</v>
      </c>
      <c r="BQ501" t="s">
        <v>74</v>
      </c>
      <c r="BR501" t="s">
        <v>108</v>
      </c>
      <c r="BS501" t="s">
        <v>9601</v>
      </c>
      <c r="BT501" t="str">
        <f>HYPERLINK("https%3A%2F%2Fwww.webofscience.com%2Fwos%2Fwoscc%2Ffull-record%2FWOS:000913390900015","View Full Record in Web of Science")</f>
        <v>View Full Record in Web of Science</v>
      </c>
    </row>
    <row r="502" spans="1:72" x14ac:dyDescent="0.15">
      <c r="A502" t="s">
        <v>72</v>
      </c>
      <c r="B502" t="s">
        <v>9602</v>
      </c>
      <c r="C502" t="s">
        <v>74</v>
      </c>
      <c r="D502" t="s">
        <v>74</v>
      </c>
      <c r="E502" t="s">
        <v>74</v>
      </c>
      <c r="F502" t="s">
        <v>9603</v>
      </c>
      <c r="G502" t="s">
        <v>74</v>
      </c>
      <c r="H502" t="s">
        <v>74</v>
      </c>
      <c r="I502" t="s">
        <v>9604</v>
      </c>
      <c r="J502" t="s">
        <v>4819</v>
      </c>
      <c r="K502" t="s">
        <v>74</v>
      </c>
      <c r="L502" t="s">
        <v>74</v>
      </c>
      <c r="M502" t="s">
        <v>78</v>
      </c>
      <c r="N502" t="s">
        <v>79</v>
      </c>
      <c r="O502" t="s">
        <v>74</v>
      </c>
      <c r="P502" t="s">
        <v>74</v>
      </c>
      <c r="Q502" t="s">
        <v>74</v>
      </c>
      <c r="R502" t="s">
        <v>74</v>
      </c>
      <c r="S502" t="s">
        <v>74</v>
      </c>
      <c r="T502" t="s">
        <v>9605</v>
      </c>
      <c r="U502" t="s">
        <v>9606</v>
      </c>
      <c r="V502" t="s">
        <v>9607</v>
      </c>
      <c r="W502" t="s">
        <v>9608</v>
      </c>
      <c r="X502" t="s">
        <v>9609</v>
      </c>
      <c r="Y502" t="s">
        <v>9610</v>
      </c>
      <c r="Z502" t="s">
        <v>9611</v>
      </c>
      <c r="AA502" t="s">
        <v>74</v>
      </c>
      <c r="AB502" t="s">
        <v>9612</v>
      </c>
      <c r="AC502" t="s">
        <v>9613</v>
      </c>
      <c r="AD502" t="s">
        <v>9614</v>
      </c>
      <c r="AE502" t="s">
        <v>9615</v>
      </c>
      <c r="AF502" t="s">
        <v>74</v>
      </c>
      <c r="AG502">
        <v>106</v>
      </c>
      <c r="AH502">
        <v>1</v>
      </c>
      <c r="AI502">
        <v>1</v>
      </c>
      <c r="AJ502">
        <v>0</v>
      </c>
      <c r="AK502">
        <v>3</v>
      </c>
      <c r="AL502" t="s">
        <v>4804</v>
      </c>
      <c r="AM502" t="s">
        <v>4805</v>
      </c>
      <c r="AN502" t="s">
        <v>4806</v>
      </c>
      <c r="AO502" t="s">
        <v>4829</v>
      </c>
      <c r="AP502" t="s">
        <v>4830</v>
      </c>
      <c r="AQ502" t="s">
        <v>74</v>
      </c>
      <c r="AR502" t="s">
        <v>4831</v>
      </c>
      <c r="AS502" t="s">
        <v>4832</v>
      </c>
      <c r="AT502" t="s">
        <v>9001</v>
      </c>
      <c r="AU502">
        <v>2022</v>
      </c>
      <c r="AV502">
        <v>52</v>
      </c>
      <c r="AW502">
        <v>12</v>
      </c>
      <c r="AX502" t="s">
        <v>74</v>
      </c>
      <c r="AY502" t="s">
        <v>74</v>
      </c>
      <c r="AZ502" t="s">
        <v>74</v>
      </c>
      <c r="BA502" t="s">
        <v>74</v>
      </c>
      <c r="BB502">
        <v>3199</v>
      </c>
      <c r="BC502">
        <v>3219</v>
      </c>
      <c r="BD502" t="s">
        <v>74</v>
      </c>
      <c r="BE502" t="s">
        <v>9616</v>
      </c>
      <c r="BF502" t="str">
        <f>HYPERLINK("http://dx.doi.org/10.1175/JPO-D-22-0009.1","http://dx.doi.org/10.1175/JPO-D-22-0009.1")</f>
        <v>http://dx.doi.org/10.1175/JPO-D-22-0009.1</v>
      </c>
      <c r="BG502" t="s">
        <v>74</v>
      </c>
      <c r="BH502" t="s">
        <v>74</v>
      </c>
      <c r="BI502">
        <v>21</v>
      </c>
      <c r="BJ502" t="s">
        <v>403</v>
      </c>
      <c r="BK502" t="s">
        <v>104</v>
      </c>
      <c r="BL502" t="s">
        <v>403</v>
      </c>
      <c r="BM502" t="s">
        <v>9586</v>
      </c>
      <c r="BN502" t="s">
        <v>74</v>
      </c>
      <c r="BO502" t="s">
        <v>1279</v>
      </c>
      <c r="BP502" t="s">
        <v>74</v>
      </c>
      <c r="BQ502" t="s">
        <v>74</v>
      </c>
      <c r="BR502" t="s">
        <v>108</v>
      </c>
      <c r="BS502" t="s">
        <v>9617</v>
      </c>
      <c r="BT502" t="str">
        <f>HYPERLINK("https%3A%2F%2Fwww.webofscience.com%2Fwos%2Fwoscc%2Ffull-record%2FWOS:000913390900017","View Full Record in Web of Science")</f>
        <v>View Full Record in Web of Science</v>
      </c>
    </row>
    <row r="503" spans="1:72" x14ac:dyDescent="0.15">
      <c r="A503" t="s">
        <v>72</v>
      </c>
      <c r="B503" t="s">
        <v>9618</v>
      </c>
      <c r="C503" t="s">
        <v>74</v>
      </c>
      <c r="D503" t="s">
        <v>74</v>
      </c>
      <c r="E503" t="s">
        <v>74</v>
      </c>
      <c r="F503" t="s">
        <v>9619</v>
      </c>
      <c r="G503" t="s">
        <v>74</v>
      </c>
      <c r="H503" t="s">
        <v>74</v>
      </c>
      <c r="I503" t="s">
        <v>9620</v>
      </c>
      <c r="J503" t="s">
        <v>4819</v>
      </c>
      <c r="K503" t="s">
        <v>74</v>
      </c>
      <c r="L503" t="s">
        <v>74</v>
      </c>
      <c r="M503" t="s">
        <v>78</v>
      </c>
      <c r="N503" t="s">
        <v>79</v>
      </c>
      <c r="O503" t="s">
        <v>74</v>
      </c>
      <c r="P503" t="s">
        <v>74</v>
      </c>
      <c r="Q503" t="s">
        <v>74</v>
      </c>
      <c r="R503" t="s">
        <v>74</v>
      </c>
      <c r="S503" t="s">
        <v>74</v>
      </c>
      <c r="T503" t="s">
        <v>9621</v>
      </c>
      <c r="U503" t="s">
        <v>9622</v>
      </c>
      <c r="V503" t="s">
        <v>9623</v>
      </c>
      <c r="W503" t="s">
        <v>9624</v>
      </c>
      <c r="X503" t="s">
        <v>9625</v>
      </c>
      <c r="Y503" t="s">
        <v>9626</v>
      </c>
      <c r="Z503" t="s">
        <v>9627</v>
      </c>
      <c r="AA503" t="s">
        <v>9628</v>
      </c>
      <c r="AB503" t="s">
        <v>9629</v>
      </c>
      <c r="AC503" t="s">
        <v>9630</v>
      </c>
      <c r="AD503" t="s">
        <v>9631</v>
      </c>
      <c r="AE503" t="s">
        <v>9632</v>
      </c>
      <c r="AF503" t="s">
        <v>74</v>
      </c>
      <c r="AG503">
        <v>110</v>
      </c>
      <c r="AH503">
        <v>2</v>
      </c>
      <c r="AI503">
        <v>2</v>
      </c>
      <c r="AJ503">
        <v>1</v>
      </c>
      <c r="AK503">
        <v>10</v>
      </c>
      <c r="AL503" t="s">
        <v>4804</v>
      </c>
      <c r="AM503" t="s">
        <v>4805</v>
      </c>
      <c r="AN503" t="s">
        <v>4806</v>
      </c>
      <c r="AO503" t="s">
        <v>4829</v>
      </c>
      <c r="AP503" t="s">
        <v>4830</v>
      </c>
      <c r="AQ503" t="s">
        <v>74</v>
      </c>
      <c r="AR503" t="s">
        <v>4831</v>
      </c>
      <c r="AS503" t="s">
        <v>4832</v>
      </c>
      <c r="AT503" t="s">
        <v>9001</v>
      </c>
      <c r="AU503">
        <v>2022</v>
      </c>
      <c r="AV503">
        <v>52</v>
      </c>
      <c r="AW503">
        <v>12</v>
      </c>
      <c r="AX503" t="s">
        <v>74</v>
      </c>
      <c r="AY503" t="s">
        <v>74</v>
      </c>
      <c r="AZ503" t="s">
        <v>74</v>
      </c>
      <c r="BA503" t="s">
        <v>74</v>
      </c>
      <c r="BB503">
        <v>3241</v>
      </c>
      <c r="BC503">
        <v>3258</v>
      </c>
      <c r="BD503" t="s">
        <v>74</v>
      </c>
      <c r="BE503" t="s">
        <v>9633</v>
      </c>
      <c r="BF503" t="str">
        <f>HYPERLINK("http://dx.doi.org/10.1175/JPO-D-22-0015.1","http://dx.doi.org/10.1175/JPO-D-22-0015.1")</f>
        <v>http://dx.doi.org/10.1175/JPO-D-22-0015.1</v>
      </c>
      <c r="BG503" t="s">
        <v>74</v>
      </c>
      <c r="BH503" t="s">
        <v>74</v>
      </c>
      <c r="BI503">
        <v>18</v>
      </c>
      <c r="BJ503" t="s">
        <v>403</v>
      </c>
      <c r="BK503" t="s">
        <v>104</v>
      </c>
      <c r="BL503" t="s">
        <v>403</v>
      </c>
      <c r="BM503" t="s">
        <v>9586</v>
      </c>
      <c r="BN503" t="s">
        <v>74</v>
      </c>
      <c r="BO503" t="s">
        <v>660</v>
      </c>
      <c r="BP503" t="s">
        <v>74</v>
      </c>
      <c r="BQ503" t="s">
        <v>74</v>
      </c>
      <c r="BR503" t="s">
        <v>108</v>
      </c>
      <c r="BS503" t="s">
        <v>9634</v>
      </c>
      <c r="BT503" t="str">
        <f>HYPERLINK("https%3A%2F%2Fwww.webofscience.com%2Fwos%2Fwoscc%2Ffull-record%2FWOS:000913390900019","View Full Record in Web of Science")</f>
        <v>View Full Record in Web of Science</v>
      </c>
    </row>
    <row r="504" spans="1:72" x14ac:dyDescent="0.15">
      <c r="A504" t="s">
        <v>72</v>
      </c>
      <c r="B504" t="s">
        <v>9635</v>
      </c>
      <c r="C504" t="s">
        <v>74</v>
      </c>
      <c r="D504" t="s">
        <v>74</v>
      </c>
      <c r="E504" t="s">
        <v>74</v>
      </c>
      <c r="F504" t="s">
        <v>9636</v>
      </c>
      <c r="G504" t="s">
        <v>74</v>
      </c>
      <c r="H504" t="s">
        <v>74</v>
      </c>
      <c r="I504" t="s">
        <v>9637</v>
      </c>
      <c r="J504" t="s">
        <v>5676</v>
      </c>
      <c r="K504" t="s">
        <v>74</v>
      </c>
      <c r="L504" t="s">
        <v>74</v>
      </c>
      <c r="M504" t="s">
        <v>78</v>
      </c>
      <c r="N504" t="s">
        <v>79</v>
      </c>
      <c r="O504" t="s">
        <v>74</v>
      </c>
      <c r="P504" t="s">
        <v>74</v>
      </c>
      <c r="Q504" t="s">
        <v>74</v>
      </c>
      <c r="R504" t="s">
        <v>74</v>
      </c>
      <c r="S504" t="s">
        <v>74</v>
      </c>
      <c r="T504" t="s">
        <v>9638</v>
      </c>
      <c r="U504" t="s">
        <v>9639</v>
      </c>
      <c r="V504" t="s">
        <v>9640</v>
      </c>
      <c r="W504" t="s">
        <v>9641</v>
      </c>
      <c r="X504" t="s">
        <v>9642</v>
      </c>
      <c r="Y504" t="s">
        <v>9643</v>
      </c>
      <c r="Z504" t="s">
        <v>9644</v>
      </c>
      <c r="AA504" t="s">
        <v>9645</v>
      </c>
      <c r="AB504" t="s">
        <v>9646</v>
      </c>
      <c r="AC504" t="s">
        <v>9647</v>
      </c>
      <c r="AD504" t="s">
        <v>9648</v>
      </c>
      <c r="AE504" t="s">
        <v>9649</v>
      </c>
      <c r="AF504" t="s">
        <v>74</v>
      </c>
      <c r="AG504">
        <v>69</v>
      </c>
      <c r="AH504">
        <v>1</v>
      </c>
      <c r="AI504">
        <v>1</v>
      </c>
      <c r="AJ504">
        <v>5</v>
      </c>
      <c r="AK504">
        <v>6</v>
      </c>
      <c r="AL504" t="s">
        <v>297</v>
      </c>
      <c r="AM504" t="s">
        <v>298</v>
      </c>
      <c r="AN504" t="s">
        <v>299</v>
      </c>
      <c r="AO504" t="s">
        <v>5689</v>
      </c>
      <c r="AP504" t="s">
        <v>74</v>
      </c>
      <c r="AQ504" t="s">
        <v>74</v>
      </c>
      <c r="AR504" t="s">
        <v>5690</v>
      </c>
      <c r="AS504" t="s">
        <v>5691</v>
      </c>
      <c r="AT504" t="s">
        <v>9001</v>
      </c>
      <c r="AU504">
        <v>2022</v>
      </c>
      <c r="AV504">
        <v>12</v>
      </c>
      <c r="AW504">
        <v>12</v>
      </c>
      <c r="AX504" t="s">
        <v>74</v>
      </c>
      <c r="AY504" t="s">
        <v>74</v>
      </c>
      <c r="AZ504" t="s">
        <v>74</v>
      </c>
      <c r="BA504" t="s">
        <v>74</v>
      </c>
      <c r="BB504" t="s">
        <v>74</v>
      </c>
      <c r="BC504" t="s">
        <v>74</v>
      </c>
      <c r="BD504" t="s">
        <v>9650</v>
      </c>
      <c r="BE504" t="s">
        <v>9651</v>
      </c>
      <c r="BF504" t="str">
        <f>HYPERLINK("http://dx.doi.org/10.1002/ece3.9570","http://dx.doi.org/10.1002/ece3.9570")</f>
        <v>http://dx.doi.org/10.1002/ece3.9570</v>
      </c>
      <c r="BG504" t="s">
        <v>74</v>
      </c>
      <c r="BH504" t="s">
        <v>74</v>
      </c>
      <c r="BI504">
        <v>14</v>
      </c>
      <c r="BJ504" t="s">
        <v>5694</v>
      </c>
      <c r="BK504" t="s">
        <v>104</v>
      </c>
      <c r="BL504" t="s">
        <v>5695</v>
      </c>
      <c r="BM504" t="s">
        <v>9652</v>
      </c>
      <c r="BN504">
        <v>36479030</v>
      </c>
      <c r="BO504" t="s">
        <v>192</v>
      </c>
      <c r="BP504" t="s">
        <v>74</v>
      </c>
      <c r="BQ504" t="s">
        <v>74</v>
      </c>
      <c r="BR504" t="s">
        <v>108</v>
      </c>
      <c r="BS504" t="s">
        <v>9653</v>
      </c>
      <c r="BT504" t="str">
        <f>HYPERLINK("https%3A%2F%2Fwww.webofscience.com%2Fwos%2Fwoscc%2Ffull-record%2FWOS:000916083800001","View Full Record in Web of Science")</f>
        <v>View Full Record in Web of Science</v>
      </c>
    </row>
    <row r="505" spans="1:72" x14ac:dyDescent="0.15">
      <c r="A505" t="s">
        <v>72</v>
      </c>
      <c r="B505" t="s">
        <v>9654</v>
      </c>
      <c r="C505" t="s">
        <v>74</v>
      </c>
      <c r="D505" t="s">
        <v>74</v>
      </c>
      <c r="E505" t="s">
        <v>74</v>
      </c>
      <c r="F505" t="s">
        <v>9655</v>
      </c>
      <c r="G505" t="s">
        <v>74</v>
      </c>
      <c r="H505" t="s">
        <v>74</v>
      </c>
      <c r="I505" t="s">
        <v>9656</v>
      </c>
      <c r="J505" t="s">
        <v>9657</v>
      </c>
      <c r="K505" t="s">
        <v>74</v>
      </c>
      <c r="L505" t="s">
        <v>74</v>
      </c>
      <c r="M505" t="s">
        <v>78</v>
      </c>
      <c r="N505" t="s">
        <v>79</v>
      </c>
      <c r="O505" t="s">
        <v>74</v>
      </c>
      <c r="P505" t="s">
        <v>74</v>
      </c>
      <c r="Q505" t="s">
        <v>74</v>
      </c>
      <c r="R505" t="s">
        <v>74</v>
      </c>
      <c r="S505" t="s">
        <v>74</v>
      </c>
      <c r="T505" t="s">
        <v>9658</v>
      </c>
      <c r="U505" t="s">
        <v>9659</v>
      </c>
      <c r="V505" t="s">
        <v>9660</v>
      </c>
      <c r="W505" t="s">
        <v>9661</v>
      </c>
      <c r="X505" t="s">
        <v>74</v>
      </c>
      <c r="Y505" t="s">
        <v>9662</v>
      </c>
      <c r="Z505" t="s">
        <v>9663</v>
      </c>
      <c r="AA505" t="s">
        <v>74</v>
      </c>
      <c r="AB505" t="s">
        <v>74</v>
      </c>
      <c r="AC505" t="s">
        <v>74</v>
      </c>
      <c r="AD505" t="s">
        <v>74</v>
      </c>
      <c r="AE505" t="s">
        <v>74</v>
      </c>
      <c r="AF505" t="s">
        <v>74</v>
      </c>
      <c r="AG505">
        <v>64</v>
      </c>
      <c r="AH505">
        <v>1</v>
      </c>
      <c r="AI505">
        <v>1</v>
      </c>
      <c r="AJ505">
        <v>0</v>
      </c>
      <c r="AK505">
        <v>0</v>
      </c>
      <c r="AL505" t="s">
        <v>4452</v>
      </c>
      <c r="AM505" t="s">
        <v>93</v>
      </c>
      <c r="AN505" t="s">
        <v>4453</v>
      </c>
      <c r="AO505" t="s">
        <v>9664</v>
      </c>
      <c r="AP505" t="s">
        <v>9665</v>
      </c>
      <c r="AQ505" t="s">
        <v>74</v>
      </c>
      <c r="AR505" t="s">
        <v>9666</v>
      </c>
      <c r="AS505" t="s">
        <v>9667</v>
      </c>
      <c r="AT505" t="s">
        <v>9001</v>
      </c>
      <c r="AU505">
        <v>2022</v>
      </c>
      <c r="AV505">
        <v>56</v>
      </c>
      <c r="AW505">
        <v>6</v>
      </c>
      <c r="AX505" t="s">
        <v>74</v>
      </c>
      <c r="AY505" t="s">
        <v>74</v>
      </c>
      <c r="AZ505" t="s">
        <v>74</v>
      </c>
      <c r="BA505" t="s">
        <v>74</v>
      </c>
      <c r="BB505">
        <v>699</v>
      </c>
      <c r="BC505">
        <v>728</v>
      </c>
      <c r="BD505" t="s">
        <v>74</v>
      </c>
      <c r="BE505" t="s">
        <v>9668</v>
      </c>
      <c r="BF505" t="str">
        <f>HYPERLINK("http://dx.doi.org/10.1134/S001685212206005X","http://dx.doi.org/10.1134/S001685212206005X")</f>
        <v>http://dx.doi.org/10.1134/S001685212206005X</v>
      </c>
      <c r="BG505" t="s">
        <v>74</v>
      </c>
      <c r="BH505" t="s">
        <v>74</v>
      </c>
      <c r="BI505">
        <v>30</v>
      </c>
      <c r="BJ505" t="s">
        <v>430</v>
      </c>
      <c r="BK505" t="s">
        <v>104</v>
      </c>
      <c r="BL505" t="s">
        <v>430</v>
      </c>
      <c r="BM505" t="s">
        <v>9669</v>
      </c>
      <c r="BN505" t="s">
        <v>74</v>
      </c>
      <c r="BO505" t="s">
        <v>74</v>
      </c>
      <c r="BP505" t="s">
        <v>74</v>
      </c>
      <c r="BQ505" t="s">
        <v>74</v>
      </c>
      <c r="BR505" t="s">
        <v>108</v>
      </c>
      <c r="BS505" t="s">
        <v>9670</v>
      </c>
      <c r="BT505" t="str">
        <f>HYPERLINK("https%3A%2F%2Fwww.webofscience.com%2Fwos%2Fwoscc%2Ffull-record%2FWOS:000949446000002","View Full Record in Web of Science")</f>
        <v>View Full Record in Web of Science</v>
      </c>
    </row>
    <row r="506" spans="1:72" x14ac:dyDescent="0.15">
      <c r="A506" t="s">
        <v>72</v>
      </c>
      <c r="B506" t="s">
        <v>9671</v>
      </c>
      <c r="C506" t="s">
        <v>74</v>
      </c>
      <c r="D506" t="s">
        <v>74</v>
      </c>
      <c r="E506" t="s">
        <v>74</v>
      </c>
      <c r="F506" t="s">
        <v>9672</v>
      </c>
      <c r="G506" t="s">
        <v>74</v>
      </c>
      <c r="H506" t="s">
        <v>74</v>
      </c>
      <c r="I506" t="s">
        <v>9673</v>
      </c>
      <c r="J506" t="s">
        <v>4089</v>
      </c>
      <c r="K506" t="s">
        <v>74</v>
      </c>
      <c r="L506" t="s">
        <v>74</v>
      </c>
      <c r="M506" t="s">
        <v>78</v>
      </c>
      <c r="N506" t="s">
        <v>256</v>
      </c>
      <c r="O506" t="s">
        <v>74</v>
      </c>
      <c r="P506" t="s">
        <v>74</v>
      </c>
      <c r="Q506" t="s">
        <v>74</v>
      </c>
      <c r="R506" t="s">
        <v>74</v>
      </c>
      <c r="S506" t="s">
        <v>74</v>
      </c>
      <c r="T506" t="s">
        <v>9674</v>
      </c>
      <c r="U506" t="s">
        <v>9675</v>
      </c>
      <c r="V506" t="s">
        <v>9676</v>
      </c>
      <c r="W506" t="s">
        <v>9677</v>
      </c>
      <c r="X506" t="s">
        <v>9678</v>
      </c>
      <c r="Y506" t="s">
        <v>9679</v>
      </c>
      <c r="Z506" t="s">
        <v>9680</v>
      </c>
      <c r="AA506" t="s">
        <v>74</v>
      </c>
      <c r="AB506" t="s">
        <v>9681</v>
      </c>
      <c r="AC506" t="s">
        <v>9682</v>
      </c>
      <c r="AD506" t="s">
        <v>9683</v>
      </c>
      <c r="AE506" t="s">
        <v>9684</v>
      </c>
      <c r="AF506" t="s">
        <v>74</v>
      </c>
      <c r="AG506">
        <v>223</v>
      </c>
      <c r="AH506">
        <v>4</v>
      </c>
      <c r="AI506">
        <v>4</v>
      </c>
      <c r="AJ506">
        <v>18</v>
      </c>
      <c r="AK506">
        <v>34</v>
      </c>
      <c r="AL506" t="s">
        <v>1791</v>
      </c>
      <c r="AM506" t="s">
        <v>576</v>
      </c>
      <c r="AN506" t="s">
        <v>1792</v>
      </c>
      <c r="AO506" t="s">
        <v>74</v>
      </c>
      <c r="AP506" t="s">
        <v>4102</v>
      </c>
      <c r="AQ506" t="s">
        <v>74</v>
      </c>
      <c r="AR506" t="s">
        <v>4089</v>
      </c>
      <c r="AS506" t="s">
        <v>4103</v>
      </c>
      <c r="AT506" t="s">
        <v>9001</v>
      </c>
      <c r="AU506">
        <v>2022</v>
      </c>
      <c r="AV506">
        <v>10</v>
      </c>
      <c r="AW506">
        <v>12</v>
      </c>
      <c r="AX506" t="s">
        <v>74</v>
      </c>
      <c r="AY506" t="s">
        <v>74</v>
      </c>
      <c r="AZ506" t="s">
        <v>74</v>
      </c>
      <c r="BA506" t="s">
        <v>74</v>
      </c>
      <c r="BB506" t="s">
        <v>74</v>
      </c>
      <c r="BC506" t="s">
        <v>74</v>
      </c>
      <c r="BD506" t="s">
        <v>9685</v>
      </c>
      <c r="BE506" t="s">
        <v>9686</v>
      </c>
      <c r="BF506" t="str">
        <f>HYPERLINK("http://dx.doi.org/10.1029/2022EF002940","http://dx.doi.org/10.1029/2022EF002940")</f>
        <v>http://dx.doi.org/10.1029/2022EF002940</v>
      </c>
      <c r="BG506" t="s">
        <v>74</v>
      </c>
      <c r="BH506" t="s">
        <v>74</v>
      </c>
      <c r="BI506">
        <v>29</v>
      </c>
      <c r="BJ506" t="s">
        <v>381</v>
      </c>
      <c r="BK506" t="s">
        <v>104</v>
      </c>
      <c r="BL506" t="s">
        <v>382</v>
      </c>
      <c r="BM506" t="s">
        <v>9687</v>
      </c>
      <c r="BN506" t="s">
        <v>74</v>
      </c>
      <c r="BO506" t="s">
        <v>165</v>
      </c>
      <c r="BP506" t="s">
        <v>74</v>
      </c>
      <c r="BQ506" t="s">
        <v>74</v>
      </c>
      <c r="BR506" t="s">
        <v>108</v>
      </c>
      <c r="BS506" t="s">
        <v>9688</v>
      </c>
      <c r="BT506" t="str">
        <f>HYPERLINK("https%3A%2F%2Fwww.webofscience.com%2Fwos%2Fwoscc%2Ffull-record%2FWOS:000925057500001","View Full Record in Web of Science")</f>
        <v>View Full Record in Web of Science</v>
      </c>
    </row>
    <row r="507" spans="1:72" x14ac:dyDescent="0.15">
      <c r="A507" t="s">
        <v>72</v>
      </c>
      <c r="B507" t="s">
        <v>9689</v>
      </c>
      <c r="C507" t="s">
        <v>74</v>
      </c>
      <c r="D507" t="s">
        <v>74</v>
      </c>
      <c r="E507" t="s">
        <v>74</v>
      </c>
      <c r="F507" t="s">
        <v>9690</v>
      </c>
      <c r="G507" t="s">
        <v>74</v>
      </c>
      <c r="H507" t="s">
        <v>74</v>
      </c>
      <c r="I507" t="s">
        <v>9691</v>
      </c>
      <c r="J507" t="s">
        <v>4328</v>
      </c>
      <c r="K507" t="s">
        <v>74</v>
      </c>
      <c r="L507" t="s">
        <v>74</v>
      </c>
      <c r="M507" t="s">
        <v>78</v>
      </c>
      <c r="N507" t="s">
        <v>79</v>
      </c>
      <c r="O507" t="s">
        <v>74</v>
      </c>
      <c r="P507" t="s">
        <v>74</v>
      </c>
      <c r="Q507" t="s">
        <v>74</v>
      </c>
      <c r="R507" t="s">
        <v>74</v>
      </c>
      <c r="S507" t="s">
        <v>74</v>
      </c>
      <c r="T507" t="s">
        <v>74</v>
      </c>
      <c r="U507" t="s">
        <v>9692</v>
      </c>
      <c r="V507" t="s">
        <v>9693</v>
      </c>
      <c r="W507" t="s">
        <v>9694</v>
      </c>
      <c r="X507" t="s">
        <v>9695</v>
      </c>
      <c r="Y507" t="s">
        <v>9696</v>
      </c>
      <c r="Z507" t="s">
        <v>9697</v>
      </c>
      <c r="AA507" t="s">
        <v>74</v>
      </c>
      <c r="AB507" t="s">
        <v>9698</v>
      </c>
      <c r="AC507" t="s">
        <v>9699</v>
      </c>
      <c r="AD507" t="s">
        <v>9700</v>
      </c>
      <c r="AE507" t="s">
        <v>9701</v>
      </c>
      <c r="AF507" t="s">
        <v>74</v>
      </c>
      <c r="AG507">
        <v>123</v>
      </c>
      <c r="AH507">
        <v>2</v>
      </c>
      <c r="AI507">
        <v>2</v>
      </c>
      <c r="AJ507">
        <v>5</v>
      </c>
      <c r="AK507">
        <v>8</v>
      </c>
      <c r="AL507" t="s">
        <v>1791</v>
      </c>
      <c r="AM507" t="s">
        <v>576</v>
      </c>
      <c r="AN507" t="s">
        <v>1792</v>
      </c>
      <c r="AO507" t="s">
        <v>4340</v>
      </c>
      <c r="AP507" t="s">
        <v>4341</v>
      </c>
      <c r="AQ507" t="s">
        <v>74</v>
      </c>
      <c r="AR507" t="s">
        <v>4342</v>
      </c>
      <c r="AS507" t="s">
        <v>4343</v>
      </c>
      <c r="AT507" t="s">
        <v>9001</v>
      </c>
      <c r="AU507">
        <v>2022</v>
      </c>
      <c r="AV507">
        <v>37</v>
      </c>
      <c r="AW507">
        <v>12</v>
      </c>
      <c r="AX507" t="s">
        <v>74</v>
      </c>
      <c r="AY507" t="s">
        <v>74</v>
      </c>
      <c r="AZ507" t="s">
        <v>74</v>
      </c>
      <c r="BA507" t="s">
        <v>74</v>
      </c>
      <c r="BB507" t="s">
        <v>74</v>
      </c>
      <c r="BC507" t="s">
        <v>74</v>
      </c>
      <c r="BD507" t="s">
        <v>9702</v>
      </c>
      <c r="BE507" t="s">
        <v>9703</v>
      </c>
      <c r="BF507" t="str">
        <f>HYPERLINK("http://dx.doi.org/10.1029/2021PA004364","http://dx.doi.org/10.1029/2021PA004364")</f>
        <v>http://dx.doi.org/10.1029/2021PA004364</v>
      </c>
      <c r="BG507" t="s">
        <v>74</v>
      </c>
      <c r="BH507" t="s">
        <v>74</v>
      </c>
      <c r="BI507">
        <v>21</v>
      </c>
      <c r="BJ507" t="s">
        <v>4346</v>
      </c>
      <c r="BK507" t="s">
        <v>104</v>
      </c>
      <c r="BL507" t="s">
        <v>4347</v>
      </c>
      <c r="BM507" t="s">
        <v>9704</v>
      </c>
      <c r="BN507" t="s">
        <v>74</v>
      </c>
      <c r="BO507" t="s">
        <v>8686</v>
      </c>
      <c r="BP507" t="s">
        <v>74</v>
      </c>
      <c r="BQ507" t="s">
        <v>74</v>
      </c>
      <c r="BR507" t="s">
        <v>108</v>
      </c>
      <c r="BS507" t="s">
        <v>9705</v>
      </c>
      <c r="BT507" t="str">
        <f>HYPERLINK("https%3A%2F%2Fwww.webofscience.com%2Fwos%2Fwoscc%2Ffull-record%2FWOS:000924578900001","View Full Record in Web of Science")</f>
        <v>View Full Record in Web of Science</v>
      </c>
    </row>
    <row r="508" spans="1:72" x14ac:dyDescent="0.15">
      <c r="A508" t="s">
        <v>72</v>
      </c>
      <c r="B508" t="s">
        <v>9706</v>
      </c>
      <c r="C508" t="s">
        <v>74</v>
      </c>
      <c r="D508" t="s">
        <v>74</v>
      </c>
      <c r="E508" t="s">
        <v>74</v>
      </c>
      <c r="F508" t="s">
        <v>9707</v>
      </c>
      <c r="G508" t="s">
        <v>74</v>
      </c>
      <c r="H508" t="s">
        <v>74</v>
      </c>
      <c r="I508" t="s">
        <v>9708</v>
      </c>
      <c r="J508" t="s">
        <v>9709</v>
      </c>
      <c r="K508" t="s">
        <v>74</v>
      </c>
      <c r="L508" t="s">
        <v>74</v>
      </c>
      <c r="M508" t="s">
        <v>78</v>
      </c>
      <c r="N508" t="s">
        <v>256</v>
      </c>
      <c r="O508" t="s">
        <v>74</v>
      </c>
      <c r="P508" t="s">
        <v>74</v>
      </c>
      <c r="Q508" t="s">
        <v>74</v>
      </c>
      <c r="R508" t="s">
        <v>74</v>
      </c>
      <c r="S508" t="s">
        <v>74</v>
      </c>
      <c r="T508" t="s">
        <v>9710</v>
      </c>
      <c r="U508" t="s">
        <v>9711</v>
      </c>
      <c r="V508" t="s">
        <v>9712</v>
      </c>
      <c r="W508" t="s">
        <v>9713</v>
      </c>
      <c r="X508" t="s">
        <v>9714</v>
      </c>
      <c r="Y508" t="s">
        <v>9715</v>
      </c>
      <c r="Z508" t="s">
        <v>9716</v>
      </c>
      <c r="AA508" t="s">
        <v>9717</v>
      </c>
      <c r="AB508" t="s">
        <v>9718</v>
      </c>
      <c r="AC508" t="s">
        <v>9719</v>
      </c>
      <c r="AD508" t="s">
        <v>9720</v>
      </c>
      <c r="AE508" t="s">
        <v>9721</v>
      </c>
      <c r="AF508" t="s">
        <v>74</v>
      </c>
      <c r="AG508">
        <v>512</v>
      </c>
      <c r="AH508">
        <v>3</v>
      </c>
      <c r="AI508">
        <v>3</v>
      </c>
      <c r="AJ508">
        <v>12</v>
      </c>
      <c r="AK508">
        <v>29</v>
      </c>
      <c r="AL508" t="s">
        <v>1791</v>
      </c>
      <c r="AM508" t="s">
        <v>576</v>
      </c>
      <c r="AN508" t="s">
        <v>1792</v>
      </c>
      <c r="AO508" t="s">
        <v>9722</v>
      </c>
      <c r="AP508" t="s">
        <v>9723</v>
      </c>
      <c r="AQ508" t="s">
        <v>74</v>
      </c>
      <c r="AR508" t="s">
        <v>9724</v>
      </c>
      <c r="AS508" t="s">
        <v>9725</v>
      </c>
      <c r="AT508" t="s">
        <v>9001</v>
      </c>
      <c r="AU508">
        <v>2022</v>
      </c>
      <c r="AV508">
        <v>60</v>
      </c>
      <c r="AW508">
        <v>4</v>
      </c>
      <c r="AX508" t="s">
        <v>74</v>
      </c>
      <c r="AY508" t="s">
        <v>74</v>
      </c>
      <c r="AZ508" t="s">
        <v>74</v>
      </c>
      <c r="BA508" t="s">
        <v>74</v>
      </c>
      <c r="BB508" t="s">
        <v>74</v>
      </c>
      <c r="BC508" t="s">
        <v>74</v>
      </c>
      <c r="BD508" t="s">
        <v>9726</v>
      </c>
      <c r="BE508" t="s">
        <v>9727</v>
      </c>
      <c r="BF508" t="str">
        <f>HYPERLINK("http://dx.doi.org/10.1029/2022RG000775","http://dx.doi.org/10.1029/2022RG000775")</f>
        <v>http://dx.doi.org/10.1029/2022RG000775</v>
      </c>
      <c r="BG508" t="s">
        <v>74</v>
      </c>
      <c r="BH508" t="s">
        <v>74</v>
      </c>
      <c r="BI508">
        <v>56</v>
      </c>
      <c r="BJ508" t="s">
        <v>430</v>
      </c>
      <c r="BK508" t="s">
        <v>104</v>
      </c>
      <c r="BL508" t="s">
        <v>430</v>
      </c>
      <c r="BM508" t="s">
        <v>9728</v>
      </c>
      <c r="BN508" t="s">
        <v>74</v>
      </c>
      <c r="BO508" t="s">
        <v>219</v>
      </c>
      <c r="BP508" t="s">
        <v>74</v>
      </c>
      <c r="BQ508" t="s">
        <v>74</v>
      </c>
      <c r="BR508" t="s">
        <v>108</v>
      </c>
      <c r="BS508" t="s">
        <v>9729</v>
      </c>
      <c r="BT508" t="str">
        <f>HYPERLINK("https%3A%2F%2Fwww.webofscience.com%2Fwos%2Fwoscc%2Ffull-record%2FWOS:000924542200001","View Full Record in Web of Science")</f>
        <v>View Full Record in Web of Science</v>
      </c>
    </row>
    <row r="509" spans="1:72" x14ac:dyDescent="0.15">
      <c r="A509" t="s">
        <v>72</v>
      </c>
      <c r="B509" t="s">
        <v>9730</v>
      </c>
      <c r="C509" t="s">
        <v>74</v>
      </c>
      <c r="D509" t="s">
        <v>74</v>
      </c>
      <c r="E509" t="s">
        <v>74</v>
      </c>
      <c r="F509" t="s">
        <v>9731</v>
      </c>
      <c r="G509" t="s">
        <v>74</v>
      </c>
      <c r="H509" t="s">
        <v>74</v>
      </c>
      <c r="I509" t="s">
        <v>9732</v>
      </c>
      <c r="J509" t="s">
        <v>9733</v>
      </c>
      <c r="K509" t="s">
        <v>74</v>
      </c>
      <c r="L509" t="s">
        <v>74</v>
      </c>
      <c r="M509" t="s">
        <v>78</v>
      </c>
      <c r="N509" t="s">
        <v>79</v>
      </c>
      <c r="O509" t="s">
        <v>74</v>
      </c>
      <c r="P509" t="s">
        <v>74</v>
      </c>
      <c r="Q509" t="s">
        <v>74</v>
      </c>
      <c r="R509" t="s">
        <v>74</v>
      </c>
      <c r="S509" t="s">
        <v>74</v>
      </c>
      <c r="T509" t="s">
        <v>9734</v>
      </c>
      <c r="U509" t="s">
        <v>9735</v>
      </c>
      <c r="V509" t="s">
        <v>9736</v>
      </c>
      <c r="W509" t="s">
        <v>9737</v>
      </c>
      <c r="X509" t="s">
        <v>9738</v>
      </c>
      <c r="Y509" t="s">
        <v>9739</v>
      </c>
      <c r="Z509" t="s">
        <v>9740</v>
      </c>
      <c r="AA509" t="s">
        <v>9741</v>
      </c>
      <c r="AB509" t="s">
        <v>9742</v>
      </c>
      <c r="AC509" t="s">
        <v>9743</v>
      </c>
      <c r="AD509" t="s">
        <v>9744</v>
      </c>
      <c r="AE509" t="s">
        <v>9745</v>
      </c>
      <c r="AF509" t="s">
        <v>74</v>
      </c>
      <c r="AG509">
        <v>30</v>
      </c>
      <c r="AH509">
        <v>0</v>
      </c>
      <c r="AI509">
        <v>0</v>
      </c>
      <c r="AJ509">
        <v>0</v>
      </c>
      <c r="AK509">
        <v>0</v>
      </c>
      <c r="AL509" t="s">
        <v>4200</v>
      </c>
      <c r="AM509" t="s">
        <v>93</v>
      </c>
      <c r="AN509" t="s">
        <v>4201</v>
      </c>
      <c r="AO509" t="s">
        <v>9746</v>
      </c>
      <c r="AP509" t="s">
        <v>9747</v>
      </c>
      <c r="AQ509" t="s">
        <v>74</v>
      </c>
      <c r="AR509" t="s">
        <v>9748</v>
      </c>
      <c r="AS509" t="s">
        <v>9749</v>
      </c>
      <c r="AT509" t="s">
        <v>9001</v>
      </c>
      <c r="AU509">
        <v>2022</v>
      </c>
      <c r="AV509">
        <v>58</v>
      </c>
      <c r="AW509">
        <v>12</v>
      </c>
      <c r="AX509" t="s">
        <v>74</v>
      </c>
      <c r="AY509" t="s">
        <v>74</v>
      </c>
      <c r="AZ509" t="s">
        <v>74</v>
      </c>
      <c r="BA509" t="s">
        <v>74</v>
      </c>
      <c r="BB509">
        <v>1470</v>
      </c>
      <c r="BC509">
        <v>1484</v>
      </c>
      <c r="BD509" t="s">
        <v>74</v>
      </c>
      <c r="BE509" t="s">
        <v>9750</v>
      </c>
      <c r="BF509" t="str">
        <f>HYPERLINK("http://dx.doi.org/10.1134/S0001433822120039","http://dx.doi.org/10.1134/S0001433822120039")</f>
        <v>http://dx.doi.org/10.1134/S0001433822120039</v>
      </c>
      <c r="BG509" t="s">
        <v>74</v>
      </c>
      <c r="BH509" t="s">
        <v>74</v>
      </c>
      <c r="BI509">
        <v>15</v>
      </c>
      <c r="BJ509" t="s">
        <v>8116</v>
      </c>
      <c r="BK509" t="s">
        <v>104</v>
      </c>
      <c r="BL509" t="s">
        <v>8116</v>
      </c>
      <c r="BM509" t="s">
        <v>9751</v>
      </c>
      <c r="BN509" t="s">
        <v>74</v>
      </c>
      <c r="BO509" t="s">
        <v>74</v>
      </c>
      <c r="BP509" t="s">
        <v>74</v>
      </c>
      <c r="BQ509" t="s">
        <v>74</v>
      </c>
      <c r="BR509" t="s">
        <v>108</v>
      </c>
      <c r="BS509" t="s">
        <v>9752</v>
      </c>
      <c r="BT509" t="str">
        <f>HYPERLINK("https%3A%2F%2Fwww.webofscience.com%2Fwos%2Fwoscc%2Ffull-record%2FWOS:000948838000005","View Full Record in Web of Science")</f>
        <v>View Full Record in Web of Science</v>
      </c>
    </row>
    <row r="510" spans="1:72" x14ac:dyDescent="0.15">
      <c r="A510" t="s">
        <v>72</v>
      </c>
      <c r="B510" t="s">
        <v>9753</v>
      </c>
      <c r="C510" t="s">
        <v>74</v>
      </c>
      <c r="D510" t="s">
        <v>74</v>
      </c>
      <c r="E510" t="s">
        <v>74</v>
      </c>
      <c r="F510" t="s">
        <v>9754</v>
      </c>
      <c r="G510" t="s">
        <v>74</v>
      </c>
      <c r="H510" t="s">
        <v>74</v>
      </c>
      <c r="I510" t="s">
        <v>9755</v>
      </c>
      <c r="J510" t="s">
        <v>9733</v>
      </c>
      <c r="K510" t="s">
        <v>74</v>
      </c>
      <c r="L510" t="s">
        <v>74</v>
      </c>
      <c r="M510" t="s">
        <v>78</v>
      </c>
      <c r="N510" t="s">
        <v>79</v>
      </c>
      <c r="O510" t="s">
        <v>74</v>
      </c>
      <c r="P510" t="s">
        <v>74</v>
      </c>
      <c r="Q510" t="s">
        <v>74</v>
      </c>
      <c r="R510" t="s">
        <v>74</v>
      </c>
      <c r="S510" t="s">
        <v>74</v>
      </c>
      <c r="T510" t="s">
        <v>9756</v>
      </c>
      <c r="U510" t="s">
        <v>9757</v>
      </c>
      <c r="V510" t="s">
        <v>9758</v>
      </c>
      <c r="W510" t="s">
        <v>9759</v>
      </c>
      <c r="X510" t="s">
        <v>9760</v>
      </c>
      <c r="Y510" t="s">
        <v>9761</v>
      </c>
      <c r="Z510" t="s">
        <v>9762</v>
      </c>
      <c r="AA510" t="s">
        <v>9763</v>
      </c>
      <c r="AB510" t="s">
        <v>9764</v>
      </c>
      <c r="AC510" t="s">
        <v>9765</v>
      </c>
      <c r="AD510" t="s">
        <v>9766</v>
      </c>
      <c r="AE510" t="s">
        <v>9767</v>
      </c>
      <c r="AF510" t="s">
        <v>74</v>
      </c>
      <c r="AG510">
        <v>41</v>
      </c>
      <c r="AH510">
        <v>0</v>
      </c>
      <c r="AI510">
        <v>0</v>
      </c>
      <c r="AJ510">
        <v>1</v>
      </c>
      <c r="AK510">
        <v>2</v>
      </c>
      <c r="AL510" t="s">
        <v>4200</v>
      </c>
      <c r="AM510" t="s">
        <v>93</v>
      </c>
      <c r="AN510" t="s">
        <v>4201</v>
      </c>
      <c r="AO510" t="s">
        <v>9746</v>
      </c>
      <c r="AP510" t="s">
        <v>9747</v>
      </c>
      <c r="AQ510" t="s">
        <v>74</v>
      </c>
      <c r="AR510" t="s">
        <v>9748</v>
      </c>
      <c r="AS510" t="s">
        <v>9749</v>
      </c>
      <c r="AT510" t="s">
        <v>9001</v>
      </c>
      <c r="AU510">
        <v>2022</v>
      </c>
      <c r="AV510">
        <v>58</v>
      </c>
      <c r="AW510">
        <v>12</v>
      </c>
      <c r="AX510" t="s">
        <v>74</v>
      </c>
      <c r="AY510" t="s">
        <v>74</v>
      </c>
      <c r="AZ510" t="s">
        <v>74</v>
      </c>
      <c r="BA510" t="s">
        <v>74</v>
      </c>
      <c r="BB510">
        <v>1519</v>
      </c>
      <c r="BC510">
        <v>1531</v>
      </c>
      <c r="BD510" t="s">
        <v>74</v>
      </c>
      <c r="BE510" t="s">
        <v>9768</v>
      </c>
      <c r="BF510" t="str">
        <f>HYPERLINK("http://dx.doi.org/10.1134/S0001433822120234","http://dx.doi.org/10.1134/S0001433822120234")</f>
        <v>http://dx.doi.org/10.1134/S0001433822120234</v>
      </c>
      <c r="BG510" t="s">
        <v>74</v>
      </c>
      <c r="BH510" t="s">
        <v>74</v>
      </c>
      <c r="BI510">
        <v>13</v>
      </c>
      <c r="BJ510" t="s">
        <v>8116</v>
      </c>
      <c r="BK510" t="s">
        <v>104</v>
      </c>
      <c r="BL510" t="s">
        <v>8116</v>
      </c>
      <c r="BM510" t="s">
        <v>9751</v>
      </c>
      <c r="BN510" t="s">
        <v>74</v>
      </c>
      <c r="BO510" t="s">
        <v>74</v>
      </c>
      <c r="BP510" t="s">
        <v>74</v>
      </c>
      <c r="BQ510" t="s">
        <v>74</v>
      </c>
      <c r="BR510" t="s">
        <v>108</v>
      </c>
      <c r="BS510" t="s">
        <v>9769</v>
      </c>
      <c r="BT510" t="str">
        <f>HYPERLINK("https%3A%2F%2Fwww.webofscience.com%2Fwos%2Fwoscc%2Ffull-record%2FWOS:000948838000009","View Full Record in Web of Science")</f>
        <v>View Full Record in Web of Science</v>
      </c>
    </row>
    <row r="511" spans="1:72" x14ac:dyDescent="0.15">
      <c r="A511" t="s">
        <v>72</v>
      </c>
      <c r="B511" t="s">
        <v>9770</v>
      </c>
      <c r="C511" t="s">
        <v>74</v>
      </c>
      <c r="D511" t="s">
        <v>74</v>
      </c>
      <c r="E511" t="s">
        <v>74</v>
      </c>
      <c r="F511" t="s">
        <v>9771</v>
      </c>
      <c r="G511" t="s">
        <v>74</v>
      </c>
      <c r="H511" t="s">
        <v>74</v>
      </c>
      <c r="I511" t="s">
        <v>9772</v>
      </c>
      <c r="J511" t="s">
        <v>9733</v>
      </c>
      <c r="K511" t="s">
        <v>74</v>
      </c>
      <c r="L511" t="s">
        <v>74</v>
      </c>
      <c r="M511" t="s">
        <v>78</v>
      </c>
      <c r="N511" t="s">
        <v>79</v>
      </c>
      <c r="O511" t="s">
        <v>74</v>
      </c>
      <c r="P511" t="s">
        <v>74</v>
      </c>
      <c r="Q511" t="s">
        <v>74</v>
      </c>
      <c r="R511" t="s">
        <v>74</v>
      </c>
      <c r="S511" t="s">
        <v>74</v>
      </c>
      <c r="T511" t="s">
        <v>9773</v>
      </c>
      <c r="U511" t="s">
        <v>9774</v>
      </c>
      <c r="V511" t="s">
        <v>9775</v>
      </c>
      <c r="W511" t="s">
        <v>9776</v>
      </c>
      <c r="X511" t="s">
        <v>9777</v>
      </c>
      <c r="Y511" t="s">
        <v>9778</v>
      </c>
      <c r="Z511" t="s">
        <v>9779</v>
      </c>
      <c r="AA511" t="s">
        <v>9780</v>
      </c>
      <c r="AB511" t="s">
        <v>74</v>
      </c>
      <c r="AC511" t="s">
        <v>74</v>
      </c>
      <c r="AD511" t="s">
        <v>74</v>
      </c>
      <c r="AE511" t="s">
        <v>74</v>
      </c>
      <c r="AF511" t="s">
        <v>74</v>
      </c>
      <c r="AG511">
        <v>31</v>
      </c>
      <c r="AH511">
        <v>0</v>
      </c>
      <c r="AI511">
        <v>0</v>
      </c>
      <c r="AJ511">
        <v>0</v>
      </c>
      <c r="AK511">
        <v>1</v>
      </c>
      <c r="AL511" t="s">
        <v>4200</v>
      </c>
      <c r="AM511" t="s">
        <v>93</v>
      </c>
      <c r="AN511" t="s">
        <v>4201</v>
      </c>
      <c r="AO511" t="s">
        <v>9746</v>
      </c>
      <c r="AP511" t="s">
        <v>9747</v>
      </c>
      <c r="AQ511" t="s">
        <v>74</v>
      </c>
      <c r="AR511" t="s">
        <v>9748</v>
      </c>
      <c r="AS511" t="s">
        <v>9749</v>
      </c>
      <c r="AT511" t="s">
        <v>9001</v>
      </c>
      <c r="AU511">
        <v>2022</v>
      </c>
      <c r="AV511">
        <v>58</v>
      </c>
      <c r="AW511" t="s">
        <v>9781</v>
      </c>
      <c r="AX511" t="s">
        <v>74</v>
      </c>
      <c r="AY511">
        <v>1</v>
      </c>
      <c r="AZ511" t="s">
        <v>74</v>
      </c>
      <c r="BA511" t="s">
        <v>74</v>
      </c>
      <c r="BB511" t="s">
        <v>9782</v>
      </c>
      <c r="BC511" t="s">
        <v>9783</v>
      </c>
      <c r="BD511" t="s">
        <v>74</v>
      </c>
      <c r="BE511" t="s">
        <v>9784</v>
      </c>
      <c r="BF511" t="str">
        <f>HYPERLINK("http://dx.doi.org/10.1134/S0001433822130059","http://dx.doi.org/10.1134/S0001433822130059")</f>
        <v>http://dx.doi.org/10.1134/S0001433822130059</v>
      </c>
      <c r="BG511" t="s">
        <v>74</v>
      </c>
      <c r="BH511" t="s">
        <v>74</v>
      </c>
      <c r="BI511">
        <v>16</v>
      </c>
      <c r="BJ511" t="s">
        <v>8116</v>
      </c>
      <c r="BK511" t="s">
        <v>104</v>
      </c>
      <c r="BL511" t="s">
        <v>8116</v>
      </c>
      <c r="BM511" t="s">
        <v>9785</v>
      </c>
      <c r="BN511" t="s">
        <v>74</v>
      </c>
      <c r="BO511" t="s">
        <v>74</v>
      </c>
      <c r="BP511" t="s">
        <v>74</v>
      </c>
      <c r="BQ511" t="s">
        <v>74</v>
      </c>
      <c r="BR511" t="s">
        <v>108</v>
      </c>
      <c r="BS511" t="s">
        <v>9786</v>
      </c>
      <c r="BT511" t="str">
        <f>HYPERLINK("https%3A%2F%2Fwww.webofscience.com%2Fwos%2Fwoscc%2Ffull-record%2FWOS:000951957500007","View Full Record in Web of Science")</f>
        <v>View Full Record in Web of Science</v>
      </c>
    </row>
    <row r="512" spans="1:72" x14ac:dyDescent="0.15">
      <c r="A512" t="s">
        <v>72</v>
      </c>
      <c r="B512" t="s">
        <v>9787</v>
      </c>
      <c r="C512" t="s">
        <v>74</v>
      </c>
      <c r="D512" t="s">
        <v>74</v>
      </c>
      <c r="E512" t="s">
        <v>74</v>
      </c>
      <c r="F512" t="s">
        <v>9788</v>
      </c>
      <c r="G512" t="s">
        <v>74</v>
      </c>
      <c r="H512" t="s">
        <v>74</v>
      </c>
      <c r="I512" t="s">
        <v>9789</v>
      </c>
      <c r="J512" t="s">
        <v>9790</v>
      </c>
      <c r="K512" t="s">
        <v>74</v>
      </c>
      <c r="L512" t="s">
        <v>74</v>
      </c>
      <c r="M512" t="s">
        <v>78</v>
      </c>
      <c r="N512" t="s">
        <v>79</v>
      </c>
      <c r="O512" t="s">
        <v>74</v>
      </c>
      <c r="P512" t="s">
        <v>74</v>
      </c>
      <c r="Q512" t="s">
        <v>74</v>
      </c>
      <c r="R512" t="s">
        <v>74</v>
      </c>
      <c r="S512" t="s">
        <v>74</v>
      </c>
      <c r="T512" t="s">
        <v>9791</v>
      </c>
      <c r="U512" t="s">
        <v>74</v>
      </c>
      <c r="V512" t="s">
        <v>9792</v>
      </c>
      <c r="W512" t="s">
        <v>9793</v>
      </c>
      <c r="X512" t="s">
        <v>2072</v>
      </c>
      <c r="Y512" t="s">
        <v>9794</v>
      </c>
      <c r="Z512" t="s">
        <v>9795</v>
      </c>
      <c r="AA512" t="s">
        <v>9796</v>
      </c>
      <c r="AB512" t="s">
        <v>9797</v>
      </c>
      <c r="AC512" t="s">
        <v>74</v>
      </c>
      <c r="AD512" t="s">
        <v>74</v>
      </c>
      <c r="AE512" t="s">
        <v>74</v>
      </c>
      <c r="AF512" t="s">
        <v>74</v>
      </c>
      <c r="AG512">
        <v>25</v>
      </c>
      <c r="AH512">
        <v>2</v>
      </c>
      <c r="AI512">
        <v>2</v>
      </c>
      <c r="AJ512">
        <v>3</v>
      </c>
      <c r="AK512">
        <v>3</v>
      </c>
      <c r="AL512" t="s">
        <v>4452</v>
      </c>
      <c r="AM512" t="s">
        <v>93</v>
      </c>
      <c r="AN512" t="s">
        <v>4453</v>
      </c>
      <c r="AO512" t="s">
        <v>9798</v>
      </c>
      <c r="AP512" t="s">
        <v>9799</v>
      </c>
      <c r="AQ512" t="s">
        <v>74</v>
      </c>
      <c r="AR512" t="s">
        <v>9800</v>
      </c>
      <c r="AS512" t="s">
        <v>9801</v>
      </c>
      <c r="AT512" t="s">
        <v>9001</v>
      </c>
      <c r="AU512">
        <v>2022</v>
      </c>
      <c r="AV512">
        <v>62</v>
      </c>
      <c r="AW512">
        <v>6</v>
      </c>
      <c r="AX512" t="s">
        <v>74</v>
      </c>
      <c r="AY512" t="s">
        <v>74</v>
      </c>
      <c r="AZ512" t="s">
        <v>74</v>
      </c>
      <c r="BA512" t="s">
        <v>74</v>
      </c>
      <c r="BB512">
        <v>735</v>
      </c>
      <c r="BC512">
        <v>745</v>
      </c>
      <c r="BD512" t="s">
        <v>74</v>
      </c>
      <c r="BE512" t="s">
        <v>9802</v>
      </c>
      <c r="BF512" t="str">
        <f>HYPERLINK("http://dx.doi.org/10.1134/S0001437022050125","http://dx.doi.org/10.1134/S0001437022050125")</f>
        <v>http://dx.doi.org/10.1134/S0001437022050125</v>
      </c>
      <c r="BG512" t="s">
        <v>74</v>
      </c>
      <c r="BH512" t="s">
        <v>74</v>
      </c>
      <c r="BI512">
        <v>11</v>
      </c>
      <c r="BJ512" t="s">
        <v>403</v>
      </c>
      <c r="BK512" t="s">
        <v>104</v>
      </c>
      <c r="BL512" t="s">
        <v>403</v>
      </c>
      <c r="BM512" t="s">
        <v>9803</v>
      </c>
      <c r="BN512" t="s">
        <v>74</v>
      </c>
      <c r="BO512" t="s">
        <v>74</v>
      </c>
      <c r="BP512" t="s">
        <v>74</v>
      </c>
      <c r="BQ512" t="s">
        <v>74</v>
      </c>
      <c r="BR512" t="s">
        <v>108</v>
      </c>
      <c r="BS512" t="s">
        <v>9804</v>
      </c>
      <c r="BT512" t="str">
        <f>HYPERLINK("https%3A%2F%2Fwww.webofscience.com%2Fwos%2Fwoscc%2Ffull-record%2FWOS:000941392000001","View Full Record in Web of Science")</f>
        <v>View Full Record in Web of Science</v>
      </c>
    </row>
    <row r="513" spans="1:72" x14ac:dyDescent="0.15">
      <c r="A513" t="s">
        <v>72</v>
      </c>
      <c r="B513" t="s">
        <v>9805</v>
      </c>
      <c r="C513" t="s">
        <v>74</v>
      </c>
      <c r="D513" t="s">
        <v>74</v>
      </c>
      <c r="E513" t="s">
        <v>74</v>
      </c>
      <c r="F513" t="s">
        <v>9806</v>
      </c>
      <c r="G513" t="s">
        <v>74</v>
      </c>
      <c r="H513" t="s">
        <v>74</v>
      </c>
      <c r="I513" t="s">
        <v>9807</v>
      </c>
      <c r="J513" t="s">
        <v>9790</v>
      </c>
      <c r="K513" t="s">
        <v>74</v>
      </c>
      <c r="L513" t="s">
        <v>74</v>
      </c>
      <c r="M513" t="s">
        <v>78</v>
      </c>
      <c r="N513" t="s">
        <v>79</v>
      </c>
      <c r="O513" t="s">
        <v>74</v>
      </c>
      <c r="P513" t="s">
        <v>74</v>
      </c>
      <c r="Q513" t="s">
        <v>74</v>
      </c>
      <c r="R513" t="s">
        <v>74</v>
      </c>
      <c r="S513" t="s">
        <v>74</v>
      </c>
      <c r="T513" t="s">
        <v>9808</v>
      </c>
      <c r="U513" t="s">
        <v>74</v>
      </c>
      <c r="V513" t="s">
        <v>9809</v>
      </c>
      <c r="W513" t="s">
        <v>9810</v>
      </c>
      <c r="X513" t="s">
        <v>9811</v>
      </c>
      <c r="Y513" t="s">
        <v>9812</v>
      </c>
      <c r="Z513" t="s">
        <v>9813</v>
      </c>
      <c r="AA513" t="s">
        <v>9814</v>
      </c>
      <c r="AB513" t="s">
        <v>9815</v>
      </c>
      <c r="AC513" t="s">
        <v>9816</v>
      </c>
      <c r="AD513" t="s">
        <v>9817</v>
      </c>
      <c r="AE513" t="s">
        <v>9818</v>
      </c>
      <c r="AF513" t="s">
        <v>74</v>
      </c>
      <c r="AG513">
        <v>3</v>
      </c>
      <c r="AH513">
        <v>1</v>
      </c>
      <c r="AI513">
        <v>1</v>
      </c>
      <c r="AJ513">
        <v>0</v>
      </c>
      <c r="AK513">
        <v>1</v>
      </c>
      <c r="AL513" t="s">
        <v>4452</v>
      </c>
      <c r="AM513" t="s">
        <v>93</v>
      </c>
      <c r="AN513" t="s">
        <v>4453</v>
      </c>
      <c r="AO513" t="s">
        <v>9798</v>
      </c>
      <c r="AP513" t="s">
        <v>9799</v>
      </c>
      <c r="AQ513" t="s">
        <v>74</v>
      </c>
      <c r="AR513" t="s">
        <v>9800</v>
      </c>
      <c r="AS513" t="s">
        <v>9801</v>
      </c>
      <c r="AT513" t="s">
        <v>9001</v>
      </c>
      <c r="AU513">
        <v>2022</v>
      </c>
      <c r="AV513">
        <v>62</v>
      </c>
      <c r="AW513">
        <v>6</v>
      </c>
      <c r="AX513" t="s">
        <v>74</v>
      </c>
      <c r="AY513" t="s">
        <v>74</v>
      </c>
      <c r="AZ513" t="s">
        <v>74</v>
      </c>
      <c r="BA513" t="s">
        <v>74</v>
      </c>
      <c r="BB513">
        <v>919</v>
      </c>
      <c r="BC513">
        <v>921</v>
      </c>
      <c r="BD513" t="s">
        <v>74</v>
      </c>
      <c r="BE513" t="s">
        <v>9819</v>
      </c>
      <c r="BF513" t="str">
        <f>HYPERLINK("http://dx.doi.org/10.1134/S000143702206008X","http://dx.doi.org/10.1134/S000143702206008X")</f>
        <v>http://dx.doi.org/10.1134/S000143702206008X</v>
      </c>
      <c r="BG513" t="s">
        <v>74</v>
      </c>
      <c r="BH513" t="s">
        <v>74</v>
      </c>
      <c r="BI513">
        <v>3</v>
      </c>
      <c r="BJ513" t="s">
        <v>403</v>
      </c>
      <c r="BK513" t="s">
        <v>104</v>
      </c>
      <c r="BL513" t="s">
        <v>403</v>
      </c>
      <c r="BM513" t="s">
        <v>9803</v>
      </c>
      <c r="BN513" t="s">
        <v>74</v>
      </c>
      <c r="BO513" t="s">
        <v>74</v>
      </c>
      <c r="BP513" t="s">
        <v>74</v>
      </c>
      <c r="BQ513" t="s">
        <v>74</v>
      </c>
      <c r="BR513" t="s">
        <v>108</v>
      </c>
      <c r="BS513" t="s">
        <v>9820</v>
      </c>
      <c r="BT513" t="str">
        <f>HYPERLINK("https%3A%2F%2Fwww.webofscience.com%2Fwos%2Fwoscc%2Ffull-record%2FWOS:000941392000020","View Full Record in Web of Science")</f>
        <v>View Full Record in Web of Science</v>
      </c>
    </row>
    <row r="514" spans="1:72" x14ac:dyDescent="0.15">
      <c r="A514" t="s">
        <v>72</v>
      </c>
      <c r="B514" t="s">
        <v>9821</v>
      </c>
      <c r="C514" t="s">
        <v>74</v>
      </c>
      <c r="D514" t="s">
        <v>74</v>
      </c>
      <c r="E514" t="s">
        <v>74</v>
      </c>
      <c r="F514" t="s">
        <v>9822</v>
      </c>
      <c r="G514" t="s">
        <v>74</v>
      </c>
      <c r="H514" t="s">
        <v>74</v>
      </c>
      <c r="I514" t="s">
        <v>9823</v>
      </c>
      <c r="J514" t="s">
        <v>9824</v>
      </c>
      <c r="K514" t="s">
        <v>74</v>
      </c>
      <c r="L514" t="s">
        <v>74</v>
      </c>
      <c r="M514" t="s">
        <v>78</v>
      </c>
      <c r="N514" t="s">
        <v>9825</v>
      </c>
      <c r="O514" t="s">
        <v>74</v>
      </c>
      <c r="P514" t="s">
        <v>74</v>
      </c>
      <c r="Q514" t="s">
        <v>74</v>
      </c>
      <c r="R514" t="s">
        <v>74</v>
      </c>
      <c r="S514" t="s">
        <v>74</v>
      </c>
      <c r="T514" t="s">
        <v>74</v>
      </c>
      <c r="U514" t="s">
        <v>9826</v>
      </c>
      <c r="V514" t="s">
        <v>74</v>
      </c>
      <c r="W514" t="s">
        <v>9827</v>
      </c>
      <c r="X514" t="s">
        <v>9828</v>
      </c>
      <c r="Y514" t="s">
        <v>9829</v>
      </c>
      <c r="Z514" t="s">
        <v>9830</v>
      </c>
      <c r="AA514" t="s">
        <v>9831</v>
      </c>
      <c r="AB514" t="s">
        <v>9832</v>
      </c>
      <c r="AC514" t="s">
        <v>9833</v>
      </c>
      <c r="AD514" t="s">
        <v>9834</v>
      </c>
      <c r="AE514" t="s">
        <v>9835</v>
      </c>
      <c r="AF514" t="s">
        <v>74</v>
      </c>
      <c r="AG514">
        <v>11</v>
      </c>
      <c r="AH514">
        <v>0</v>
      </c>
      <c r="AI514">
        <v>0</v>
      </c>
      <c r="AJ514">
        <v>6</v>
      </c>
      <c r="AK514">
        <v>20</v>
      </c>
      <c r="AL514" t="s">
        <v>182</v>
      </c>
      <c r="AM514" t="s">
        <v>183</v>
      </c>
      <c r="AN514" t="s">
        <v>184</v>
      </c>
      <c r="AO514" t="s">
        <v>9836</v>
      </c>
      <c r="AP514" t="s">
        <v>9837</v>
      </c>
      <c r="AQ514" t="s">
        <v>74</v>
      </c>
      <c r="AR514" t="s">
        <v>9824</v>
      </c>
      <c r="AS514" t="s">
        <v>9838</v>
      </c>
      <c r="AT514" t="s">
        <v>9839</v>
      </c>
      <c r="AU514">
        <v>2022</v>
      </c>
      <c r="AV514">
        <v>612</v>
      </c>
      <c r="AW514">
        <v>7938</v>
      </c>
      <c r="AX514" t="s">
        <v>74</v>
      </c>
      <c r="AY514" t="s">
        <v>74</v>
      </c>
      <c r="AZ514" t="s">
        <v>74</v>
      </c>
      <c r="BA514" t="s">
        <v>74</v>
      </c>
      <c r="BB514" t="s">
        <v>9840</v>
      </c>
      <c r="BC514" t="s">
        <v>9841</v>
      </c>
      <c r="BD514" t="s">
        <v>74</v>
      </c>
      <c r="BE514" t="s">
        <v>9842</v>
      </c>
      <c r="BF514" t="str">
        <f>HYPERLINK("http://dx.doi.org/10.1038/s41586-022-05417-2","http://dx.doi.org/10.1038/s41586-022-05417-2")</f>
        <v>http://dx.doi.org/10.1038/s41586-022-05417-2</v>
      </c>
      <c r="BG514" t="s">
        <v>74</v>
      </c>
      <c r="BH514" t="s">
        <v>74</v>
      </c>
      <c r="BI514">
        <v>3</v>
      </c>
      <c r="BJ514" t="s">
        <v>189</v>
      </c>
      <c r="BK514" t="s">
        <v>104</v>
      </c>
      <c r="BL514" t="s">
        <v>190</v>
      </c>
      <c r="BM514" t="s">
        <v>9843</v>
      </c>
      <c r="BN514">
        <v>36450908</v>
      </c>
      <c r="BO514" t="s">
        <v>8017</v>
      </c>
      <c r="BP514" t="s">
        <v>74</v>
      </c>
      <c r="BQ514" t="s">
        <v>74</v>
      </c>
      <c r="BR514" t="s">
        <v>108</v>
      </c>
      <c r="BS514" t="s">
        <v>9844</v>
      </c>
      <c r="BT514" t="str">
        <f>HYPERLINK("https%3A%2F%2Fwww.webofscience.com%2Fwos%2Fwoscc%2Ffull-record%2FWOS:000936263600002","View Full Record in Web of Science")</f>
        <v>View Full Record in Web of Science</v>
      </c>
    </row>
    <row r="515" spans="1:72" x14ac:dyDescent="0.15">
      <c r="A515" t="s">
        <v>72</v>
      </c>
      <c r="B515" t="s">
        <v>9845</v>
      </c>
      <c r="C515" t="s">
        <v>74</v>
      </c>
      <c r="D515" t="s">
        <v>74</v>
      </c>
      <c r="E515" t="s">
        <v>74</v>
      </c>
      <c r="F515" t="s">
        <v>9846</v>
      </c>
      <c r="G515" t="s">
        <v>74</v>
      </c>
      <c r="H515" t="s">
        <v>74</v>
      </c>
      <c r="I515" t="s">
        <v>9847</v>
      </c>
      <c r="J515" t="s">
        <v>9733</v>
      </c>
      <c r="K515" t="s">
        <v>74</v>
      </c>
      <c r="L515" t="s">
        <v>74</v>
      </c>
      <c r="M515" t="s">
        <v>78</v>
      </c>
      <c r="N515" t="s">
        <v>79</v>
      </c>
      <c r="O515" t="s">
        <v>74</v>
      </c>
      <c r="P515" t="s">
        <v>74</v>
      </c>
      <c r="Q515" t="s">
        <v>74</v>
      </c>
      <c r="R515" t="s">
        <v>74</v>
      </c>
      <c r="S515" t="s">
        <v>74</v>
      </c>
      <c r="T515" t="s">
        <v>9848</v>
      </c>
      <c r="U515" t="s">
        <v>74</v>
      </c>
      <c r="V515" t="s">
        <v>9849</v>
      </c>
      <c r="W515" t="s">
        <v>9850</v>
      </c>
      <c r="X515" t="s">
        <v>9851</v>
      </c>
      <c r="Y515" t="s">
        <v>9852</v>
      </c>
      <c r="Z515" t="s">
        <v>9853</v>
      </c>
      <c r="AA515" t="s">
        <v>9854</v>
      </c>
      <c r="AB515" t="s">
        <v>9855</v>
      </c>
      <c r="AC515" t="s">
        <v>9856</v>
      </c>
      <c r="AD515" t="s">
        <v>9857</v>
      </c>
      <c r="AE515" t="s">
        <v>9858</v>
      </c>
      <c r="AF515" t="s">
        <v>74</v>
      </c>
      <c r="AG515">
        <v>14</v>
      </c>
      <c r="AH515">
        <v>0</v>
      </c>
      <c r="AI515">
        <v>0</v>
      </c>
      <c r="AJ515">
        <v>1</v>
      </c>
      <c r="AK515">
        <v>3</v>
      </c>
      <c r="AL515" t="s">
        <v>4200</v>
      </c>
      <c r="AM515" t="s">
        <v>93</v>
      </c>
      <c r="AN515" t="s">
        <v>4201</v>
      </c>
      <c r="AO515" t="s">
        <v>9746</v>
      </c>
      <c r="AP515" t="s">
        <v>9747</v>
      </c>
      <c r="AQ515" t="s">
        <v>74</v>
      </c>
      <c r="AR515" t="s">
        <v>9748</v>
      </c>
      <c r="AS515" t="s">
        <v>9749</v>
      </c>
      <c r="AT515" t="s">
        <v>9001</v>
      </c>
      <c r="AU515">
        <v>2022</v>
      </c>
      <c r="AV515">
        <v>58</v>
      </c>
      <c r="AW515">
        <v>10</v>
      </c>
      <c r="AX515" t="s">
        <v>74</v>
      </c>
      <c r="AY515" t="s">
        <v>74</v>
      </c>
      <c r="AZ515" t="s">
        <v>74</v>
      </c>
      <c r="BA515" t="s">
        <v>74</v>
      </c>
      <c r="BB515">
        <v>1226</v>
      </c>
      <c r="BC515">
        <v>1235</v>
      </c>
      <c r="BD515" t="s">
        <v>74</v>
      </c>
      <c r="BE515" t="s">
        <v>9859</v>
      </c>
      <c r="BF515" t="str">
        <f>HYPERLINK("http://dx.doi.org/10.1134/S0001433822100036","http://dx.doi.org/10.1134/S0001433822100036")</f>
        <v>http://dx.doi.org/10.1134/S0001433822100036</v>
      </c>
      <c r="BG515" t="s">
        <v>74</v>
      </c>
      <c r="BH515" t="s">
        <v>74</v>
      </c>
      <c r="BI515">
        <v>10</v>
      </c>
      <c r="BJ515" t="s">
        <v>8116</v>
      </c>
      <c r="BK515" t="s">
        <v>104</v>
      </c>
      <c r="BL515" t="s">
        <v>8116</v>
      </c>
      <c r="BM515" t="s">
        <v>9860</v>
      </c>
      <c r="BN515" t="s">
        <v>74</v>
      </c>
      <c r="BO515" t="s">
        <v>74</v>
      </c>
      <c r="BP515" t="s">
        <v>74</v>
      </c>
      <c r="BQ515" t="s">
        <v>74</v>
      </c>
      <c r="BR515" t="s">
        <v>108</v>
      </c>
      <c r="BS515" t="s">
        <v>9861</v>
      </c>
      <c r="BT515" t="str">
        <f>HYPERLINK("https%3A%2F%2Fwww.webofscience.com%2Fwos%2Fwoscc%2Ffull-record%2FWOS:000936416300004","View Full Record in Web of Science")</f>
        <v>View Full Record in Web of Science</v>
      </c>
    </row>
    <row r="516" spans="1:72" x14ac:dyDescent="0.15">
      <c r="A516" t="s">
        <v>72</v>
      </c>
      <c r="B516" t="s">
        <v>9862</v>
      </c>
      <c r="C516" t="s">
        <v>74</v>
      </c>
      <c r="D516" t="s">
        <v>74</v>
      </c>
      <c r="E516" t="s">
        <v>74</v>
      </c>
      <c r="F516" t="s">
        <v>9863</v>
      </c>
      <c r="G516" t="s">
        <v>74</v>
      </c>
      <c r="H516" t="s">
        <v>74</v>
      </c>
      <c r="I516" t="s">
        <v>9864</v>
      </c>
      <c r="J516" t="s">
        <v>3541</v>
      </c>
      <c r="K516" t="s">
        <v>74</v>
      </c>
      <c r="L516" t="s">
        <v>74</v>
      </c>
      <c r="M516" t="s">
        <v>78</v>
      </c>
      <c r="N516" t="s">
        <v>79</v>
      </c>
      <c r="O516" t="s">
        <v>74</v>
      </c>
      <c r="P516" t="s">
        <v>74</v>
      </c>
      <c r="Q516" t="s">
        <v>74</v>
      </c>
      <c r="R516" t="s">
        <v>74</v>
      </c>
      <c r="S516" t="s">
        <v>74</v>
      </c>
      <c r="T516" t="s">
        <v>9865</v>
      </c>
      <c r="U516" t="s">
        <v>9866</v>
      </c>
      <c r="V516" t="s">
        <v>9867</v>
      </c>
      <c r="W516" t="s">
        <v>9868</v>
      </c>
      <c r="X516" t="s">
        <v>9869</v>
      </c>
      <c r="Y516" t="s">
        <v>9870</v>
      </c>
      <c r="Z516" t="s">
        <v>9871</v>
      </c>
      <c r="AA516" t="s">
        <v>9872</v>
      </c>
      <c r="AB516" t="s">
        <v>9873</v>
      </c>
      <c r="AC516" t="s">
        <v>9874</v>
      </c>
      <c r="AD516" t="s">
        <v>9875</v>
      </c>
      <c r="AE516" t="s">
        <v>9876</v>
      </c>
      <c r="AF516" t="s">
        <v>74</v>
      </c>
      <c r="AG516">
        <v>68</v>
      </c>
      <c r="AH516">
        <v>2</v>
      </c>
      <c r="AI516">
        <v>2</v>
      </c>
      <c r="AJ516">
        <v>5</v>
      </c>
      <c r="AK516">
        <v>7</v>
      </c>
      <c r="AL516" t="s">
        <v>1791</v>
      </c>
      <c r="AM516" t="s">
        <v>576</v>
      </c>
      <c r="AN516" t="s">
        <v>1792</v>
      </c>
      <c r="AO516" t="s">
        <v>3554</v>
      </c>
      <c r="AP516" t="s">
        <v>3555</v>
      </c>
      <c r="AQ516" t="s">
        <v>74</v>
      </c>
      <c r="AR516" t="s">
        <v>3556</v>
      </c>
      <c r="AS516" t="s">
        <v>3557</v>
      </c>
      <c r="AT516" t="s">
        <v>9001</v>
      </c>
      <c r="AU516">
        <v>2022</v>
      </c>
      <c r="AV516">
        <v>127</v>
      </c>
      <c r="AW516">
        <v>12</v>
      </c>
      <c r="AX516" t="s">
        <v>74</v>
      </c>
      <c r="AY516" t="s">
        <v>74</v>
      </c>
      <c r="AZ516" t="s">
        <v>74</v>
      </c>
      <c r="BA516" t="s">
        <v>74</v>
      </c>
      <c r="BB516" t="s">
        <v>74</v>
      </c>
      <c r="BC516" t="s">
        <v>74</v>
      </c>
      <c r="BD516" t="s">
        <v>9877</v>
      </c>
      <c r="BE516" t="s">
        <v>9878</v>
      </c>
      <c r="BF516" t="str">
        <f>HYPERLINK("http://dx.doi.org/10.1029/2022JC018741","http://dx.doi.org/10.1029/2022JC018741")</f>
        <v>http://dx.doi.org/10.1029/2022JC018741</v>
      </c>
      <c r="BG516" t="s">
        <v>74</v>
      </c>
      <c r="BH516" t="s">
        <v>74</v>
      </c>
      <c r="BI516">
        <v>17</v>
      </c>
      <c r="BJ516" t="s">
        <v>403</v>
      </c>
      <c r="BK516" t="s">
        <v>104</v>
      </c>
      <c r="BL516" t="s">
        <v>403</v>
      </c>
      <c r="BM516" t="s">
        <v>9879</v>
      </c>
      <c r="BN516" t="s">
        <v>74</v>
      </c>
      <c r="BO516" t="s">
        <v>74</v>
      </c>
      <c r="BP516" t="s">
        <v>74</v>
      </c>
      <c r="BQ516" t="s">
        <v>74</v>
      </c>
      <c r="BR516" t="s">
        <v>108</v>
      </c>
      <c r="BS516" t="s">
        <v>9880</v>
      </c>
      <c r="BT516" t="str">
        <f>HYPERLINK("https%3A%2F%2Fwww.webofscience.com%2Fwos%2Fwoscc%2Ffull-record%2FWOS:000928053100013","View Full Record in Web of Science")</f>
        <v>View Full Record in Web of Science</v>
      </c>
    </row>
    <row r="517" spans="1:72" x14ac:dyDescent="0.15">
      <c r="A517" t="s">
        <v>72</v>
      </c>
      <c r="B517" t="s">
        <v>9881</v>
      </c>
      <c r="C517" t="s">
        <v>74</v>
      </c>
      <c r="D517" t="s">
        <v>74</v>
      </c>
      <c r="E517" t="s">
        <v>74</v>
      </c>
      <c r="F517" t="s">
        <v>9882</v>
      </c>
      <c r="G517" t="s">
        <v>74</v>
      </c>
      <c r="H517" t="s">
        <v>74</v>
      </c>
      <c r="I517" t="s">
        <v>9883</v>
      </c>
      <c r="J517" t="s">
        <v>3541</v>
      </c>
      <c r="K517" t="s">
        <v>74</v>
      </c>
      <c r="L517" t="s">
        <v>74</v>
      </c>
      <c r="M517" t="s">
        <v>78</v>
      </c>
      <c r="N517" t="s">
        <v>79</v>
      </c>
      <c r="O517" t="s">
        <v>74</v>
      </c>
      <c r="P517" t="s">
        <v>74</v>
      </c>
      <c r="Q517" t="s">
        <v>74</v>
      </c>
      <c r="R517" t="s">
        <v>74</v>
      </c>
      <c r="S517" t="s">
        <v>74</v>
      </c>
      <c r="T517" t="s">
        <v>9884</v>
      </c>
      <c r="U517" t="s">
        <v>9885</v>
      </c>
      <c r="V517" t="s">
        <v>9886</v>
      </c>
      <c r="W517" t="s">
        <v>9887</v>
      </c>
      <c r="X517" t="s">
        <v>9888</v>
      </c>
      <c r="Y517" t="s">
        <v>9889</v>
      </c>
      <c r="Z517" t="s">
        <v>9890</v>
      </c>
      <c r="AA517" t="s">
        <v>9891</v>
      </c>
      <c r="AB517" t="s">
        <v>74</v>
      </c>
      <c r="AC517" t="s">
        <v>9892</v>
      </c>
      <c r="AD517" t="s">
        <v>9893</v>
      </c>
      <c r="AE517" t="s">
        <v>9894</v>
      </c>
      <c r="AF517" t="s">
        <v>74</v>
      </c>
      <c r="AG517">
        <v>56</v>
      </c>
      <c r="AH517">
        <v>2</v>
      </c>
      <c r="AI517">
        <v>2</v>
      </c>
      <c r="AJ517">
        <v>1</v>
      </c>
      <c r="AK517">
        <v>3</v>
      </c>
      <c r="AL517" t="s">
        <v>1791</v>
      </c>
      <c r="AM517" t="s">
        <v>576</v>
      </c>
      <c r="AN517" t="s">
        <v>1792</v>
      </c>
      <c r="AO517" t="s">
        <v>3554</v>
      </c>
      <c r="AP517" t="s">
        <v>3555</v>
      </c>
      <c r="AQ517" t="s">
        <v>74</v>
      </c>
      <c r="AR517" t="s">
        <v>3556</v>
      </c>
      <c r="AS517" t="s">
        <v>3557</v>
      </c>
      <c r="AT517" t="s">
        <v>9001</v>
      </c>
      <c r="AU517">
        <v>2022</v>
      </c>
      <c r="AV517">
        <v>127</v>
      </c>
      <c r="AW517">
        <v>12</v>
      </c>
      <c r="AX517" t="s">
        <v>74</v>
      </c>
      <c r="AY517" t="s">
        <v>74</v>
      </c>
      <c r="AZ517" t="s">
        <v>74</v>
      </c>
      <c r="BA517" t="s">
        <v>74</v>
      </c>
      <c r="BB517" t="s">
        <v>74</v>
      </c>
      <c r="BC517" t="s">
        <v>74</v>
      </c>
      <c r="BD517" t="s">
        <v>9895</v>
      </c>
      <c r="BE517" t="s">
        <v>9896</v>
      </c>
      <c r="BF517" t="str">
        <f>HYPERLINK("http://dx.doi.org/10.1029/2022JC018553","http://dx.doi.org/10.1029/2022JC018553")</f>
        <v>http://dx.doi.org/10.1029/2022JC018553</v>
      </c>
      <c r="BG517" t="s">
        <v>74</v>
      </c>
      <c r="BH517" t="s">
        <v>74</v>
      </c>
      <c r="BI517">
        <v>22</v>
      </c>
      <c r="BJ517" t="s">
        <v>403</v>
      </c>
      <c r="BK517" t="s">
        <v>104</v>
      </c>
      <c r="BL517" t="s">
        <v>403</v>
      </c>
      <c r="BM517" t="s">
        <v>9879</v>
      </c>
      <c r="BN517" t="s">
        <v>74</v>
      </c>
      <c r="BO517" t="s">
        <v>219</v>
      </c>
      <c r="BP517" t="s">
        <v>74</v>
      </c>
      <c r="BQ517" t="s">
        <v>74</v>
      </c>
      <c r="BR517" t="s">
        <v>108</v>
      </c>
      <c r="BS517" t="s">
        <v>9897</v>
      </c>
      <c r="BT517" t="str">
        <f>HYPERLINK("https%3A%2F%2Fwww.webofscience.com%2Fwos%2Fwoscc%2Ffull-record%2FWOS:000928053100016","View Full Record in Web of Science")</f>
        <v>View Full Record in Web of Science</v>
      </c>
    </row>
    <row r="518" spans="1:72" x14ac:dyDescent="0.15">
      <c r="A518" t="s">
        <v>72</v>
      </c>
      <c r="B518" t="s">
        <v>9898</v>
      </c>
      <c r="C518" t="s">
        <v>74</v>
      </c>
      <c r="D518" t="s">
        <v>74</v>
      </c>
      <c r="E518" t="s">
        <v>74</v>
      </c>
      <c r="F518" t="s">
        <v>9899</v>
      </c>
      <c r="G518" t="s">
        <v>74</v>
      </c>
      <c r="H518" t="s">
        <v>74</v>
      </c>
      <c r="I518" t="s">
        <v>9900</v>
      </c>
      <c r="J518" t="s">
        <v>3541</v>
      </c>
      <c r="K518" t="s">
        <v>74</v>
      </c>
      <c r="L518" t="s">
        <v>74</v>
      </c>
      <c r="M518" t="s">
        <v>78</v>
      </c>
      <c r="N518" t="s">
        <v>79</v>
      </c>
      <c r="O518" t="s">
        <v>74</v>
      </c>
      <c r="P518" t="s">
        <v>74</v>
      </c>
      <c r="Q518" t="s">
        <v>74</v>
      </c>
      <c r="R518" t="s">
        <v>74</v>
      </c>
      <c r="S518" t="s">
        <v>74</v>
      </c>
      <c r="T518" t="s">
        <v>9901</v>
      </c>
      <c r="U518" t="s">
        <v>9902</v>
      </c>
      <c r="V518" t="s">
        <v>9903</v>
      </c>
      <c r="W518" t="s">
        <v>9904</v>
      </c>
      <c r="X518" t="s">
        <v>9905</v>
      </c>
      <c r="Y518" t="s">
        <v>9906</v>
      </c>
      <c r="Z518" t="s">
        <v>9907</v>
      </c>
      <c r="AA518" t="s">
        <v>9908</v>
      </c>
      <c r="AB518" t="s">
        <v>9909</v>
      </c>
      <c r="AC518" t="s">
        <v>9910</v>
      </c>
      <c r="AD518" t="s">
        <v>9911</v>
      </c>
      <c r="AE518" t="s">
        <v>9912</v>
      </c>
      <c r="AF518" t="s">
        <v>74</v>
      </c>
      <c r="AG518">
        <v>44</v>
      </c>
      <c r="AH518">
        <v>5</v>
      </c>
      <c r="AI518">
        <v>5</v>
      </c>
      <c r="AJ518">
        <v>4</v>
      </c>
      <c r="AK518">
        <v>6</v>
      </c>
      <c r="AL518" t="s">
        <v>1791</v>
      </c>
      <c r="AM518" t="s">
        <v>576</v>
      </c>
      <c r="AN518" t="s">
        <v>1792</v>
      </c>
      <c r="AO518" t="s">
        <v>3554</v>
      </c>
      <c r="AP518" t="s">
        <v>3555</v>
      </c>
      <c r="AQ518" t="s">
        <v>74</v>
      </c>
      <c r="AR518" t="s">
        <v>3556</v>
      </c>
      <c r="AS518" t="s">
        <v>3557</v>
      </c>
      <c r="AT518" t="s">
        <v>9001</v>
      </c>
      <c r="AU518">
        <v>2022</v>
      </c>
      <c r="AV518">
        <v>127</v>
      </c>
      <c r="AW518">
        <v>12</v>
      </c>
      <c r="AX518" t="s">
        <v>74</v>
      </c>
      <c r="AY518" t="s">
        <v>74</v>
      </c>
      <c r="AZ518" t="s">
        <v>74</v>
      </c>
      <c r="BA518" t="s">
        <v>74</v>
      </c>
      <c r="BB518" t="s">
        <v>74</v>
      </c>
      <c r="BC518" t="s">
        <v>74</v>
      </c>
      <c r="BD518" t="s">
        <v>9913</v>
      </c>
      <c r="BE518" t="s">
        <v>9914</v>
      </c>
      <c r="BF518" t="str">
        <f>HYPERLINK("http://dx.doi.org/10.1029/2022JC018804","http://dx.doi.org/10.1029/2022JC018804")</f>
        <v>http://dx.doi.org/10.1029/2022JC018804</v>
      </c>
      <c r="BG518" t="s">
        <v>74</v>
      </c>
      <c r="BH518" t="s">
        <v>74</v>
      </c>
      <c r="BI518">
        <v>16</v>
      </c>
      <c r="BJ518" t="s">
        <v>403</v>
      </c>
      <c r="BK518" t="s">
        <v>104</v>
      </c>
      <c r="BL518" t="s">
        <v>403</v>
      </c>
      <c r="BM518" t="s">
        <v>9879</v>
      </c>
      <c r="BN518" t="s">
        <v>74</v>
      </c>
      <c r="BO518" t="s">
        <v>357</v>
      </c>
      <c r="BP518" t="s">
        <v>74</v>
      </c>
      <c r="BQ518" t="s">
        <v>74</v>
      </c>
      <c r="BR518" t="s">
        <v>108</v>
      </c>
      <c r="BS518" t="s">
        <v>9915</v>
      </c>
      <c r="BT518" t="str">
        <f>HYPERLINK("https%3A%2F%2Fwww.webofscience.com%2Fwos%2Fwoscc%2Ffull-record%2FWOS:000928053100005","View Full Record in Web of Science")</f>
        <v>View Full Record in Web of Science</v>
      </c>
    </row>
    <row r="519" spans="1:72" x14ac:dyDescent="0.15">
      <c r="A519" t="s">
        <v>72</v>
      </c>
      <c r="B519" t="s">
        <v>9916</v>
      </c>
      <c r="C519" t="s">
        <v>74</v>
      </c>
      <c r="D519" t="s">
        <v>74</v>
      </c>
      <c r="E519" t="s">
        <v>74</v>
      </c>
      <c r="F519" t="s">
        <v>9917</v>
      </c>
      <c r="G519" t="s">
        <v>74</v>
      </c>
      <c r="H519" t="s">
        <v>74</v>
      </c>
      <c r="I519" t="s">
        <v>9918</v>
      </c>
      <c r="J519" t="s">
        <v>9919</v>
      </c>
      <c r="K519" t="s">
        <v>74</v>
      </c>
      <c r="L519" t="s">
        <v>74</v>
      </c>
      <c r="M519" t="s">
        <v>78</v>
      </c>
      <c r="N519" t="s">
        <v>79</v>
      </c>
      <c r="O519" t="s">
        <v>74</v>
      </c>
      <c r="P519" t="s">
        <v>74</v>
      </c>
      <c r="Q519" t="s">
        <v>74</v>
      </c>
      <c r="R519" t="s">
        <v>74</v>
      </c>
      <c r="S519" t="s">
        <v>74</v>
      </c>
      <c r="T519" t="s">
        <v>9920</v>
      </c>
      <c r="U519" t="s">
        <v>9921</v>
      </c>
      <c r="V519" t="s">
        <v>9922</v>
      </c>
      <c r="W519" t="s">
        <v>9923</v>
      </c>
      <c r="X519" t="s">
        <v>9924</v>
      </c>
      <c r="Y519" t="s">
        <v>9925</v>
      </c>
      <c r="Z519" t="s">
        <v>9926</v>
      </c>
      <c r="AA519" t="s">
        <v>9927</v>
      </c>
      <c r="AB519" t="s">
        <v>9928</v>
      </c>
      <c r="AC519" t="s">
        <v>9929</v>
      </c>
      <c r="AD519" t="s">
        <v>9930</v>
      </c>
      <c r="AE519" t="s">
        <v>9931</v>
      </c>
      <c r="AF519" t="s">
        <v>74</v>
      </c>
      <c r="AG519">
        <v>179</v>
      </c>
      <c r="AH519">
        <v>17</v>
      </c>
      <c r="AI519">
        <v>16</v>
      </c>
      <c r="AJ519">
        <v>13</v>
      </c>
      <c r="AK519">
        <v>29</v>
      </c>
      <c r="AL519" t="s">
        <v>9932</v>
      </c>
      <c r="AM519" t="s">
        <v>9933</v>
      </c>
      <c r="AN519" t="s">
        <v>9934</v>
      </c>
      <c r="AO519" t="s">
        <v>74</v>
      </c>
      <c r="AP519" t="s">
        <v>9935</v>
      </c>
      <c r="AQ519" t="s">
        <v>74</v>
      </c>
      <c r="AR519" t="s">
        <v>9936</v>
      </c>
      <c r="AS519" t="s">
        <v>9937</v>
      </c>
      <c r="AT519" t="s">
        <v>9001</v>
      </c>
      <c r="AU519">
        <v>2022</v>
      </c>
      <c r="AV519">
        <v>8</v>
      </c>
      <c r="AW519">
        <v>4</v>
      </c>
      <c r="AX519" t="s">
        <v>74</v>
      </c>
      <c r="AY519" t="s">
        <v>74</v>
      </c>
      <c r="AZ519" t="s">
        <v>74</v>
      </c>
      <c r="BA519" t="s">
        <v>74</v>
      </c>
      <c r="BB519">
        <v>1217</v>
      </c>
      <c r="BC519">
        <v>1235</v>
      </c>
      <c r="BD519" t="s">
        <v>74</v>
      </c>
      <c r="BE519" t="s">
        <v>9938</v>
      </c>
      <c r="BF519" t="str">
        <f>HYPERLINK("http://dx.doi.org/10.1139/AS-2021-0058","http://dx.doi.org/10.1139/AS-2021-0058")</f>
        <v>http://dx.doi.org/10.1139/AS-2021-0058</v>
      </c>
      <c r="BG519" t="s">
        <v>74</v>
      </c>
      <c r="BH519" t="s">
        <v>74</v>
      </c>
      <c r="BI519">
        <v>19</v>
      </c>
      <c r="BJ519" t="s">
        <v>9939</v>
      </c>
      <c r="BK519" t="s">
        <v>104</v>
      </c>
      <c r="BL519" t="s">
        <v>9940</v>
      </c>
      <c r="BM519" t="s">
        <v>9941</v>
      </c>
      <c r="BN519" t="s">
        <v>74</v>
      </c>
      <c r="BO519" t="s">
        <v>3181</v>
      </c>
      <c r="BP519" t="s">
        <v>74</v>
      </c>
      <c r="BQ519" t="s">
        <v>74</v>
      </c>
      <c r="BR519" t="s">
        <v>108</v>
      </c>
      <c r="BS519" t="s">
        <v>9942</v>
      </c>
      <c r="BT519" t="str">
        <f>HYPERLINK("https%3A%2F%2Fwww.webofscience.com%2Fwos%2Fwoscc%2Ffull-record%2FWOS:000916190900001","View Full Record in Web of Science")</f>
        <v>View Full Record in Web of Science</v>
      </c>
    </row>
    <row r="520" spans="1:72" x14ac:dyDescent="0.15">
      <c r="A520" t="s">
        <v>72</v>
      </c>
      <c r="B520" t="s">
        <v>9943</v>
      </c>
      <c r="C520" t="s">
        <v>74</v>
      </c>
      <c r="D520" t="s">
        <v>74</v>
      </c>
      <c r="E520" t="s">
        <v>74</v>
      </c>
      <c r="F520" t="s">
        <v>9944</v>
      </c>
      <c r="G520" t="s">
        <v>74</v>
      </c>
      <c r="H520" t="s">
        <v>74</v>
      </c>
      <c r="I520" t="s">
        <v>9945</v>
      </c>
      <c r="J520" t="s">
        <v>9946</v>
      </c>
      <c r="K520" t="s">
        <v>74</v>
      </c>
      <c r="L520" t="s">
        <v>74</v>
      </c>
      <c r="M520" t="s">
        <v>78</v>
      </c>
      <c r="N520" t="s">
        <v>9947</v>
      </c>
      <c r="O520" t="s">
        <v>74</v>
      </c>
      <c r="P520" t="s">
        <v>74</v>
      </c>
      <c r="Q520" t="s">
        <v>74</v>
      </c>
      <c r="R520" t="s">
        <v>74</v>
      </c>
      <c r="S520" t="s">
        <v>74</v>
      </c>
      <c r="T520" t="s">
        <v>74</v>
      </c>
      <c r="U520" t="s">
        <v>74</v>
      </c>
      <c r="V520" t="s">
        <v>74</v>
      </c>
      <c r="W520" t="s">
        <v>9948</v>
      </c>
      <c r="X520" t="s">
        <v>9949</v>
      </c>
      <c r="Y520" t="s">
        <v>9950</v>
      </c>
      <c r="Z520" t="s">
        <v>74</v>
      </c>
      <c r="AA520" t="s">
        <v>74</v>
      </c>
      <c r="AB520" t="s">
        <v>74</v>
      </c>
      <c r="AC520" t="s">
        <v>74</v>
      </c>
      <c r="AD520" t="s">
        <v>74</v>
      </c>
      <c r="AE520" t="s">
        <v>74</v>
      </c>
      <c r="AF520" t="s">
        <v>74</v>
      </c>
      <c r="AG520">
        <v>0</v>
      </c>
      <c r="AH520">
        <v>0</v>
      </c>
      <c r="AI520">
        <v>0</v>
      </c>
      <c r="AJ520">
        <v>0</v>
      </c>
      <c r="AK520">
        <v>0</v>
      </c>
      <c r="AL520" t="s">
        <v>297</v>
      </c>
      <c r="AM520" t="s">
        <v>298</v>
      </c>
      <c r="AN520" t="s">
        <v>299</v>
      </c>
      <c r="AO520" t="s">
        <v>9951</v>
      </c>
      <c r="AP520" t="s">
        <v>9952</v>
      </c>
      <c r="AQ520" t="s">
        <v>74</v>
      </c>
      <c r="AR520" t="s">
        <v>9946</v>
      </c>
      <c r="AS520" t="s">
        <v>9953</v>
      </c>
      <c r="AT520" t="s">
        <v>9001</v>
      </c>
      <c r="AU520">
        <v>2022</v>
      </c>
      <c r="AV520">
        <v>77</v>
      </c>
      <c r="AW520">
        <v>12</v>
      </c>
      <c r="AX520" t="s">
        <v>74</v>
      </c>
      <c r="AY520" t="s">
        <v>74</v>
      </c>
      <c r="AZ520" t="s">
        <v>74</v>
      </c>
      <c r="BA520" t="s">
        <v>74</v>
      </c>
      <c r="BB520">
        <v>402</v>
      </c>
      <c r="BC520">
        <v>402</v>
      </c>
      <c r="BD520" t="s">
        <v>74</v>
      </c>
      <c r="BE520" t="s">
        <v>74</v>
      </c>
      <c r="BF520" t="s">
        <v>74</v>
      </c>
      <c r="BG520" t="s">
        <v>74</v>
      </c>
      <c r="BH520" t="s">
        <v>74</v>
      </c>
      <c r="BI520">
        <v>1</v>
      </c>
      <c r="BJ520" t="s">
        <v>532</v>
      </c>
      <c r="BK520" t="s">
        <v>104</v>
      </c>
      <c r="BL520" t="s">
        <v>532</v>
      </c>
      <c r="BM520" t="s">
        <v>9954</v>
      </c>
      <c r="BN520" t="s">
        <v>74</v>
      </c>
      <c r="BO520" t="s">
        <v>74</v>
      </c>
      <c r="BP520" t="s">
        <v>74</v>
      </c>
      <c r="BQ520" t="s">
        <v>74</v>
      </c>
      <c r="BR520" t="s">
        <v>108</v>
      </c>
      <c r="BS520" t="s">
        <v>9955</v>
      </c>
      <c r="BT520" t="str">
        <f>HYPERLINK("https%3A%2F%2Fwww.webofscience.com%2Fwos%2Fwoscc%2Ffull-record%2FWOS:000919615700019","View Full Record in Web of Science")</f>
        <v>View Full Record in Web of Science</v>
      </c>
    </row>
    <row r="521" spans="1:72" x14ac:dyDescent="0.15">
      <c r="A521" t="s">
        <v>72</v>
      </c>
      <c r="B521" t="s">
        <v>9956</v>
      </c>
      <c r="C521" t="s">
        <v>74</v>
      </c>
      <c r="D521" t="s">
        <v>74</v>
      </c>
      <c r="E521" t="s">
        <v>74</v>
      </c>
      <c r="F521" t="s">
        <v>9957</v>
      </c>
      <c r="G521" t="s">
        <v>74</v>
      </c>
      <c r="H521" t="s">
        <v>74</v>
      </c>
      <c r="I521" t="s">
        <v>9958</v>
      </c>
      <c r="J521" t="s">
        <v>4253</v>
      </c>
      <c r="K521" t="s">
        <v>74</v>
      </c>
      <c r="L521" t="s">
        <v>74</v>
      </c>
      <c r="M521" t="s">
        <v>78</v>
      </c>
      <c r="N521" t="s">
        <v>79</v>
      </c>
      <c r="O521" t="s">
        <v>74</v>
      </c>
      <c r="P521" t="s">
        <v>74</v>
      </c>
      <c r="Q521" t="s">
        <v>74</v>
      </c>
      <c r="R521" t="s">
        <v>74</v>
      </c>
      <c r="S521" t="s">
        <v>74</v>
      </c>
      <c r="T521" t="s">
        <v>9959</v>
      </c>
      <c r="U521" t="s">
        <v>9960</v>
      </c>
      <c r="V521" t="s">
        <v>9961</v>
      </c>
      <c r="W521" t="s">
        <v>9962</v>
      </c>
      <c r="X521" t="s">
        <v>9963</v>
      </c>
      <c r="Y521" t="s">
        <v>9964</v>
      </c>
      <c r="Z521" t="s">
        <v>9965</v>
      </c>
      <c r="AA521" t="s">
        <v>74</v>
      </c>
      <c r="AB521" t="s">
        <v>9966</v>
      </c>
      <c r="AC521" t="s">
        <v>9967</v>
      </c>
      <c r="AD521" t="s">
        <v>9968</v>
      </c>
      <c r="AE521" t="s">
        <v>9969</v>
      </c>
      <c r="AF521" t="s">
        <v>74</v>
      </c>
      <c r="AG521">
        <v>50</v>
      </c>
      <c r="AH521">
        <v>4</v>
      </c>
      <c r="AI521">
        <v>4</v>
      </c>
      <c r="AJ521">
        <v>8</v>
      </c>
      <c r="AK521">
        <v>21</v>
      </c>
      <c r="AL521" t="s">
        <v>1791</v>
      </c>
      <c r="AM521" t="s">
        <v>576</v>
      </c>
      <c r="AN521" t="s">
        <v>1792</v>
      </c>
      <c r="AO521" t="s">
        <v>74</v>
      </c>
      <c r="AP521" t="s">
        <v>4266</v>
      </c>
      <c r="AQ521" t="s">
        <v>74</v>
      </c>
      <c r="AR521" t="s">
        <v>4267</v>
      </c>
      <c r="AS521" t="s">
        <v>4268</v>
      </c>
      <c r="AT521" t="s">
        <v>9001</v>
      </c>
      <c r="AU521">
        <v>2022</v>
      </c>
      <c r="AV521">
        <v>9</v>
      </c>
      <c r="AW521">
        <v>12</v>
      </c>
      <c r="AX521" t="s">
        <v>74</v>
      </c>
      <c r="AY521" t="s">
        <v>74</v>
      </c>
      <c r="AZ521" t="s">
        <v>74</v>
      </c>
      <c r="BA521" t="s">
        <v>74</v>
      </c>
      <c r="BB521" t="s">
        <v>74</v>
      </c>
      <c r="BC521" t="s">
        <v>74</v>
      </c>
      <c r="BD521" t="s">
        <v>9970</v>
      </c>
      <c r="BE521" t="s">
        <v>9971</v>
      </c>
      <c r="BF521" t="str">
        <f>HYPERLINK("http://dx.doi.org/10.1029/2022EA002662","http://dx.doi.org/10.1029/2022EA002662")</f>
        <v>http://dx.doi.org/10.1029/2022EA002662</v>
      </c>
      <c r="BG521" t="s">
        <v>74</v>
      </c>
      <c r="BH521" t="s">
        <v>74</v>
      </c>
      <c r="BI521">
        <v>10</v>
      </c>
      <c r="BJ521" t="s">
        <v>4271</v>
      </c>
      <c r="BK521" t="s">
        <v>104</v>
      </c>
      <c r="BL521" t="s">
        <v>4272</v>
      </c>
      <c r="BM521" t="s">
        <v>9972</v>
      </c>
      <c r="BN521" t="s">
        <v>74</v>
      </c>
      <c r="BO521" t="s">
        <v>737</v>
      </c>
      <c r="BP521" t="s">
        <v>74</v>
      </c>
      <c r="BQ521" t="s">
        <v>74</v>
      </c>
      <c r="BR521" t="s">
        <v>108</v>
      </c>
      <c r="BS521" t="s">
        <v>9973</v>
      </c>
      <c r="BT521" t="str">
        <f>HYPERLINK("https%3A%2F%2Fwww.webofscience.com%2Fwos%2Fwoscc%2Ffull-record%2FWOS:000925738000001","View Full Record in Web of Science")</f>
        <v>View Full Record in Web of Science</v>
      </c>
    </row>
    <row r="522" spans="1:72" x14ac:dyDescent="0.15">
      <c r="A522" t="s">
        <v>72</v>
      </c>
      <c r="B522" t="s">
        <v>9974</v>
      </c>
      <c r="C522" t="s">
        <v>74</v>
      </c>
      <c r="D522" t="s">
        <v>74</v>
      </c>
      <c r="E522" t="s">
        <v>74</v>
      </c>
      <c r="F522" t="s">
        <v>9975</v>
      </c>
      <c r="G522" t="s">
        <v>74</v>
      </c>
      <c r="H522" t="s">
        <v>74</v>
      </c>
      <c r="I522" t="s">
        <v>9976</v>
      </c>
      <c r="J522" t="s">
        <v>9977</v>
      </c>
      <c r="K522" t="s">
        <v>74</v>
      </c>
      <c r="L522" t="s">
        <v>74</v>
      </c>
      <c r="M522" t="s">
        <v>78</v>
      </c>
      <c r="N522" t="s">
        <v>79</v>
      </c>
      <c r="O522" t="s">
        <v>74</v>
      </c>
      <c r="P522" t="s">
        <v>74</v>
      </c>
      <c r="Q522" t="s">
        <v>74</v>
      </c>
      <c r="R522" t="s">
        <v>74</v>
      </c>
      <c r="S522" t="s">
        <v>74</v>
      </c>
      <c r="T522" t="s">
        <v>9978</v>
      </c>
      <c r="U522" t="s">
        <v>9979</v>
      </c>
      <c r="V522" t="s">
        <v>9980</v>
      </c>
      <c r="W522" t="s">
        <v>9981</v>
      </c>
      <c r="X522" t="s">
        <v>9982</v>
      </c>
      <c r="Y522" t="s">
        <v>9983</v>
      </c>
      <c r="Z522" t="s">
        <v>9984</v>
      </c>
      <c r="AA522" t="s">
        <v>74</v>
      </c>
      <c r="AB522" t="s">
        <v>9985</v>
      </c>
      <c r="AC522" t="s">
        <v>9986</v>
      </c>
      <c r="AD522" t="s">
        <v>9987</v>
      </c>
      <c r="AE522" t="s">
        <v>9986</v>
      </c>
      <c r="AF522" t="s">
        <v>74</v>
      </c>
      <c r="AG522">
        <v>113</v>
      </c>
      <c r="AH522">
        <v>2</v>
      </c>
      <c r="AI522">
        <v>2</v>
      </c>
      <c r="AJ522">
        <v>1</v>
      </c>
      <c r="AK522">
        <v>3</v>
      </c>
      <c r="AL522" t="s">
        <v>297</v>
      </c>
      <c r="AM522" t="s">
        <v>298</v>
      </c>
      <c r="AN522" t="s">
        <v>299</v>
      </c>
      <c r="AO522" t="s">
        <v>9988</v>
      </c>
      <c r="AP522" t="s">
        <v>74</v>
      </c>
      <c r="AQ522" t="s">
        <v>74</v>
      </c>
      <c r="AR522" t="s">
        <v>9977</v>
      </c>
      <c r="AS522" t="s">
        <v>9989</v>
      </c>
      <c r="AT522" t="s">
        <v>9001</v>
      </c>
      <c r="AU522">
        <v>2022</v>
      </c>
      <c r="AV522">
        <v>13</v>
      </c>
      <c r="AW522">
        <v>12</v>
      </c>
      <c r="AX522" t="s">
        <v>74</v>
      </c>
      <c r="AY522" t="s">
        <v>74</v>
      </c>
      <c r="AZ522" t="s">
        <v>74</v>
      </c>
      <c r="BA522" t="s">
        <v>74</v>
      </c>
      <c r="BB522" t="s">
        <v>74</v>
      </c>
      <c r="BC522" t="s">
        <v>74</v>
      </c>
      <c r="BD522" t="s">
        <v>9990</v>
      </c>
      <c r="BE522" t="s">
        <v>9991</v>
      </c>
      <c r="BF522" t="str">
        <f>HYPERLINK("http://dx.doi.org/10.1002/ecs2.4325","http://dx.doi.org/10.1002/ecs2.4325")</f>
        <v>http://dx.doi.org/10.1002/ecs2.4325</v>
      </c>
      <c r="BG522" t="s">
        <v>74</v>
      </c>
      <c r="BH522" t="s">
        <v>74</v>
      </c>
      <c r="BI522">
        <v>22</v>
      </c>
      <c r="BJ522" t="s">
        <v>2639</v>
      </c>
      <c r="BK522" t="s">
        <v>104</v>
      </c>
      <c r="BL522" t="s">
        <v>217</v>
      </c>
      <c r="BM522" t="s">
        <v>9992</v>
      </c>
      <c r="BN522" t="s">
        <v>74</v>
      </c>
      <c r="BO522" t="s">
        <v>3181</v>
      </c>
      <c r="BP522" t="s">
        <v>74</v>
      </c>
      <c r="BQ522" t="s">
        <v>74</v>
      </c>
      <c r="BR522" t="s">
        <v>108</v>
      </c>
      <c r="BS522" t="s">
        <v>9993</v>
      </c>
      <c r="BT522" t="str">
        <f>HYPERLINK("https%3A%2F%2Fwww.webofscience.com%2Fwos%2Fwoscc%2Ffull-record%2FWOS:000905377200001","View Full Record in Web of Science")</f>
        <v>View Full Record in Web of Science</v>
      </c>
    </row>
    <row r="523" spans="1:72" x14ac:dyDescent="0.15">
      <c r="A523" t="s">
        <v>72</v>
      </c>
      <c r="B523" t="s">
        <v>9994</v>
      </c>
      <c r="C523" t="s">
        <v>74</v>
      </c>
      <c r="D523" t="s">
        <v>74</v>
      </c>
      <c r="E523" t="s">
        <v>74</v>
      </c>
      <c r="F523" t="s">
        <v>9995</v>
      </c>
      <c r="G523" t="s">
        <v>74</v>
      </c>
      <c r="H523" t="s">
        <v>74</v>
      </c>
      <c r="I523" t="s">
        <v>9996</v>
      </c>
      <c r="J523" t="s">
        <v>9997</v>
      </c>
      <c r="K523" t="s">
        <v>74</v>
      </c>
      <c r="L523" t="s">
        <v>74</v>
      </c>
      <c r="M523" t="s">
        <v>78</v>
      </c>
      <c r="N523" t="s">
        <v>79</v>
      </c>
      <c r="O523" t="s">
        <v>74</v>
      </c>
      <c r="P523" t="s">
        <v>74</v>
      </c>
      <c r="Q523" t="s">
        <v>74</v>
      </c>
      <c r="R523" t="s">
        <v>74</v>
      </c>
      <c r="S523" t="s">
        <v>74</v>
      </c>
      <c r="T523" t="s">
        <v>9998</v>
      </c>
      <c r="U523" t="s">
        <v>9999</v>
      </c>
      <c r="V523" t="s">
        <v>10000</v>
      </c>
      <c r="W523" t="s">
        <v>10001</v>
      </c>
      <c r="X523" t="s">
        <v>10002</v>
      </c>
      <c r="Y523" t="s">
        <v>10003</v>
      </c>
      <c r="Z523" t="s">
        <v>10004</v>
      </c>
      <c r="AA523" t="s">
        <v>74</v>
      </c>
      <c r="AB523" t="s">
        <v>74</v>
      </c>
      <c r="AC523" t="s">
        <v>74</v>
      </c>
      <c r="AD523" t="s">
        <v>74</v>
      </c>
      <c r="AE523" t="s">
        <v>74</v>
      </c>
      <c r="AF523" t="s">
        <v>74</v>
      </c>
      <c r="AG523">
        <v>180</v>
      </c>
      <c r="AH523">
        <v>1</v>
      </c>
      <c r="AI523">
        <v>1</v>
      </c>
      <c r="AJ523">
        <v>2</v>
      </c>
      <c r="AK523">
        <v>4</v>
      </c>
      <c r="AL523" t="s">
        <v>4452</v>
      </c>
      <c r="AM523" t="s">
        <v>93</v>
      </c>
      <c r="AN523" t="s">
        <v>4453</v>
      </c>
      <c r="AO523" t="s">
        <v>10005</v>
      </c>
      <c r="AP523" t="s">
        <v>10006</v>
      </c>
      <c r="AQ523" t="s">
        <v>74</v>
      </c>
      <c r="AR523" t="s">
        <v>10007</v>
      </c>
      <c r="AS523" t="s">
        <v>10008</v>
      </c>
      <c r="AT523" t="s">
        <v>9001</v>
      </c>
      <c r="AU523">
        <v>2022</v>
      </c>
      <c r="AV523">
        <v>49</v>
      </c>
      <c r="AW523">
        <v>9</v>
      </c>
      <c r="AX523" t="s">
        <v>74</v>
      </c>
      <c r="AY523" t="s">
        <v>74</v>
      </c>
      <c r="AZ523" t="s">
        <v>74</v>
      </c>
      <c r="BA523" t="s">
        <v>74</v>
      </c>
      <c r="BB523">
        <v>1570</v>
      </c>
      <c r="BC523">
        <v>1592</v>
      </c>
      <c r="BD523" t="s">
        <v>74</v>
      </c>
      <c r="BE523" t="s">
        <v>10009</v>
      </c>
      <c r="BF523" t="str">
        <f>HYPERLINK("http://dx.doi.org/10.1134/S1062359022090175","http://dx.doi.org/10.1134/S1062359022090175")</f>
        <v>http://dx.doi.org/10.1134/S1062359022090175</v>
      </c>
      <c r="BG523" t="s">
        <v>74</v>
      </c>
      <c r="BH523" t="s">
        <v>74</v>
      </c>
      <c r="BI523">
        <v>23</v>
      </c>
      <c r="BJ523" t="s">
        <v>3178</v>
      </c>
      <c r="BK523" t="s">
        <v>104</v>
      </c>
      <c r="BL523" t="s">
        <v>3179</v>
      </c>
      <c r="BM523" t="s">
        <v>10010</v>
      </c>
      <c r="BN523" t="s">
        <v>74</v>
      </c>
      <c r="BO523" t="s">
        <v>74</v>
      </c>
      <c r="BP523" t="s">
        <v>74</v>
      </c>
      <c r="BQ523" t="s">
        <v>74</v>
      </c>
      <c r="BR523" t="s">
        <v>108</v>
      </c>
      <c r="BS523" t="s">
        <v>10011</v>
      </c>
      <c r="BT523" t="str">
        <f>HYPERLINK("https%3A%2F%2Fwww.webofscience.com%2Fwos%2Fwoscc%2Ffull-record%2FWOS:000924629200026","View Full Record in Web of Science")</f>
        <v>View Full Record in Web of Science</v>
      </c>
    </row>
    <row r="524" spans="1:72" x14ac:dyDescent="0.15">
      <c r="A524" t="s">
        <v>72</v>
      </c>
      <c r="B524" t="s">
        <v>10012</v>
      </c>
      <c r="C524" t="s">
        <v>74</v>
      </c>
      <c r="D524" t="s">
        <v>74</v>
      </c>
      <c r="E524" t="s">
        <v>74</v>
      </c>
      <c r="F524" t="s">
        <v>10013</v>
      </c>
      <c r="G524" t="s">
        <v>74</v>
      </c>
      <c r="H524" t="s">
        <v>74</v>
      </c>
      <c r="I524" t="s">
        <v>10014</v>
      </c>
      <c r="J524" t="s">
        <v>10015</v>
      </c>
      <c r="K524" t="s">
        <v>74</v>
      </c>
      <c r="L524" t="s">
        <v>74</v>
      </c>
      <c r="M524" t="s">
        <v>78</v>
      </c>
      <c r="N524" t="s">
        <v>79</v>
      </c>
      <c r="O524" t="s">
        <v>74</v>
      </c>
      <c r="P524" t="s">
        <v>74</v>
      </c>
      <c r="Q524" t="s">
        <v>74</v>
      </c>
      <c r="R524" t="s">
        <v>74</v>
      </c>
      <c r="S524" t="s">
        <v>74</v>
      </c>
      <c r="T524" t="s">
        <v>10016</v>
      </c>
      <c r="U524" t="s">
        <v>10017</v>
      </c>
      <c r="V524" t="s">
        <v>10018</v>
      </c>
      <c r="W524" t="s">
        <v>10019</v>
      </c>
      <c r="X524" t="s">
        <v>10020</v>
      </c>
      <c r="Y524" t="s">
        <v>10021</v>
      </c>
      <c r="Z524" t="s">
        <v>10022</v>
      </c>
      <c r="AA524" t="s">
        <v>10023</v>
      </c>
      <c r="AB524" t="s">
        <v>10024</v>
      </c>
      <c r="AC524" t="s">
        <v>10025</v>
      </c>
      <c r="AD524" t="s">
        <v>10026</v>
      </c>
      <c r="AE524" t="s">
        <v>10027</v>
      </c>
      <c r="AF524" t="s">
        <v>74</v>
      </c>
      <c r="AG524">
        <v>47</v>
      </c>
      <c r="AH524">
        <v>1</v>
      </c>
      <c r="AI524">
        <v>1</v>
      </c>
      <c r="AJ524">
        <v>0</v>
      </c>
      <c r="AK524">
        <v>1</v>
      </c>
      <c r="AL524" t="s">
        <v>1791</v>
      </c>
      <c r="AM524" t="s">
        <v>576</v>
      </c>
      <c r="AN524" t="s">
        <v>1792</v>
      </c>
      <c r="AO524" t="s">
        <v>74</v>
      </c>
      <c r="AP524" t="s">
        <v>10028</v>
      </c>
      <c r="AQ524" t="s">
        <v>74</v>
      </c>
      <c r="AR524" t="s">
        <v>10029</v>
      </c>
      <c r="AS524" t="s">
        <v>10030</v>
      </c>
      <c r="AT524" t="s">
        <v>9001</v>
      </c>
      <c r="AU524">
        <v>2022</v>
      </c>
      <c r="AV524">
        <v>14</v>
      </c>
      <c r="AW524">
        <v>12</v>
      </c>
      <c r="AX524" t="s">
        <v>74</v>
      </c>
      <c r="AY524" t="s">
        <v>74</v>
      </c>
      <c r="AZ524" t="s">
        <v>74</v>
      </c>
      <c r="BA524" t="s">
        <v>74</v>
      </c>
      <c r="BB524" t="s">
        <v>74</v>
      </c>
      <c r="BC524" t="s">
        <v>74</v>
      </c>
      <c r="BD524" t="s">
        <v>10031</v>
      </c>
      <c r="BE524" t="s">
        <v>10032</v>
      </c>
      <c r="BF524" t="str">
        <f>HYPERLINK("http://dx.doi.org/10.1029/2022MS003180","http://dx.doi.org/10.1029/2022MS003180")</f>
        <v>http://dx.doi.org/10.1029/2022MS003180</v>
      </c>
      <c r="BG524" t="s">
        <v>74</v>
      </c>
      <c r="BH524" t="s">
        <v>74</v>
      </c>
      <c r="BI524">
        <v>20</v>
      </c>
      <c r="BJ524" t="s">
        <v>532</v>
      </c>
      <c r="BK524" t="s">
        <v>104</v>
      </c>
      <c r="BL524" t="s">
        <v>532</v>
      </c>
      <c r="BM524" t="s">
        <v>10033</v>
      </c>
      <c r="BN524" t="s">
        <v>74</v>
      </c>
      <c r="BO524" t="s">
        <v>165</v>
      </c>
      <c r="BP524" t="s">
        <v>74</v>
      </c>
      <c r="BQ524" t="s">
        <v>74</v>
      </c>
      <c r="BR524" t="s">
        <v>108</v>
      </c>
      <c r="BS524" t="s">
        <v>10034</v>
      </c>
      <c r="BT524" t="str">
        <f>HYPERLINK("https%3A%2F%2Fwww.webofscience.com%2Fwos%2Fwoscc%2Ffull-record%2FWOS:000924499500001","View Full Record in Web of Science")</f>
        <v>View Full Record in Web of Science</v>
      </c>
    </row>
    <row r="525" spans="1:72" x14ac:dyDescent="0.15">
      <c r="A525" t="s">
        <v>72</v>
      </c>
      <c r="B525" t="s">
        <v>10035</v>
      </c>
      <c r="C525" t="s">
        <v>74</v>
      </c>
      <c r="D525" t="s">
        <v>74</v>
      </c>
      <c r="E525" t="s">
        <v>74</v>
      </c>
      <c r="F525" t="s">
        <v>10036</v>
      </c>
      <c r="G525" t="s">
        <v>74</v>
      </c>
      <c r="H525" t="s">
        <v>74</v>
      </c>
      <c r="I525" t="s">
        <v>10037</v>
      </c>
      <c r="J525" t="s">
        <v>10015</v>
      </c>
      <c r="K525" t="s">
        <v>74</v>
      </c>
      <c r="L525" t="s">
        <v>74</v>
      </c>
      <c r="M525" t="s">
        <v>78</v>
      </c>
      <c r="N525" t="s">
        <v>79</v>
      </c>
      <c r="O525" t="s">
        <v>74</v>
      </c>
      <c r="P525" t="s">
        <v>74</v>
      </c>
      <c r="Q525" t="s">
        <v>74</v>
      </c>
      <c r="R525" t="s">
        <v>74</v>
      </c>
      <c r="S525" t="s">
        <v>74</v>
      </c>
      <c r="T525" t="s">
        <v>10038</v>
      </c>
      <c r="U525" t="s">
        <v>10039</v>
      </c>
      <c r="V525" t="s">
        <v>10040</v>
      </c>
      <c r="W525" t="s">
        <v>10041</v>
      </c>
      <c r="X525" t="s">
        <v>10042</v>
      </c>
      <c r="Y525" t="s">
        <v>10043</v>
      </c>
      <c r="Z525" t="s">
        <v>10044</v>
      </c>
      <c r="AA525" t="s">
        <v>10045</v>
      </c>
      <c r="AB525" t="s">
        <v>10046</v>
      </c>
      <c r="AC525" t="s">
        <v>10047</v>
      </c>
      <c r="AD525" t="s">
        <v>10048</v>
      </c>
      <c r="AE525" t="s">
        <v>10049</v>
      </c>
      <c r="AF525" t="s">
        <v>74</v>
      </c>
      <c r="AG525">
        <v>32</v>
      </c>
      <c r="AH525">
        <v>2</v>
      </c>
      <c r="AI525">
        <v>2</v>
      </c>
      <c r="AJ525">
        <v>0</v>
      </c>
      <c r="AK525">
        <v>0</v>
      </c>
      <c r="AL525" t="s">
        <v>1791</v>
      </c>
      <c r="AM525" t="s">
        <v>576</v>
      </c>
      <c r="AN525" t="s">
        <v>1792</v>
      </c>
      <c r="AO525" t="s">
        <v>74</v>
      </c>
      <c r="AP525" t="s">
        <v>10028</v>
      </c>
      <c r="AQ525" t="s">
        <v>74</v>
      </c>
      <c r="AR525" t="s">
        <v>10029</v>
      </c>
      <c r="AS525" t="s">
        <v>10030</v>
      </c>
      <c r="AT525" t="s">
        <v>9001</v>
      </c>
      <c r="AU525">
        <v>2022</v>
      </c>
      <c r="AV525">
        <v>14</v>
      </c>
      <c r="AW525">
        <v>12</v>
      </c>
      <c r="AX525" t="s">
        <v>74</v>
      </c>
      <c r="AY525" t="s">
        <v>74</v>
      </c>
      <c r="AZ525" t="s">
        <v>74</v>
      </c>
      <c r="BA525" t="s">
        <v>74</v>
      </c>
      <c r="BB525" t="s">
        <v>74</v>
      </c>
      <c r="BC525" t="s">
        <v>74</v>
      </c>
      <c r="BD525" t="s">
        <v>10050</v>
      </c>
      <c r="BE525" t="s">
        <v>10051</v>
      </c>
      <c r="BF525" t="str">
        <f>HYPERLINK("http://dx.doi.org/10.1029/2022MS003010","http://dx.doi.org/10.1029/2022MS003010")</f>
        <v>http://dx.doi.org/10.1029/2022MS003010</v>
      </c>
      <c r="BG525" t="s">
        <v>74</v>
      </c>
      <c r="BH525" t="s">
        <v>74</v>
      </c>
      <c r="BI525">
        <v>12</v>
      </c>
      <c r="BJ525" t="s">
        <v>532</v>
      </c>
      <c r="BK525" t="s">
        <v>104</v>
      </c>
      <c r="BL525" t="s">
        <v>532</v>
      </c>
      <c r="BM525" t="s">
        <v>10052</v>
      </c>
      <c r="BN525" t="s">
        <v>74</v>
      </c>
      <c r="BO525" t="s">
        <v>165</v>
      </c>
      <c r="BP525" t="s">
        <v>74</v>
      </c>
      <c r="BQ525" t="s">
        <v>74</v>
      </c>
      <c r="BR525" t="s">
        <v>108</v>
      </c>
      <c r="BS525" t="s">
        <v>10053</v>
      </c>
      <c r="BT525" t="str">
        <f>HYPERLINK("https%3A%2F%2Fwww.webofscience.com%2Fwos%2Fwoscc%2Ffull-record%2FWOS:000924495500001","View Full Record in Web of Science")</f>
        <v>View Full Record in Web of Science</v>
      </c>
    </row>
    <row r="526" spans="1:72" x14ac:dyDescent="0.15">
      <c r="A526" t="s">
        <v>72</v>
      </c>
      <c r="B526" t="s">
        <v>10054</v>
      </c>
      <c r="C526" t="s">
        <v>74</v>
      </c>
      <c r="D526" t="s">
        <v>74</v>
      </c>
      <c r="E526" t="s">
        <v>74</v>
      </c>
      <c r="F526" t="s">
        <v>10055</v>
      </c>
      <c r="G526" t="s">
        <v>74</v>
      </c>
      <c r="H526" t="s">
        <v>74</v>
      </c>
      <c r="I526" t="s">
        <v>10056</v>
      </c>
      <c r="J526" t="s">
        <v>10015</v>
      </c>
      <c r="K526" t="s">
        <v>74</v>
      </c>
      <c r="L526" t="s">
        <v>74</v>
      </c>
      <c r="M526" t="s">
        <v>78</v>
      </c>
      <c r="N526" t="s">
        <v>79</v>
      </c>
      <c r="O526" t="s">
        <v>74</v>
      </c>
      <c r="P526" t="s">
        <v>74</v>
      </c>
      <c r="Q526" t="s">
        <v>74</v>
      </c>
      <c r="R526" t="s">
        <v>74</v>
      </c>
      <c r="S526" t="s">
        <v>74</v>
      </c>
      <c r="T526" t="s">
        <v>10057</v>
      </c>
      <c r="U526" t="s">
        <v>10058</v>
      </c>
      <c r="V526" t="s">
        <v>10059</v>
      </c>
      <c r="W526" t="s">
        <v>10060</v>
      </c>
      <c r="X526" t="s">
        <v>10061</v>
      </c>
      <c r="Y526" t="s">
        <v>10062</v>
      </c>
      <c r="Z526" t="s">
        <v>10063</v>
      </c>
      <c r="AA526" t="s">
        <v>10064</v>
      </c>
      <c r="AB526" t="s">
        <v>10065</v>
      </c>
      <c r="AC526" t="s">
        <v>10066</v>
      </c>
      <c r="AD526" t="s">
        <v>10067</v>
      </c>
      <c r="AE526" t="s">
        <v>10068</v>
      </c>
      <c r="AF526" t="s">
        <v>74</v>
      </c>
      <c r="AG526">
        <v>55</v>
      </c>
      <c r="AH526">
        <v>1</v>
      </c>
      <c r="AI526">
        <v>1</v>
      </c>
      <c r="AJ526">
        <v>5</v>
      </c>
      <c r="AK526">
        <v>14</v>
      </c>
      <c r="AL526" t="s">
        <v>1791</v>
      </c>
      <c r="AM526" t="s">
        <v>576</v>
      </c>
      <c r="AN526" t="s">
        <v>1792</v>
      </c>
      <c r="AO526" t="s">
        <v>74</v>
      </c>
      <c r="AP526" t="s">
        <v>10028</v>
      </c>
      <c r="AQ526" t="s">
        <v>74</v>
      </c>
      <c r="AR526" t="s">
        <v>10029</v>
      </c>
      <c r="AS526" t="s">
        <v>10030</v>
      </c>
      <c r="AT526" t="s">
        <v>9001</v>
      </c>
      <c r="AU526">
        <v>2022</v>
      </c>
      <c r="AV526">
        <v>14</v>
      </c>
      <c r="AW526">
        <v>12</v>
      </c>
      <c r="AX526" t="s">
        <v>74</v>
      </c>
      <c r="AY526" t="s">
        <v>74</v>
      </c>
      <c r="AZ526" t="s">
        <v>74</v>
      </c>
      <c r="BA526" t="s">
        <v>74</v>
      </c>
      <c r="BB526" t="s">
        <v>74</v>
      </c>
      <c r="BC526" t="s">
        <v>74</v>
      </c>
      <c r="BD526" t="s">
        <v>10069</v>
      </c>
      <c r="BE526" t="s">
        <v>10070</v>
      </c>
      <c r="BF526" t="str">
        <f>HYPERLINK("http://dx.doi.org/10.1029/2022MS003176","http://dx.doi.org/10.1029/2022MS003176")</f>
        <v>http://dx.doi.org/10.1029/2022MS003176</v>
      </c>
      <c r="BG526" t="s">
        <v>74</v>
      </c>
      <c r="BH526" t="s">
        <v>74</v>
      </c>
      <c r="BI526">
        <v>21</v>
      </c>
      <c r="BJ526" t="s">
        <v>532</v>
      </c>
      <c r="BK526" t="s">
        <v>104</v>
      </c>
      <c r="BL526" t="s">
        <v>532</v>
      </c>
      <c r="BM526" t="s">
        <v>10071</v>
      </c>
      <c r="BN526" t="s">
        <v>74</v>
      </c>
      <c r="BO526" t="s">
        <v>3181</v>
      </c>
      <c r="BP526" t="s">
        <v>74</v>
      </c>
      <c r="BQ526" t="s">
        <v>74</v>
      </c>
      <c r="BR526" t="s">
        <v>108</v>
      </c>
      <c r="BS526" t="s">
        <v>10072</v>
      </c>
      <c r="BT526" t="str">
        <f>HYPERLINK("https%3A%2F%2Fwww.webofscience.com%2Fwos%2Fwoscc%2Ffull-record%2FWOS:000924514900001","View Full Record in Web of Science")</f>
        <v>View Full Record in Web of Science</v>
      </c>
    </row>
    <row r="527" spans="1:72" x14ac:dyDescent="0.15">
      <c r="A527" t="s">
        <v>72</v>
      </c>
      <c r="B527" t="s">
        <v>10073</v>
      </c>
      <c r="C527" t="s">
        <v>74</v>
      </c>
      <c r="D527" t="s">
        <v>74</v>
      </c>
      <c r="E527" t="s">
        <v>74</v>
      </c>
      <c r="F527" t="s">
        <v>10074</v>
      </c>
      <c r="G527" t="s">
        <v>74</v>
      </c>
      <c r="H527" t="s">
        <v>74</v>
      </c>
      <c r="I527" t="s">
        <v>10075</v>
      </c>
      <c r="J527" t="s">
        <v>10076</v>
      </c>
      <c r="K527" t="s">
        <v>74</v>
      </c>
      <c r="L527" t="s">
        <v>74</v>
      </c>
      <c r="M527" t="s">
        <v>78</v>
      </c>
      <c r="N527" t="s">
        <v>79</v>
      </c>
      <c r="O527" t="s">
        <v>74</v>
      </c>
      <c r="P527" t="s">
        <v>74</v>
      </c>
      <c r="Q527" t="s">
        <v>74</v>
      </c>
      <c r="R527" t="s">
        <v>74</v>
      </c>
      <c r="S527" t="s">
        <v>74</v>
      </c>
      <c r="T527" t="s">
        <v>10077</v>
      </c>
      <c r="U527" t="s">
        <v>10078</v>
      </c>
      <c r="V527" t="s">
        <v>10079</v>
      </c>
      <c r="W527" t="s">
        <v>10080</v>
      </c>
      <c r="X527" t="s">
        <v>10081</v>
      </c>
      <c r="Y527" t="s">
        <v>10082</v>
      </c>
      <c r="Z527" t="s">
        <v>10083</v>
      </c>
      <c r="AA527" t="s">
        <v>10084</v>
      </c>
      <c r="AB527" t="s">
        <v>10085</v>
      </c>
      <c r="AC527" t="s">
        <v>10086</v>
      </c>
      <c r="AD527" t="s">
        <v>10087</v>
      </c>
      <c r="AE527" t="s">
        <v>10088</v>
      </c>
      <c r="AF527" t="s">
        <v>74</v>
      </c>
      <c r="AG527">
        <v>88</v>
      </c>
      <c r="AH527">
        <v>4</v>
      </c>
      <c r="AI527">
        <v>4</v>
      </c>
      <c r="AJ527">
        <v>6</v>
      </c>
      <c r="AK527">
        <v>12</v>
      </c>
      <c r="AL527" t="s">
        <v>1791</v>
      </c>
      <c r="AM527" t="s">
        <v>576</v>
      </c>
      <c r="AN527" t="s">
        <v>1792</v>
      </c>
      <c r="AO527" t="s">
        <v>10089</v>
      </c>
      <c r="AP527" t="s">
        <v>10090</v>
      </c>
      <c r="AQ527" t="s">
        <v>74</v>
      </c>
      <c r="AR527" t="s">
        <v>10091</v>
      </c>
      <c r="AS527" t="s">
        <v>10092</v>
      </c>
      <c r="AT527" t="s">
        <v>9001</v>
      </c>
      <c r="AU527">
        <v>2022</v>
      </c>
      <c r="AV527">
        <v>127</v>
      </c>
      <c r="AW527">
        <v>12</v>
      </c>
      <c r="AX527" t="s">
        <v>74</v>
      </c>
      <c r="AY527" t="s">
        <v>74</v>
      </c>
      <c r="AZ527" t="s">
        <v>74</v>
      </c>
      <c r="BA527" t="s">
        <v>74</v>
      </c>
      <c r="BB527" t="s">
        <v>74</v>
      </c>
      <c r="BC527" t="s">
        <v>74</v>
      </c>
      <c r="BD527" t="s">
        <v>10093</v>
      </c>
      <c r="BE527" t="s">
        <v>10094</v>
      </c>
      <c r="BF527" t="str">
        <f>HYPERLINK("http://dx.doi.org/10.1029/2022JF006917","http://dx.doi.org/10.1029/2022JF006917")</f>
        <v>http://dx.doi.org/10.1029/2022JF006917</v>
      </c>
      <c r="BG527" t="s">
        <v>74</v>
      </c>
      <c r="BH527" t="s">
        <v>74</v>
      </c>
      <c r="BI527">
        <v>17</v>
      </c>
      <c r="BJ527" t="s">
        <v>455</v>
      </c>
      <c r="BK527" t="s">
        <v>104</v>
      </c>
      <c r="BL527" t="s">
        <v>456</v>
      </c>
      <c r="BM527" t="s">
        <v>10095</v>
      </c>
      <c r="BN527" t="s">
        <v>74</v>
      </c>
      <c r="BO527" t="s">
        <v>10096</v>
      </c>
      <c r="BP527" t="s">
        <v>74</v>
      </c>
      <c r="BQ527" t="s">
        <v>74</v>
      </c>
      <c r="BR527" t="s">
        <v>108</v>
      </c>
      <c r="BS527" t="s">
        <v>10097</v>
      </c>
      <c r="BT527" t="str">
        <f>HYPERLINK("https%3A%2F%2Fwww.webofscience.com%2Fwos%2Fwoscc%2Ffull-record%2FWOS:000924629500001","View Full Record in Web of Science")</f>
        <v>View Full Record in Web of Science</v>
      </c>
    </row>
    <row r="528" spans="1:72" x14ac:dyDescent="0.15">
      <c r="A528" t="s">
        <v>72</v>
      </c>
      <c r="B528" t="s">
        <v>10098</v>
      </c>
      <c r="C528" t="s">
        <v>74</v>
      </c>
      <c r="D528" t="s">
        <v>74</v>
      </c>
      <c r="E528" t="s">
        <v>74</v>
      </c>
      <c r="F528" t="s">
        <v>10099</v>
      </c>
      <c r="G528" t="s">
        <v>74</v>
      </c>
      <c r="H528" t="s">
        <v>74</v>
      </c>
      <c r="I528" t="s">
        <v>10100</v>
      </c>
      <c r="J528" t="s">
        <v>4328</v>
      </c>
      <c r="K528" t="s">
        <v>74</v>
      </c>
      <c r="L528" t="s">
        <v>74</v>
      </c>
      <c r="M528" t="s">
        <v>78</v>
      </c>
      <c r="N528" t="s">
        <v>79</v>
      </c>
      <c r="O528" t="s">
        <v>74</v>
      </c>
      <c r="P528" t="s">
        <v>74</v>
      </c>
      <c r="Q528" t="s">
        <v>74</v>
      </c>
      <c r="R528" t="s">
        <v>74</v>
      </c>
      <c r="S528" t="s">
        <v>74</v>
      </c>
      <c r="T528" t="s">
        <v>74</v>
      </c>
      <c r="U528" t="s">
        <v>10101</v>
      </c>
      <c r="V528" t="s">
        <v>10102</v>
      </c>
      <c r="W528" t="s">
        <v>10103</v>
      </c>
      <c r="X528" t="s">
        <v>10104</v>
      </c>
      <c r="Y528" t="s">
        <v>10105</v>
      </c>
      <c r="Z528" t="s">
        <v>10106</v>
      </c>
      <c r="AA528" t="s">
        <v>10107</v>
      </c>
      <c r="AB528" t="s">
        <v>10108</v>
      </c>
      <c r="AC528" t="s">
        <v>10109</v>
      </c>
      <c r="AD528" t="s">
        <v>10110</v>
      </c>
      <c r="AE528" t="s">
        <v>10111</v>
      </c>
      <c r="AF528" t="s">
        <v>74</v>
      </c>
      <c r="AG528">
        <v>131</v>
      </c>
      <c r="AH528">
        <v>0</v>
      </c>
      <c r="AI528">
        <v>0</v>
      </c>
      <c r="AJ528">
        <v>3</v>
      </c>
      <c r="AK528">
        <v>7</v>
      </c>
      <c r="AL528" t="s">
        <v>1791</v>
      </c>
      <c r="AM528" t="s">
        <v>576</v>
      </c>
      <c r="AN528" t="s">
        <v>1792</v>
      </c>
      <c r="AO528" t="s">
        <v>4340</v>
      </c>
      <c r="AP528" t="s">
        <v>4341</v>
      </c>
      <c r="AQ528" t="s">
        <v>74</v>
      </c>
      <c r="AR528" t="s">
        <v>4342</v>
      </c>
      <c r="AS528" t="s">
        <v>4343</v>
      </c>
      <c r="AT528" t="s">
        <v>9001</v>
      </c>
      <c r="AU528">
        <v>2022</v>
      </c>
      <c r="AV528">
        <v>37</v>
      </c>
      <c r="AW528">
        <v>12</v>
      </c>
      <c r="AX528" t="s">
        <v>74</v>
      </c>
      <c r="AY528" t="s">
        <v>74</v>
      </c>
      <c r="AZ528" t="s">
        <v>74</v>
      </c>
      <c r="BA528" t="s">
        <v>74</v>
      </c>
      <c r="BB528" t="s">
        <v>74</v>
      </c>
      <c r="BC528" t="s">
        <v>74</v>
      </c>
      <c r="BD528" t="s">
        <v>10112</v>
      </c>
      <c r="BE528" t="s">
        <v>10113</v>
      </c>
      <c r="BF528" t="str">
        <f>HYPERLINK("http://dx.doi.org/10.1029/2022PA004440","http://dx.doi.org/10.1029/2022PA004440")</f>
        <v>http://dx.doi.org/10.1029/2022PA004440</v>
      </c>
      <c r="BG528" t="s">
        <v>74</v>
      </c>
      <c r="BH528" t="s">
        <v>74</v>
      </c>
      <c r="BI528">
        <v>23</v>
      </c>
      <c r="BJ528" t="s">
        <v>4346</v>
      </c>
      <c r="BK528" t="s">
        <v>104</v>
      </c>
      <c r="BL528" t="s">
        <v>4347</v>
      </c>
      <c r="BM528" t="s">
        <v>10114</v>
      </c>
      <c r="BN528" t="s">
        <v>74</v>
      </c>
      <c r="BO528" t="s">
        <v>660</v>
      </c>
      <c r="BP528" t="s">
        <v>74</v>
      </c>
      <c r="BQ528" t="s">
        <v>74</v>
      </c>
      <c r="BR528" t="s">
        <v>108</v>
      </c>
      <c r="BS528" t="s">
        <v>10115</v>
      </c>
      <c r="BT528" t="str">
        <f>HYPERLINK("https%3A%2F%2Fwww.webofscience.com%2Fwos%2Fwoscc%2Ffull-record%2FWOS:000924582900001","View Full Record in Web of Science")</f>
        <v>View Full Record in Web of Science</v>
      </c>
    </row>
    <row r="529" spans="1:72" x14ac:dyDescent="0.15">
      <c r="A529" t="s">
        <v>72</v>
      </c>
      <c r="B529" t="s">
        <v>10116</v>
      </c>
      <c r="C529" t="s">
        <v>74</v>
      </c>
      <c r="D529" t="s">
        <v>74</v>
      </c>
      <c r="E529" t="s">
        <v>74</v>
      </c>
      <c r="F529" t="s">
        <v>10117</v>
      </c>
      <c r="G529" t="s">
        <v>74</v>
      </c>
      <c r="H529" t="s">
        <v>74</v>
      </c>
      <c r="I529" t="s">
        <v>10118</v>
      </c>
      <c r="J529" t="s">
        <v>10119</v>
      </c>
      <c r="K529" t="s">
        <v>74</v>
      </c>
      <c r="L529" t="s">
        <v>74</v>
      </c>
      <c r="M529" t="s">
        <v>78</v>
      </c>
      <c r="N529" t="s">
        <v>79</v>
      </c>
      <c r="O529" t="s">
        <v>74</v>
      </c>
      <c r="P529" t="s">
        <v>74</v>
      </c>
      <c r="Q529" t="s">
        <v>74</v>
      </c>
      <c r="R529" t="s">
        <v>74</v>
      </c>
      <c r="S529" t="s">
        <v>74</v>
      </c>
      <c r="T529" t="s">
        <v>74</v>
      </c>
      <c r="U529" t="s">
        <v>10120</v>
      </c>
      <c r="V529" t="s">
        <v>10121</v>
      </c>
      <c r="W529" t="s">
        <v>10122</v>
      </c>
      <c r="X529" t="s">
        <v>10123</v>
      </c>
      <c r="Y529" t="s">
        <v>10124</v>
      </c>
      <c r="Z529" t="s">
        <v>10125</v>
      </c>
      <c r="AA529" t="s">
        <v>10126</v>
      </c>
      <c r="AB529" t="s">
        <v>10127</v>
      </c>
      <c r="AC529" t="s">
        <v>10128</v>
      </c>
      <c r="AD529" t="s">
        <v>10129</v>
      </c>
      <c r="AE529" t="s">
        <v>10130</v>
      </c>
      <c r="AF529" t="s">
        <v>74</v>
      </c>
      <c r="AG529">
        <v>116</v>
      </c>
      <c r="AH529">
        <v>10</v>
      </c>
      <c r="AI529">
        <v>10</v>
      </c>
      <c r="AJ529">
        <v>9</v>
      </c>
      <c r="AK529">
        <v>22</v>
      </c>
      <c r="AL529" t="s">
        <v>10131</v>
      </c>
      <c r="AM529" t="s">
        <v>10132</v>
      </c>
      <c r="AN529" t="s">
        <v>10133</v>
      </c>
      <c r="AO529" t="s">
        <v>10134</v>
      </c>
      <c r="AP529" t="s">
        <v>10135</v>
      </c>
      <c r="AQ529" t="s">
        <v>74</v>
      </c>
      <c r="AR529" t="s">
        <v>10136</v>
      </c>
      <c r="AS529" t="s">
        <v>10137</v>
      </c>
      <c r="AT529" t="s">
        <v>9001</v>
      </c>
      <c r="AU529">
        <v>2022</v>
      </c>
      <c r="AV529">
        <v>20</v>
      </c>
      <c r="AW529">
        <v>12</v>
      </c>
      <c r="AX529" t="s">
        <v>74</v>
      </c>
      <c r="AY529" t="s">
        <v>74</v>
      </c>
      <c r="AZ529" t="s">
        <v>74</v>
      </c>
      <c r="BA529" t="s">
        <v>74</v>
      </c>
      <c r="BB529" t="s">
        <v>74</v>
      </c>
      <c r="BC529" t="s">
        <v>74</v>
      </c>
      <c r="BD529" t="s">
        <v>10138</v>
      </c>
      <c r="BE529" t="s">
        <v>10139</v>
      </c>
      <c r="BF529" t="str">
        <f>HYPERLINK("http://dx.doi.org/10.1371/journal.pbio.3001921","http://dx.doi.org/10.1371/journal.pbio.3001921")</f>
        <v>http://dx.doi.org/10.1371/journal.pbio.3001921</v>
      </c>
      <c r="BG529" t="s">
        <v>74</v>
      </c>
      <c r="BH529" t="s">
        <v>74</v>
      </c>
      <c r="BI529">
        <v>31</v>
      </c>
      <c r="BJ529" t="s">
        <v>10140</v>
      </c>
      <c r="BK529" t="s">
        <v>104</v>
      </c>
      <c r="BL529" t="s">
        <v>10141</v>
      </c>
      <c r="BM529" t="s">
        <v>10142</v>
      </c>
      <c r="BN529">
        <v>36548240</v>
      </c>
      <c r="BO529" t="s">
        <v>10143</v>
      </c>
      <c r="BP529" t="s">
        <v>74</v>
      </c>
      <c r="BQ529" t="s">
        <v>74</v>
      </c>
      <c r="BR529" t="s">
        <v>108</v>
      </c>
      <c r="BS529" t="s">
        <v>10144</v>
      </c>
      <c r="BT529" t="str">
        <f>HYPERLINK("https%3A%2F%2Fwww.webofscience.com%2Fwos%2Fwoscc%2Ffull-record%2FWOS:000925192600002","View Full Record in Web of Science")</f>
        <v>View Full Record in Web of Science</v>
      </c>
    </row>
    <row r="530" spans="1:72" x14ac:dyDescent="0.15">
      <c r="A530" t="s">
        <v>72</v>
      </c>
      <c r="B530" t="s">
        <v>10145</v>
      </c>
      <c r="C530" t="s">
        <v>74</v>
      </c>
      <c r="D530" t="s">
        <v>74</v>
      </c>
      <c r="E530" t="s">
        <v>74</v>
      </c>
      <c r="F530" t="s">
        <v>10146</v>
      </c>
      <c r="G530" t="s">
        <v>74</v>
      </c>
      <c r="H530" t="s">
        <v>74</v>
      </c>
      <c r="I530" t="s">
        <v>10147</v>
      </c>
      <c r="J530" t="s">
        <v>10076</v>
      </c>
      <c r="K530" t="s">
        <v>74</v>
      </c>
      <c r="L530" t="s">
        <v>74</v>
      </c>
      <c r="M530" t="s">
        <v>78</v>
      </c>
      <c r="N530" t="s">
        <v>79</v>
      </c>
      <c r="O530" t="s">
        <v>74</v>
      </c>
      <c r="P530" t="s">
        <v>74</v>
      </c>
      <c r="Q530" t="s">
        <v>74</v>
      </c>
      <c r="R530" t="s">
        <v>74</v>
      </c>
      <c r="S530" t="s">
        <v>74</v>
      </c>
      <c r="T530" t="s">
        <v>10148</v>
      </c>
      <c r="U530" t="s">
        <v>10149</v>
      </c>
      <c r="V530" t="s">
        <v>10150</v>
      </c>
      <c r="W530" t="s">
        <v>10151</v>
      </c>
      <c r="X530" t="s">
        <v>10152</v>
      </c>
      <c r="Y530" t="s">
        <v>10153</v>
      </c>
      <c r="Z530" t="s">
        <v>10154</v>
      </c>
      <c r="AA530" t="s">
        <v>10155</v>
      </c>
      <c r="AB530" t="s">
        <v>10156</v>
      </c>
      <c r="AC530" t="s">
        <v>10157</v>
      </c>
      <c r="AD530" t="s">
        <v>10158</v>
      </c>
      <c r="AE530" t="s">
        <v>10159</v>
      </c>
      <c r="AF530" t="s">
        <v>74</v>
      </c>
      <c r="AG530">
        <v>64</v>
      </c>
      <c r="AH530">
        <v>0</v>
      </c>
      <c r="AI530">
        <v>0</v>
      </c>
      <c r="AJ530">
        <v>2</v>
      </c>
      <c r="AK530">
        <v>11</v>
      </c>
      <c r="AL530" t="s">
        <v>1791</v>
      </c>
      <c r="AM530" t="s">
        <v>576</v>
      </c>
      <c r="AN530" t="s">
        <v>1792</v>
      </c>
      <c r="AO530" t="s">
        <v>10089</v>
      </c>
      <c r="AP530" t="s">
        <v>10090</v>
      </c>
      <c r="AQ530" t="s">
        <v>74</v>
      </c>
      <c r="AR530" t="s">
        <v>10091</v>
      </c>
      <c r="AS530" t="s">
        <v>10092</v>
      </c>
      <c r="AT530" t="s">
        <v>9001</v>
      </c>
      <c r="AU530">
        <v>2022</v>
      </c>
      <c r="AV530">
        <v>127</v>
      </c>
      <c r="AW530">
        <v>12</v>
      </c>
      <c r="AX530" t="s">
        <v>74</v>
      </c>
      <c r="AY530" t="s">
        <v>74</v>
      </c>
      <c r="AZ530" t="s">
        <v>74</v>
      </c>
      <c r="BA530" t="s">
        <v>74</v>
      </c>
      <c r="BB530" t="s">
        <v>74</v>
      </c>
      <c r="BC530" t="s">
        <v>74</v>
      </c>
      <c r="BD530" t="s">
        <v>10160</v>
      </c>
      <c r="BE530" t="s">
        <v>10161</v>
      </c>
      <c r="BF530" t="str">
        <f>HYPERLINK("http://dx.doi.org/10.1029/2022JF006777","http://dx.doi.org/10.1029/2022JF006777")</f>
        <v>http://dx.doi.org/10.1029/2022JF006777</v>
      </c>
      <c r="BG530" t="s">
        <v>74</v>
      </c>
      <c r="BH530" t="s">
        <v>74</v>
      </c>
      <c r="BI530">
        <v>18</v>
      </c>
      <c r="BJ530" t="s">
        <v>455</v>
      </c>
      <c r="BK530" t="s">
        <v>104</v>
      </c>
      <c r="BL530" t="s">
        <v>456</v>
      </c>
      <c r="BM530" t="s">
        <v>10162</v>
      </c>
      <c r="BN530" t="s">
        <v>74</v>
      </c>
      <c r="BO530" t="s">
        <v>219</v>
      </c>
      <c r="BP530" t="s">
        <v>74</v>
      </c>
      <c r="BQ530" t="s">
        <v>74</v>
      </c>
      <c r="BR530" t="s">
        <v>108</v>
      </c>
      <c r="BS530" t="s">
        <v>10163</v>
      </c>
      <c r="BT530" t="str">
        <f>HYPERLINK("https%3A%2F%2Fwww.webofscience.com%2Fwos%2Fwoscc%2Ffull-record%2FWOS:000924513600001","View Full Record in Web of Science")</f>
        <v>View Full Record in Web of Science</v>
      </c>
    </row>
    <row r="531" spans="1:72" x14ac:dyDescent="0.15">
      <c r="A531" t="s">
        <v>72</v>
      </c>
      <c r="B531" t="s">
        <v>10164</v>
      </c>
      <c r="C531" t="s">
        <v>74</v>
      </c>
      <c r="D531" t="s">
        <v>74</v>
      </c>
      <c r="E531" t="s">
        <v>74</v>
      </c>
      <c r="F531" t="s">
        <v>10165</v>
      </c>
      <c r="G531" t="s">
        <v>74</v>
      </c>
      <c r="H531" t="s">
        <v>74</v>
      </c>
      <c r="I531" t="s">
        <v>10166</v>
      </c>
      <c r="J531" t="s">
        <v>4229</v>
      </c>
      <c r="K531" t="s">
        <v>74</v>
      </c>
      <c r="L531" t="s">
        <v>74</v>
      </c>
      <c r="M531" t="s">
        <v>78</v>
      </c>
      <c r="N531" t="s">
        <v>79</v>
      </c>
      <c r="O531" t="s">
        <v>74</v>
      </c>
      <c r="P531" t="s">
        <v>74</v>
      </c>
      <c r="Q531" t="s">
        <v>74</v>
      </c>
      <c r="R531" t="s">
        <v>74</v>
      </c>
      <c r="S531" t="s">
        <v>74</v>
      </c>
      <c r="T531" t="s">
        <v>10167</v>
      </c>
      <c r="U531" t="s">
        <v>10168</v>
      </c>
      <c r="V531" t="s">
        <v>10169</v>
      </c>
      <c r="W531" t="s">
        <v>10170</v>
      </c>
      <c r="X531" t="s">
        <v>10171</v>
      </c>
      <c r="Y531" t="s">
        <v>10172</v>
      </c>
      <c r="Z531" t="s">
        <v>10173</v>
      </c>
      <c r="AA531" t="s">
        <v>10174</v>
      </c>
      <c r="AB531" t="s">
        <v>10175</v>
      </c>
      <c r="AC531" t="s">
        <v>10176</v>
      </c>
      <c r="AD531" t="s">
        <v>10177</v>
      </c>
      <c r="AE531" t="s">
        <v>10178</v>
      </c>
      <c r="AF531" t="s">
        <v>74</v>
      </c>
      <c r="AG531">
        <v>53</v>
      </c>
      <c r="AH531">
        <v>6</v>
      </c>
      <c r="AI531">
        <v>6</v>
      </c>
      <c r="AJ531">
        <v>1</v>
      </c>
      <c r="AK531">
        <v>3</v>
      </c>
      <c r="AL531" t="s">
        <v>1791</v>
      </c>
      <c r="AM531" t="s">
        <v>576</v>
      </c>
      <c r="AN531" t="s">
        <v>1792</v>
      </c>
      <c r="AO531" t="s">
        <v>74</v>
      </c>
      <c r="AP531" t="s">
        <v>4241</v>
      </c>
      <c r="AQ531" t="s">
        <v>74</v>
      </c>
      <c r="AR531" t="s">
        <v>4242</v>
      </c>
      <c r="AS531" t="s">
        <v>4243</v>
      </c>
      <c r="AT531" t="s">
        <v>9001</v>
      </c>
      <c r="AU531">
        <v>2022</v>
      </c>
      <c r="AV531">
        <v>20</v>
      </c>
      <c r="AW531">
        <v>12</v>
      </c>
      <c r="AX531" t="s">
        <v>74</v>
      </c>
      <c r="AY531" t="s">
        <v>74</v>
      </c>
      <c r="AZ531" t="s">
        <v>74</v>
      </c>
      <c r="BA531" t="s">
        <v>74</v>
      </c>
      <c r="BB531" t="s">
        <v>74</v>
      </c>
      <c r="BC531" t="s">
        <v>74</v>
      </c>
      <c r="BD531" t="s">
        <v>10179</v>
      </c>
      <c r="BE531" t="s">
        <v>10180</v>
      </c>
      <c r="BF531" t="str">
        <f>HYPERLINK("http://dx.doi.org/10.1029/2022SW003320","http://dx.doi.org/10.1029/2022SW003320")</f>
        <v>http://dx.doi.org/10.1029/2022SW003320</v>
      </c>
      <c r="BG531" t="s">
        <v>74</v>
      </c>
      <c r="BH531" t="s">
        <v>74</v>
      </c>
      <c r="BI531">
        <v>20</v>
      </c>
      <c r="BJ531" t="s">
        <v>4246</v>
      </c>
      <c r="BK531" t="s">
        <v>104</v>
      </c>
      <c r="BL531" t="s">
        <v>4246</v>
      </c>
      <c r="BM531" t="s">
        <v>10181</v>
      </c>
      <c r="BN531" t="s">
        <v>74</v>
      </c>
      <c r="BO531" t="s">
        <v>1727</v>
      </c>
      <c r="BP531" t="s">
        <v>74</v>
      </c>
      <c r="BQ531" t="s">
        <v>74</v>
      </c>
      <c r="BR531" t="s">
        <v>108</v>
      </c>
      <c r="BS531" t="s">
        <v>10182</v>
      </c>
      <c r="BT531" t="str">
        <f>HYPERLINK("https%3A%2F%2Fwww.webofscience.com%2Fwos%2Fwoscc%2Ffull-record%2FWOS:000924513100001","View Full Record in Web of Science")</f>
        <v>View Full Record in Web of Science</v>
      </c>
    </row>
    <row r="532" spans="1:72" x14ac:dyDescent="0.15">
      <c r="A532" t="s">
        <v>72</v>
      </c>
      <c r="B532" t="s">
        <v>10183</v>
      </c>
      <c r="C532" t="s">
        <v>74</v>
      </c>
      <c r="D532" t="s">
        <v>74</v>
      </c>
      <c r="E532" t="s">
        <v>74</v>
      </c>
      <c r="F532" t="s">
        <v>10184</v>
      </c>
      <c r="G532" t="s">
        <v>74</v>
      </c>
      <c r="H532" t="s">
        <v>74</v>
      </c>
      <c r="I532" t="s">
        <v>10185</v>
      </c>
      <c r="J532" t="s">
        <v>10186</v>
      </c>
      <c r="K532" t="s">
        <v>74</v>
      </c>
      <c r="L532" t="s">
        <v>74</v>
      </c>
      <c r="M532" t="s">
        <v>78</v>
      </c>
      <c r="N532" t="s">
        <v>79</v>
      </c>
      <c r="O532" t="s">
        <v>74</v>
      </c>
      <c r="P532" t="s">
        <v>74</v>
      </c>
      <c r="Q532" t="s">
        <v>74</v>
      </c>
      <c r="R532" t="s">
        <v>74</v>
      </c>
      <c r="S532" t="s">
        <v>74</v>
      </c>
      <c r="T532" t="s">
        <v>74</v>
      </c>
      <c r="U532" t="s">
        <v>10187</v>
      </c>
      <c r="V532" t="s">
        <v>10188</v>
      </c>
      <c r="W532" t="s">
        <v>10189</v>
      </c>
      <c r="X532" t="s">
        <v>10190</v>
      </c>
      <c r="Y532" t="s">
        <v>10191</v>
      </c>
      <c r="Z532" t="s">
        <v>10192</v>
      </c>
      <c r="AA532" t="s">
        <v>10193</v>
      </c>
      <c r="AB532" t="s">
        <v>10194</v>
      </c>
      <c r="AC532" t="s">
        <v>10195</v>
      </c>
      <c r="AD532" t="s">
        <v>10195</v>
      </c>
      <c r="AE532" t="s">
        <v>10196</v>
      </c>
      <c r="AF532" t="s">
        <v>74</v>
      </c>
      <c r="AG532">
        <v>82</v>
      </c>
      <c r="AH532">
        <v>1</v>
      </c>
      <c r="AI532">
        <v>2</v>
      </c>
      <c r="AJ532">
        <v>1</v>
      </c>
      <c r="AK532">
        <v>1</v>
      </c>
      <c r="AL532" t="s">
        <v>10197</v>
      </c>
      <c r="AM532" t="s">
        <v>10198</v>
      </c>
      <c r="AN532" t="s">
        <v>10199</v>
      </c>
      <c r="AO532" t="s">
        <v>10200</v>
      </c>
      <c r="AP532" t="s">
        <v>10201</v>
      </c>
      <c r="AQ532" t="s">
        <v>74</v>
      </c>
      <c r="AR532" t="s">
        <v>10202</v>
      </c>
      <c r="AS532" t="s">
        <v>10203</v>
      </c>
      <c r="AT532" t="s">
        <v>9001</v>
      </c>
      <c r="AU532">
        <v>2022</v>
      </c>
      <c r="AV532">
        <v>110</v>
      </c>
      <c r="AW532">
        <v>4</v>
      </c>
      <c r="AX532" t="s">
        <v>74</v>
      </c>
      <c r="AY532" t="s">
        <v>74</v>
      </c>
      <c r="AZ532" t="s">
        <v>74</v>
      </c>
      <c r="BA532" t="s">
        <v>74</v>
      </c>
      <c r="BB532">
        <v>662</v>
      </c>
      <c r="BC532">
        <v>674</v>
      </c>
      <c r="BD532" t="s">
        <v>74</v>
      </c>
      <c r="BE532" t="s">
        <v>10204</v>
      </c>
      <c r="BF532" t="str">
        <f>HYPERLINK("http://dx.doi.org/10.1643/i2021126","http://dx.doi.org/10.1643/i2021126")</f>
        <v>http://dx.doi.org/10.1643/i2021126</v>
      </c>
      <c r="BG532" t="s">
        <v>74</v>
      </c>
      <c r="BH532" t="s">
        <v>74</v>
      </c>
      <c r="BI532">
        <v>13</v>
      </c>
      <c r="BJ532" t="s">
        <v>2468</v>
      </c>
      <c r="BK532" t="s">
        <v>104</v>
      </c>
      <c r="BL532" t="s">
        <v>2468</v>
      </c>
      <c r="BM532" t="s">
        <v>10205</v>
      </c>
      <c r="BN532" t="s">
        <v>74</v>
      </c>
      <c r="BO532" t="s">
        <v>219</v>
      </c>
      <c r="BP532" t="s">
        <v>74</v>
      </c>
      <c r="BQ532" t="s">
        <v>74</v>
      </c>
      <c r="BR532" t="s">
        <v>108</v>
      </c>
      <c r="BS532" t="s">
        <v>10206</v>
      </c>
      <c r="BT532" t="str">
        <f>HYPERLINK("https%3A%2F%2Fwww.webofscience.com%2Fwos%2Fwoscc%2Ffull-record%2FWOS:000916946200002","View Full Record in Web of Science")</f>
        <v>View Full Record in Web of Science</v>
      </c>
    </row>
    <row r="533" spans="1:72" x14ac:dyDescent="0.15">
      <c r="A533" t="s">
        <v>72</v>
      </c>
      <c r="B533" t="s">
        <v>10207</v>
      </c>
      <c r="C533" t="s">
        <v>74</v>
      </c>
      <c r="D533" t="s">
        <v>74</v>
      </c>
      <c r="E533" t="s">
        <v>74</v>
      </c>
      <c r="F533" t="s">
        <v>10208</v>
      </c>
      <c r="G533" t="s">
        <v>74</v>
      </c>
      <c r="H533" t="s">
        <v>74</v>
      </c>
      <c r="I533" t="s">
        <v>10209</v>
      </c>
      <c r="J533" t="s">
        <v>10210</v>
      </c>
      <c r="K533" t="s">
        <v>74</v>
      </c>
      <c r="L533" t="s">
        <v>74</v>
      </c>
      <c r="M533" t="s">
        <v>78</v>
      </c>
      <c r="N533" t="s">
        <v>79</v>
      </c>
      <c r="O533" t="s">
        <v>74</v>
      </c>
      <c r="P533" t="s">
        <v>74</v>
      </c>
      <c r="Q533" t="s">
        <v>74</v>
      </c>
      <c r="R533" t="s">
        <v>74</v>
      </c>
      <c r="S533" t="s">
        <v>74</v>
      </c>
      <c r="T533" t="s">
        <v>10211</v>
      </c>
      <c r="U533" t="s">
        <v>10212</v>
      </c>
      <c r="V533" t="s">
        <v>10213</v>
      </c>
      <c r="W533" t="s">
        <v>10214</v>
      </c>
      <c r="X533" t="s">
        <v>10215</v>
      </c>
      <c r="Y533" t="s">
        <v>10216</v>
      </c>
      <c r="Z533" t="s">
        <v>10217</v>
      </c>
      <c r="AA533" t="s">
        <v>10218</v>
      </c>
      <c r="AB533" t="s">
        <v>10219</v>
      </c>
      <c r="AC533" t="s">
        <v>10220</v>
      </c>
      <c r="AD533" t="s">
        <v>9766</v>
      </c>
      <c r="AE533" t="s">
        <v>10221</v>
      </c>
      <c r="AF533" t="s">
        <v>74</v>
      </c>
      <c r="AG533">
        <v>37</v>
      </c>
      <c r="AH533">
        <v>1</v>
      </c>
      <c r="AI533">
        <v>1</v>
      </c>
      <c r="AJ533">
        <v>1</v>
      </c>
      <c r="AK533">
        <v>5</v>
      </c>
      <c r="AL533" t="s">
        <v>4200</v>
      </c>
      <c r="AM533" t="s">
        <v>93</v>
      </c>
      <c r="AN533" t="s">
        <v>4201</v>
      </c>
      <c r="AO533" t="s">
        <v>10222</v>
      </c>
      <c r="AP533" t="s">
        <v>10223</v>
      </c>
      <c r="AQ533" t="s">
        <v>74</v>
      </c>
      <c r="AR533" t="s">
        <v>10224</v>
      </c>
      <c r="AS533" t="s">
        <v>10225</v>
      </c>
      <c r="AT533" t="s">
        <v>9001</v>
      </c>
      <c r="AU533">
        <v>2022</v>
      </c>
      <c r="AV533">
        <v>49</v>
      </c>
      <c r="AW533" t="s">
        <v>9781</v>
      </c>
      <c r="AX533" t="s">
        <v>74</v>
      </c>
      <c r="AY533">
        <v>1</v>
      </c>
      <c r="AZ533" t="s">
        <v>74</v>
      </c>
      <c r="BA533" t="s">
        <v>74</v>
      </c>
      <c r="BB533" t="s">
        <v>10226</v>
      </c>
      <c r="BC533" t="s">
        <v>10227</v>
      </c>
      <c r="BD533" t="s">
        <v>74</v>
      </c>
      <c r="BE533" t="s">
        <v>10228</v>
      </c>
      <c r="BF533" t="str">
        <f>HYPERLINK("http://dx.doi.org/10.1134/S0097807822070041","http://dx.doi.org/10.1134/S0097807822070041")</f>
        <v>http://dx.doi.org/10.1134/S0097807822070041</v>
      </c>
      <c r="BG533" t="s">
        <v>74</v>
      </c>
      <c r="BH533" t="s">
        <v>74</v>
      </c>
      <c r="BI533">
        <v>18</v>
      </c>
      <c r="BJ533" t="s">
        <v>10229</v>
      </c>
      <c r="BK533" t="s">
        <v>104</v>
      </c>
      <c r="BL533" t="s">
        <v>10229</v>
      </c>
      <c r="BM533" t="s">
        <v>10230</v>
      </c>
      <c r="BN533" t="s">
        <v>74</v>
      </c>
      <c r="BO533" t="s">
        <v>74</v>
      </c>
      <c r="BP533" t="s">
        <v>74</v>
      </c>
      <c r="BQ533" t="s">
        <v>74</v>
      </c>
      <c r="BR533" t="s">
        <v>108</v>
      </c>
      <c r="BS533" t="s">
        <v>10231</v>
      </c>
      <c r="BT533" t="str">
        <f>HYPERLINK("https%3A%2F%2Fwww.webofscience.com%2Fwos%2Fwoscc%2Ffull-record%2FWOS:000921088800004","View Full Record in Web of Science")</f>
        <v>View Full Record in Web of Science</v>
      </c>
    </row>
    <row r="534" spans="1:72" x14ac:dyDescent="0.15">
      <c r="A534" t="s">
        <v>72</v>
      </c>
      <c r="B534" t="s">
        <v>10232</v>
      </c>
      <c r="C534" t="s">
        <v>74</v>
      </c>
      <c r="D534" t="s">
        <v>74</v>
      </c>
      <c r="E534" t="s">
        <v>74</v>
      </c>
      <c r="F534" t="s">
        <v>10233</v>
      </c>
      <c r="G534" t="s">
        <v>74</v>
      </c>
      <c r="H534" t="s">
        <v>74</v>
      </c>
      <c r="I534" t="s">
        <v>10234</v>
      </c>
      <c r="J534" t="s">
        <v>10210</v>
      </c>
      <c r="K534" t="s">
        <v>74</v>
      </c>
      <c r="L534" t="s">
        <v>74</v>
      </c>
      <c r="M534" t="s">
        <v>78</v>
      </c>
      <c r="N534" t="s">
        <v>79</v>
      </c>
      <c r="O534" t="s">
        <v>74</v>
      </c>
      <c r="P534" t="s">
        <v>74</v>
      </c>
      <c r="Q534" t="s">
        <v>74</v>
      </c>
      <c r="R534" t="s">
        <v>74</v>
      </c>
      <c r="S534" t="s">
        <v>74</v>
      </c>
      <c r="T534" t="s">
        <v>10235</v>
      </c>
      <c r="U534" t="s">
        <v>10236</v>
      </c>
      <c r="V534" t="s">
        <v>10237</v>
      </c>
      <c r="W534" t="s">
        <v>10238</v>
      </c>
      <c r="X534" t="s">
        <v>10239</v>
      </c>
      <c r="Y534" t="s">
        <v>10240</v>
      </c>
      <c r="Z534" t="s">
        <v>10241</v>
      </c>
      <c r="AA534" t="s">
        <v>10242</v>
      </c>
      <c r="AB534" t="s">
        <v>10243</v>
      </c>
      <c r="AC534" t="s">
        <v>74</v>
      </c>
      <c r="AD534" t="s">
        <v>74</v>
      </c>
      <c r="AE534" t="s">
        <v>74</v>
      </c>
      <c r="AF534" t="s">
        <v>74</v>
      </c>
      <c r="AG534">
        <v>32</v>
      </c>
      <c r="AH534">
        <v>0</v>
      </c>
      <c r="AI534">
        <v>0</v>
      </c>
      <c r="AJ534">
        <v>0</v>
      </c>
      <c r="AK534">
        <v>2</v>
      </c>
      <c r="AL534" t="s">
        <v>4200</v>
      </c>
      <c r="AM534" t="s">
        <v>93</v>
      </c>
      <c r="AN534" t="s">
        <v>4201</v>
      </c>
      <c r="AO534" t="s">
        <v>10222</v>
      </c>
      <c r="AP534" t="s">
        <v>10223</v>
      </c>
      <c r="AQ534" t="s">
        <v>74</v>
      </c>
      <c r="AR534" t="s">
        <v>10224</v>
      </c>
      <c r="AS534" t="s">
        <v>10225</v>
      </c>
      <c r="AT534" t="s">
        <v>9001</v>
      </c>
      <c r="AU534">
        <v>2022</v>
      </c>
      <c r="AV534">
        <v>49</v>
      </c>
      <c r="AW534" t="s">
        <v>9781</v>
      </c>
      <c r="AX534" t="s">
        <v>74</v>
      </c>
      <c r="AY534">
        <v>1</v>
      </c>
      <c r="AZ534" t="s">
        <v>74</v>
      </c>
      <c r="BA534" t="s">
        <v>74</v>
      </c>
      <c r="BB534" t="s">
        <v>10244</v>
      </c>
      <c r="BC534" t="s">
        <v>10245</v>
      </c>
      <c r="BD534" t="s">
        <v>74</v>
      </c>
      <c r="BE534" t="s">
        <v>10246</v>
      </c>
      <c r="BF534" t="str">
        <f>HYPERLINK("http://dx.doi.org/10.1134/S0097807822070090","http://dx.doi.org/10.1134/S0097807822070090")</f>
        <v>http://dx.doi.org/10.1134/S0097807822070090</v>
      </c>
      <c r="BG534" t="s">
        <v>74</v>
      </c>
      <c r="BH534" t="s">
        <v>74</v>
      </c>
      <c r="BI534">
        <v>11</v>
      </c>
      <c r="BJ534" t="s">
        <v>10229</v>
      </c>
      <c r="BK534" t="s">
        <v>104</v>
      </c>
      <c r="BL534" t="s">
        <v>10229</v>
      </c>
      <c r="BM534" t="s">
        <v>10230</v>
      </c>
      <c r="BN534" t="s">
        <v>74</v>
      </c>
      <c r="BO534" t="s">
        <v>74</v>
      </c>
      <c r="BP534" t="s">
        <v>74</v>
      </c>
      <c r="BQ534" t="s">
        <v>74</v>
      </c>
      <c r="BR534" t="s">
        <v>108</v>
      </c>
      <c r="BS534" t="s">
        <v>10247</v>
      </c>
      <c r="BT534" t="str">
        <f>HYPERLINK("https%3A%2F%2Fwww.webofscience.com%2Fwos%2Fwoscc%2Ffull-record%2FWOS:000921088800001","View Full Record in Web of Science")</f>
        <v>View Full Record in Web of Science</v>
      </c>
    </row>
    <row r="535" spans="1:72" x14ac:dyDescent="0.15">
      <c r="A535" t="s">
        <v>72</v>
      </c>
      <c r="B535" t="s">
        <v>10248</v>
      </c>
      <c r="C535" t="s">
        <v>74</v>
      </c>
      <c r="D535" t="s">
        <v>74</v>
      </c>
      <c r="E535" t="s">
        <v>74</v>
      </c>
      <c r="F535" t="s">
        <v>10249</v>
      </c>
      <c r="G535" t="s">
        <v>74</v>
      </c>
      <c r="H535" t="s">
        <v>74</v>
      </c>
      <c r="I535" t="s">
        <v>10250</v>
      </c>
      <c r="J535" t="s">
        <v>77</v>
      </c>
      <c r="K535" t="s">
        <v>74</v>
      </c>
      <c r="L535" t="s">
        <v>74</v>
      </c>
      <c r="M535" t="s">
        <v>78</v>
      </c>
      <c r="N535" t="s">
        <v>743</v>
      </c>
      <c r="O535" t="s">
        <v>74</v>
      </c>
      <c r="P535" t="s">
        <v>74</v>
      </c>
      <c r="Q535" t="s">
        <v>74</v>
      </c>
      <c r="R535" t="s">
        <v>74</v>
      </c>
      <c r="S535" t="s">
        <v>74</v>
      </c>
      <c r="T535" t="s">
        <v>74</v>
      </c>
      <c r="U535" t="s">
        <v>10251</v>
      </c>
      <c r="V535" t="s">
        <v>10252</v>
      </c>
      <c r="W535" t="s">
        <v>10253</v>
      </c>
      <c r="X535" t="s">
        <v>954</v>
      </c>
      <c r="Y535" t="s">
        <v>10254</v>
      </c>
      <c r="Z535" t="s">
        <v>9409</v>
      </c>
      <c r="AA535" t="s">
        <v>10255</v>
      </c>
      <c r="AB535" t="s">
        <v>10256</v>
      </c>
      <c r="AC535" t="s">
        <v>10257</v>
      </c>
      <c r="AD535" t="s">
        <v>10258</v>
      </c>
      <c r="AE535" t="s">
        <v>10259</v>
      </c>
      <c r="AF535" t="s">
        <v>74</v>
      </c>
      <c r="AG535">
        <v>28</v>
      </c>
      <c r="AH535">
        <v>4</v>
      </c>
      <c r="AI535">
        <v>4</v>
      </c>
      <c r="AJ535">
        <v>0</v>
      </c>
      <c r="AK535">
        <v>3</v>
      </c>
      <c r="AL535" t="s">
        <v>92</v>
      </c>
      <c r="AM535" t="s">
        <v>93</v>
      </c>
      <c r="AN535" t="s">
        <v>94</v>
      </c>
      <c r="AO535" t="s">
        <v>95</v>
      </c>
      <c r="AP535" t="s">
        <v>96</v>
      </c>
      <c r="AQ535" t="s">
        <v>74</v>
      </c>
      <c r="AR535" t="s">
        <v>97</v>
      </c>
      <c r="AS535" t="s">
        <v>98</v>
      </c>
      <c r="AT535" t="s">
        <v>9001</v>
      </c>
      <c r="AU535">
        <v>2022</v>
      </c>
      <c r="AV535">
        <v>34</v>
      </c>
      <c r="AW535">
        <v>6</v>
      </c>
      <c r="AX535" t="s">
        <v>74</v>
      </c>
      <c r="AY535" t="s">
        <v>74</v>
      </c>
      <c r="AZ535" t="s">
        <v>74</v>
      </c>
      <c r="BA535" t="s">
        <v>74</v>
      </c>
      <c r="BB535">
        <v>403</v>
      </c>
      <c r="BC535">
        <v>407</v>
      </c>
      <c r="BD535" t="s">
        <v>74</v>
      </c>
      <c r="BE535" t="s">
        <v>10260</v>
      </c>
      <c r="BF535" t="str">
        <f>HYPERLINK("http://dx.doi.org/10.1017/S095410202200044X","http://dx.doi.org/10.1017/S095410202200044X")</f>
        <v>http://dx.doi.org/10.1017/S095410202200044X</v>
      </c>
      <c r="BG535" t="s">
        <v>74</v>
      </c>
      <c r="BH535" t="s">
        <v>74</v>
      </c>
      <c r="BI535">
        <v>5</v>
      </c>
      <c r="BJ535" t="s">
        <v>103</v>
      </c>
      <c r="BK535" t="s">
        <v>104</v>
      </c>
      <c r="BL535" t="s">
        <v>105</v>
      </c>
      <c r="BM535" t="s">
        <v>9004</v>
      </c>
      <c r="BN535" t="s">
        <v>74</v>
      </c>
      <c r="BO535" t="s">
        <v>660</v>
      </c>
      <c r="BP535" t="s">
        <v>74</v>
      </c>
      <c r="BQ535" t="s">
        <v>74</v>
      </c>
      <c r="BR535" t="s">
        <v>108</v>
      </c>
      <c r="BS535" t="s">
        <v>10261</v>
      </c>
      <c r="BT535" t="str">
        <f>HYPERLINK("https%3A%2F%2Fwww.webofscience.com%2Fwos%2Fwoscc%2Ffull-record%2FWOS:000917214100001","View Full Record in Web of Science")</f>
        <v>View Full Record in Web of Science</v>
      </c>
    </row>
    <row r="536" spans="1:72" x14ac:dyDescent="0.15">
      <c r="A536" t="s">
        <v>72</v>
      </c>
      <c r="B536" t="s">
        <v>10262</v>
      </c>
      <c r="C536" t="s">
        <v>74</v>
      </c>
      <c r="D536" t="s">
        <v>74</v>
      </c>
      <c r="E536" t="s">
        <v>74</v>
      </c>
      <c r="F536" t="s">
        <v>10263</v>
      </c>
      <c r="G536" t="s">
        <v>74</v>
      </c>
      <c r="H536" t="s">
        <v>74</v>
      </c>
      <c r="I536" t="s">
        <v>10264</v>
      </c>
      <c r="J536" t="s">
        <v>77</v>
      </c>
      <c r="K536" t="s">
        <v>74</v>
      </c>
      <c r="L536" t="s">
        <v>74</v>
      </c>
      <c r="M536" t="s">
        <v>78</v>
      </c>
      <c r="N536" t="s">
        <v>79</v>
      </c>
      <c r="O536" t="s">
        <v>74</v>
      </c>
      <c r="P536" t="s">
        <v>74</v>
      </c>
      <c r="Q536" t="s">
        <v>74</v>
      </c>
      <c r="R536" t="s">
        <v>74</v>
      </c>
      <c r="S536" t="s">
        <v>74</v>
      </c>
      <c r="T536" t="s">
        <v>10265</v>
      </c>
      <c r="U536" t="s">
        <v>10266</v>
      </c>
      <c r="V536" t="s">
        <v>10267</v>
      </c>
      <c r="W536" t="s">
        <v>10268</v>
      </c>
      <c r="X536" t="s">
        <v>10269</v>
      </c>
      <c r="Y536" t="s">
        <v>10270</v>
      </c>
      <c r="Z536" t="s">
        <v>10271</v>
      </c>
      <c r="AA536" t="s">
        <v>10272</v>
      </c>
      <c r="AB536" t="s">
        <v>10273</v>
      </c>
      <c r="AC536" t="s">
        <v>74</v>
      </c>
      <c r="AD536" t="s">
        <v>74</v>
      </c>
      <c r="AE536" t="s">
        <v>74</v>
      </c>
      <c r="AF536" t="s">
        <v>74</v>
      </c>
      <c r="AG536">
        <v>73</v>
      </c>
      <c r="AH536">
        <v>1</v>
      </c>
      <c r="AI536">
        <v>1</v>
      </c>
      <c r="AJ536">
        <v>6</v>
      </c>
      <c r="AK536">
        <v>8</v>
      </c>
      <c r="AL536" t="s">
        <v>92</v>
      </c>
      <c r="AM536" t="s">
        <v>93</v>
      </c>
      <c r="AN536" t="s">
        <v>94</v>
      </c>
      <c r="AO536" t="s">
        <v>95</v>
      </c>
      <c r="AP536" t="s">
        <v>96</v>
      </c>
      <c r="AQ536" t="s">
        <v>74</v>
      </c>
      <c r="AR536" t="s">
        <v>97</v>
      </c>
      <c r="AS536" t="s">
        <v>98</v>
      </c>
      <c r="AT536" t="s">
        <v>9001</v>
      </c>
      <c r="AU536">
        <v>2022</v>
      </c>
      <c r="AV536">
        <v>34</v>
      </c>
      <c r="AW536">
        <v>6</v>
      </c>
      <c r="AX536" t="s">
        <v>74</v>
      </c>
      <c r="AY536" t="s">
        <v>74</v>
      </c>
      <c r="AZ536" t="s">
        <v>74</v>
      </c>
      <c r="BA536" t="s">
        <v>74</v>
      </c>
      <c r="BB536">
        <v>408</v>
      </c>
      <c r="BC536">
        <v>422</v>
      </c>
      <c r="BD536" t="s">
        <v>10274</v>
      </c>
      <c r="BE536" t="s">
        <v>10275</v>
      </c>
      <c r="BF536" t="str">
        <f>HYPERLINK("http://dx.doi.org/10.1017/S0954102022000360","http://dx.doi.org/10.1017/S0954102022000360")</f>
        <v>http://dx.doi.org/10.1017/S0954102022000360</v>
      </c>
      <c r="BG536" t="s">
        <v>74</v>
      </c>
      <c r="BH536" t="s">
        <v>74</v>
      </c>
      <c r="BI536">
        <v>15</v>
      </c>
      <c r="BJ536" t="s">
        <v>103</v>
      </c>
      <c r="BK536" t="s">
        <v>104</v>
      </c>
      <c r="BL536" t="s">
        <v>105</v>
      </c>
      <c r="BM536" t="s">
        <v>9004</v>
      </c>
      <c r="BN536" t="s">
        <v>74</v>
      </c>
      <c r="BO536" t="s">
        <v>219</v>
      </c>
      <c r="BP536" t="s">
        <v>74</v>
      </c>
      <c r="BQ536" t="s">
        <v>74</v>
      </c>
      <c r="BR536" t="s">
        <v>108</v>
      </c>
      <c r="BS536" t="s">
        <v>10276</v>
      </c>
      <c r="BT536" t="str">
        <f>HYPERLINK("https%3A%2F%2Fwww.webofscience.com%2Fwos%2Fwoscc%2Ffull-record%2FWOS:000917214100002","View Full Record in Web of Science")</f>
        <v>View Full Record in Web of Science</v>
      </c>
    </row>
    <row r="537" spans="1:72" x14ac:dyDescent="0.15">
      <c r="A537" t="s">
        <v>72</v>
      </c>
      <c r="B537" t="s">
        <v>10277</v>
      </c>
      <c r="C537" t="s">
        <v>74</v>
      </c>
      <c r="D537" t="s">
        <v>74</v>
      </c>
      <c r="E537" t="s">
        <v>74</v>
      </c>
      <c r="F537" t="s">
        <v>10278</v>
      </c>
      <c r="G537" t="s">
        <v>74</v>
      </c>
      <c r="H537" t="s">
        <v>74</v>
      </c>
      <c r="I537" t="s">
        <v>10279</v>
      </c>
      <c r="J537" t="s">
        <v>10280</v>
      </c>
      <c r="K537" t="s">
        <v>74</v>
      </c>
      <c r="L537" t="s">
        <v>74</v>
      </c>
      <c r="M537" t="s">
        <v>78</v>
      </c>
      <c r="N537" t="s">
        <v>79</v>
      </c>
      <c r="O537" t="s">
        <v>74</v>
      </c>
      <c r="P537" t="s">
        <v>74</v>
      </c>
      <c r="Q537" t="s">
        <v>74</v>
      </c>
      <c r="R537" t="s">
        <v>74</v>
      </c>
      <c r="S537" t="s">
        <v>74</v>
      </c>
      <c r="T537" t="s">
        <v>10281</v>
      </c>
      <c r="U537" t="s">
        <v>10282</v>
      </c>
      <c r="V537" t="s">
        <v>10283</v>
      </c>
      <c r="W537" t="s">
        <v>10284</v>
      </c>
      <c r="X537" t="s">
        <v>10285</v>
      </c>
      <c r="Y537" t="s">
        <v>10286</v>
      </c>
      <c r="Z537" t="s">
        <v>10287</v>
      </c>
      <c r="AA537" t="s">
        <v>10288</v>
      </c>
      <c r="AB537" t="s">
        <v>10289</v>
      </c>
      <c r="AC537" t="s">
        <v>10290</v>
      </c>
      <c r="AD537" t="s">
        <v>10291</v>
      </c>
      <c r="AE537" t="s">
        <v>10292</v>
      </c>
      <c r="AF537" t="s">
        <v>74</v>
      </c>
      <c r="AG537">
        <v>53</v>
      </c>
      <c r="AH537">
        <v>2</v>
      </c>
      <c r="AI537">
        <v>2</v>
      </c>
      <c r="AJ537">
        <v>5</v>
      </c>
      <c r="AK537">
        <v>12</v>
      </c>
      <c r="AL537" t="s">
        <v>4804</v>
      </c>
      <c r="AM537" t="s">
        <v>4805</v>
      </c>
      <c r="AN537" t="s">
        <v>4806</v>
      </c>
      <c r="AO537" t="s">
        <v>10293</v>
      </c>
      <c r="AP537" t="s">
        <v>10294</v>
      </c>
      <c r="AQ537" t="s">
        <v>74</v>
      </c>
      <c r="AR537" t="s">
        <v>10295</v>
      </c>
      <c r="AS537" t="s">
        <v>10296</v>
      </c>
      <c r="AT537" t="s">
        <v>9001</v>
      </c>
      <c r="AU537">
        <v>2022</v>
      </c>
      <c r="AV537">
        <v>35</v>
      </c>
      <c r="AW537">
        <v>23</v>
      </c>
      <c r="AX537" t="s">
        <v>74</v>
      </c>
      <c r="AY537" t="s">
        <v>74</v>
      </c>
      <c r="AZ537" t="s">
        <v>74</v>
      </c>
      <c r="BA537" t="s">
        <v>74</v>
      </c>
      <c r="BB537">
        <v>4139</v>
      </c>
      <c r="BC537">
        <v>4149</v>
      </c>
      <c r="BD537" t="s">
        <v>74</v>
      </c>
      <c r="BE537" t="s">
        <v>10297</v>
      </c>
      <c r="BF537" t="str">
        <f>HYPERLINK("http://dx.doi.org/10.1175/JCLI-D-22-0111.1","http://dx.doi.org/10.1175/JCLI-D-22-0111.1")</f>
        <v>http://dx.doi.org/10.1175/JCLI-D-22-0111.1</v>
      </c>
      <c r="BG537" t="s">
        <v>74</v>
      </c>
      <c r="BH537" t="s">
        <v>74</v>
      </c>
      <c r="BI537">
        <v>11</v>
      </c>
      <c r="BJ537" t="s">
        <v>532</v>
      </c>
      <c r="BK537" t="s">
        <v>104</v>
      </c>
      <c r="BL537" t="s">
        <v>532</v>
      </c>
      <c r="BM537" t="s">
        <v>10298</v>
      </c>
      <c r="BN537" t="s">
        <v>74</v>
      </c>
      <c r="BO537" t="s">
        <v>74</v>
      </c>
      <c r="BP537" t="s">
        <v>74</v>
      </c>
      <c r="BQ537" t="s">
        <v>74</v>
      </c>
      <c r="BR537" t="s">
        <v>108</v>
      </c>
      <c r="BS537" t="s">
        <v>10299</v>
      </c>
      <c r="BT537" t="str">
        <f>HYPERLINK("https%3A%2F%2Fwww.webofscience.com%2Fwos%2Fwoscc%2Ffull-record%2FWOS:000913386700012","View Full Record in Web of Science")</f>
        <v>View Full Record in Web of Science</v>
      </c>
    </row>
    <row r="538" spans="1:72" x14ac:dyDescent="0.15">
      <c r="A538" t="s">
        <v>72</v>
      </c>
      <c r="B538" t="s">
        <v>10300</v>
      </c>
      <c r="C538" t="s">
        <v>74</v>
      </c>
      <c r="D538" t="s">
        <v>74</v>
      </c>
      <c r="E538" t="s">
        <v>74</v>
      </c>
      <c r="F538" t="s">
        <v>10301</v>
      </c>
      <c r="G538" t="s">
        <v>74</v>
      </c>
      <c r="H538" t="s">
        <v>74</v>
      </c>
      <c r="I538" t="s">
        <v>10302</v>
      </c>
      <c r="J538" t="s">
        <v>10303</v>
      </c>
      <c r="K538" t="s">
        <v>74</v>
      </c>
      <c r="L538" t="s">
        <v>74</v>
      </c>
      <c r="M538" t="s">
        <v>78</v>
      </c>
      <c r="N538" t="s">
        <v>79</v>
      </c>
      <c r="O538" t="s">
        <v>74</v>
      </c>
      <c r="P538" t="s">
        <v>74</v>
      </c>
      <c r="Q538" t="s">
        <v>74</v>
      </c>
      <c r="R538" t="s">
        <v>74</v>
      </c>
      <c r="S538" t="s">
        <v>74</v>
      </c>
      <c r="T538" t="s">
        <v>10304</v>
      </c>
      <c r="U538" t="s">
        <v>10305</v>
      </c>
      <c r="V538" t="s">
        <v>10306</v>
      </c>
      <c r="W538" t="s">
        <v>10307</v>
      </c>
      <c r="X538" t="s">
        <v>10308</v>
      </c>
      <c r="Y538" t="s">
        <v>10309</v>
      </c>
      <c r="Z538" t="s">
        <v>10310</v>
      </c>
      <c r="AA538" t="s">
        <v>74</v>
      </c>
      <c r="AB538" t="s">
        <v>74</v>
      </c>
      <c r="AC538" t="s">
        <v>10311</v>
      </c>
      <c r="AD538" t="s">
        <v>10312</v>
      </c>
      <c r="AE538" t="s">
        <v>10313</v>
      </c>
      <c r="AF538" t="s">
        <v>74</v>
      </c>
      <c r="AG538">
        <v>113</v>
      </c>
      <c r="AH538">
        <v>1</v>
      </c>
      <c r="AI538">
        <v>1</v>
      </c>
      <c r="AJ538">
        <v>0</v>
      </c>
      <c r="AK538">
        <v>0</v>
      </c>
      <c r="AL538" t="s">
        <v>10314</v>
      </c>
      <c r="AM538" t="s">
        <v>10315</v>
      </c>
      <c r="AN538" t="s">
        <v>10316</v>
      </c>
      <c r="AO538" t="s">
        <v>10317</v>
      </c>
      <c r="AP538" t="s">
        <v>10318</v>
      </c>
      <c r="AQ538" t="s">
        <v>74</v>
      </c>
      <c r="AR538" t="s">
        <v>10303</v>
      </c>
      <c r="AS538" t="s">
        <v>10319</v>
      </c>
      <c r="AT538" t="s">
        <v>9001</v>
      </c>
      <c r="AU538">
        <v>2022</v>
      </c>
      <c r="AV538">
        <v>65</v>
      </c>
      <c r="AW538" t="s">
        <v>10320</v>
      </c>
      <c r="AX538" t="s">
        <v>74</v>
      </c>
      <c r="AY538" t="s">
        <v>74</v>
      </c>
      <c r="AZ538" t="s">
        <v>74</v>
      </c>
      <c r="BA538" t="s">
        <v>74</v>
      </c>
      <c r="BB538">
        <v>137</v>
      </c>
      <c r="BC538">
        <v>175</v>
      </c>
      <c r="BD538" t="s">
        <v>74</v>
      </c>
      <c r="BE538" t="s">
        <v>74</v>
      </c>
      <c r="BF538" t="s">
        <v>74</v>
      </c>
      <c r="BG538" t="s">
        <v>74</v>
      </c>
      <c r="BH538" t="s">
        <v>74</v>
      </c>
      <c r="BI538">
        <v>39</v>
      </c>
      <c r="BJ538" t="s">
        <v>2468</v>
      </c>
      <c r="BK538" t="s">
        <v>104</v>
      </c>
      <c r="BL538" t="s">
        <v>2468</v>
      </c>
      <c r="BM538" t="s">
        <v>10321</v>
      </c>
      <c r="BN538" t="s">
        <v>74</v>
      </c>
      <c r="BO538" t="s">
        <v>74</v>
      </c>
      <c r="BP538" t="s">
        <v>74</v>
      </c>
      <c r="BQ538" t="s">
        <v>74</v>
      </c>
      <c r="BR538" t="s">
        <v>108</v>
      </c>
      <c r="BS538" t="s">
        <v>10322</v>
      </c>
      <c r="BT538" t="str">
        <f>HYPERLINK("https%3A%2F%2Fwww.webofscience.com%2Fwos%2Fwoscc%2Ffull-record%2FWOS:000905482500009","View Full Record in Web of Science")</f>
        <v>View Full Record in Web of Science</v>
      </c>
    </row>
    <row r="539" spans="1:72" x14ac:dyDescent="0.15">
      <c r="A539" t="s">
        <v>72</v>
      </c>
      <c r="B539" t="s">
        <v>10323</v>
      </c>
      <c r="C539" t="s">
        <v>74</v>
      </c>
      <c r="D539" t="s">
        <v>74</v>
      </c>
      <c r="E539" t="s">
        <v>74</v>
      </c>
      <c r="F539" t="s">
        <v>10324</v>
      </c>
      <c r="G539" t="s">
        <v>74</v>
      </c>
      <c r="H539" t="s">
        <v>74</v>
      </c>
      <c r="I539" t="s">
        <v>10325</v>
      </c>
      <c r="J539" t="s">
        <v>9997</v>
      </c>
      <c r="K539" t="s">
        <v>74</v>
      </c>
      <c r="L539" t="s">
        <v>74</v>
      </c>
      <c r="M539" t="s">
        <v>78</v>
      </c>
      <c r="N539" t="s">
        <v>79</v>
      </c>
      <c r="O539" t="s">
        <v>74</v>
      </c>
      <c r="P539" t="s">
        <v>74</v>
      </c>
      <c r="Q539" t="s">
        <v>74</v>
      </c>
      <c r="R539" t="s">
        <v>74</v>
      </c>
      <c r="S539" t="s">
        <v>74</v>
      </c>
      <c r="T539" t="s">
        <v>10326</v>
      </c>
      <c r="U539" t="s">
        <v>10327</v>
      </c>
      <c r="V539" t="s">
        <v>10328</v>
      </c>
      <c r="W539" t="s">
        <v>10329</v>
      </c>
      <c r="X539" t="s">
        <v>10330</v>
      </c>
      <c r="Y539" t="s">
        <v>10331</v>
      </c>
      <c r="Z539" t="s">
        <v>10332</v>
      </c>
      <c r="AA539" t="s">
        <v>10333</v>
      </c>
      <c r="AB539" t="s">
        <v>74</v>
      </c>
      <c r="AC539" t="s">
        <v>74</v>
      </c>
      <c r="AD539" t="s">
        <v>74</v>
      </c>
      <c r="AE539" t="s">
        <v>74</v>
      </c>
      <c r="AF539" t="s">
        <v>74</v>
      </c>
      <c r="AG539">
        <v>24</v>
      </c>
      <c r="AH539">
        <v>1</v>
      </c>
      <c r="AI539">
        <v>1</v>
      </c>
      <c r="AJ539">
        <v>0</v>
      </c>
      <c r="AK539">
        <v>2</v>
      </c>
      <c r="AL539" t="s">
        <v>4452</v>
      </c>
      <c r="AM539" t="s">
        <v>93</v>
      </c>
      <c r="AN539" t="s">
        <v>4453</v>
      </c>
      <c r="AO539" t="s">
        <v>10005</v>
      </c>
      <c r="AP539" t="s">
        <v>10006</v>
      </c>
      <c r="AQ539" t="s">
        <v>74</v>
      </c>
      <c r="AR539" t="s">
        <v>10007</v>
      </c>
      <c r="AS539" t="s">
        <v>10008</v>
      </c>
      <c r="AT539" t="s">
        <v>9001</v>
      </c>
      <c r="AU539">
        <v>2022</v>
      </c>
      <c r="AV539">
        <v>49</v>
      </c>
      <c r="AW539">
        <v>8</v>
      </c>
      <c r="AX539" t="s">
        <v>74</v>
      </c>
      <c r="AY539" t="s">
        <v>74</v>
      </c>
      <c r="AZ539" t="s">
        <v>74</v>
      </c>
      <c r="BA539" t="s">
        <v>74</v>
      </c>
      <c r="BB539">
        <v>1244</v>
      </c>
      <c r="BC539">
        <v>1259</v>
      </c>
      <c r="BD539" t="s">
        <v>74</v>
      </c>
      <c r="BE539" t="s">
        <v>10334</v>
      </c>
      <c r="BF539" t="str">
        <f>HYPERLINK("http://dx.doi.org/10.1134/S1062359022080088","http://dx.doi.org/10.1134/S1062359022080088")</f>
        <v>http://dx.doi.org/10.1134/S1062359022080088</v>
      </c>
      <c r="BG539" t="s">
        <v>74</v>
      </c>
      <c r="BH539" t="s">
        <v>74</v>
      </c>
      <c r="BI539">
        <v>16</v>
      </c>
      <c r="BJ539" t="s">
        <v>3178</v>
      </c>
      <c r="BK539" t="s">
        <v>104</v>
      </c>
      <c r="BL539" t="s">
        <v>3179</v>
      </c>
      <c r="BM539" t="s">
        <v>10335</v>
      </c>
      <c r="BN539" t="s">
        <v>74</v>
      </c>
      <c r="BO539" t="s">
        <v>74</v>
      </c>
      <c r="BP539" t="s">
        <v>74</v>
      </c>
      <c r="BQ539" t="s">
        <v>74</v>
      </c>
      <c r="BR539" t="s">
        <v>108</v>
      </c>
      <c r="BS539" t="s">
        <v>10336</v>
      </c>
      <c r="BT539" t="str">
        <f>HYPERLINK("https%3A%2F%2Fwww.webofscience.com%2Fwos%2Fwoscc%2Ffull-record%2FWOS:000914791700021","View Full Record in Web of Science")</f>
        <v>View Full Record in Web of Science</v>
      </c>
    </row>
    <row r="540" spans="1:72" x14ac:dyDescent="0.15">
      <c r="A540" t="s">
        <v>72</v>
      </c>
      <c r="B540" t="s">
        <v>10337</v>
      </c>
      <c r="C540" t="s">
        <v>74</v>
      </c>
      <c r="D540" t="s">
        <v>74</v>
      </c>
      <c r="E540" t="s">
        <v>74</v>
      </c>
      <c r="F540" t="s">
        <v>10338</v>
      </c>
      <c r="G540" t="s">
        <v>74</v>
      </c>
      <c r="H540" t="s">
        <v>74</v>
      </c>
      <c r="I540" t="s">
        <v>10339</v>
      </c>
      <c r="J540" t="s">
        <v>10340</v>
      </c>
      <c r="K540" t="s">
        <v>74</v>
      </c>
      <c r="L540" t="s">
        <v>74</v>
      </c>
      <c r="M540" t="s">
        <v>78</v>
      </c>
      <c r="N540" t="s">
        <v>79</v>
      </c>
      <c r="O540" t="s">
        <v>74</v>
      </c>
      <c r="P540" t="s">
        <v>74</v>
      </c>
      <c r="Q540" t="s">
        <v>74</v>
      </c>
      <c r="R540" t="s">
        <v>74</v>
      </c>
      <c r="S540" t="s">
        <v>74</v>
      </c>
      <c r="T540" t="s">
        <v>10341</v>
      </c>
      <c r="U540" t="s">
        <v>10342</v>
      </c>
      <c r="V540" t="s">
        <v>10343</v>
      </c>
      <c r="W540" t="s">
        <v>10344</v>
      </c>
      <c r="X540" t="s">
        <v>10345</v>
      </c>
      <c r="Y540" t="s">
        <v>10346</v>
      </c>
      <c r="Z540" t="s">
        <v>10347</v>
      </c>
      <c r="AA540" t="s">
        <v>74</v>
      </c>
      <c r="AB540" t="s">
        <v>74</v>
      </c>
      <c r="AC540" t="s">
        <v>10348</v>
      </c>
      <c r="AD540" t="s">
        <v>10349</v>
      </c>
      <c r="AE540" t="s">
        <v>10350</v>
      </c>
      <c r="AF540" t="s">
        <v>74</v>
      </c>
      <c r="AG540">
        <v>48</v>
      </c>
      <c r="AH540">
        <v>0</v>
      </c>
      <c r="AI540">
        <v>0</v>
      </c>
      <c r="AJ540">
        <v>3</v>
      </c>
      <c r="AK540">
        <v>8</v>
      </c>
      <c r="AL540" t="s">
        <v>676</v>
      </c>
      <c r="AM540" t="s">
        <v>375</v>
      </c>
      <c r="AN540" t="s">
        <v>677</v>
      </c>
      <c r="AO540" t="s">
        <v>10351</v>
      </c>
      <c r="AP540" t="s">
        <v>10352</v>
      </c>
      <c r="AQ540" t="s">
        <v>74</v>
      </c>
      <c r="AR540" t="s">
        <v>10353</v>
      </c>
      <c r="AS540" t="s">
        <v>10354</v>
      </c>
      <c r="AT540" t="s">
        <v>276</v>
      </c>
      <c r="AU540">
        <v>2023</v>
      </c>
      <c r="AV540">
        <v>132</v>
      </c>
      <c r="AW540" t="s">
        <v>74</v>
      </c>
      <c r="AX540" t="s">
        <v>74</v>
      </c>
      <c r="AY540" t="s">
        <v>74</v>
      </c>
      <c r="AZ540" t="s">
        <v>74</v>
      </c>
      <c r="BA540" t="s">
        <v>74</v>
      </c>
      <c r="BB540" t="s">
        <v>74</v>
      </c>
      <c r="BC540" t="s">
        <v>74</v>
      </c>
      <c r="BD540">
        <v>108462</v>
      </c>
      <c r="BE540" t="s">
        <v>10355</v>
      </c>
      <c r="BF540" t="str">
        <f>HYPERLINK("http://dx.doi.org/10.1016/j.fsi.2022.108462","http://dx.doi.org/10.1016/j.fsi.2022.108462")</f>
        <v>http://dx.doi.org/10.1016/j.fsi.2022.108462</v>
      </c>
      <c r="BG540" t="s">
        <v>74</v>
      </c>
      <c r="BH540" t="s">
        <v>5796</v>
      </c>
      <c r="BI540">
        <v>9</v>
      </c>
      <c r="BJ540" t="s">
        <v>10356</v>
      </c>
      <c r="BK540" t="s">
        <v>104</v>
      </c>
      <c r="BL540" t="s">
        <v>10356</v>
      </c>
      <c r="BM540" t="s">
        <v>10357</v>
      </c>
      <c r="BN540">
        <v>36455779</v>
      </c>
      <c r="BO540" t="s">
        <v>74</v>
      </c>
      <c r="BP540" t="s">
        <v>74</v>
      </c>
      <c r="BQ540" t="s">
        <v>74</v>
      </c>
      <c r="BR540" t="s">
        <v>108</v>
      </c>
      <c r="BS540" t="s">
        <v>10358</v>
      </c>
      <c r="BT540" t="str">
        <f>HYPERLINK("https%3A%2F%2Fwww.webofscience.com%2Fwos%2Fwoscc%2Ffull-record%2FWOS:000913156100006","View Full Record in Web of Science")</f>
        <v>View Full Record in Web of Science</v>
      </c>
    </row>
    <row r="541" spans="1:72" x14ac:dyDescent="0.15">
      <c r="A541" t="s">
        <v>72</v>
      </c>
      <c r="B541" t="s">
        <v>10359</v>
      </c>
      <c r="C541" t="s">
        <v>74</v>
      </c>
      <c r="D541" t="s">
        <v>74</v>
      </c>
      <c r="E541" t="s">
        <v>74</v>
      </c>
      <c r="F541" t="s">
        <v>10360</v>
      </c>
      <c r="G541" t="s">
        <v>74</v>
      </c>
      <c r="H541" t="s">
        <v>74</v>
      </c>
      <c r="I541" t="s">
        <v>10361</v>
      </c>
      <c r="J541" t="s">
        <v>7670</v>
      </c>
      <c r="K541" t="s">
        <v>74</v>
      </c>
      <c r="L541" t="s">
        <v>74</v>
      </c>
      <c r="M541" t="s">
        <v>78</v>
      </c>
      <c r="N541" t="s">
        <v>79</v>
      </c>
      <c r="O541" t="s">
        <v>74</v>
      </c>
      <c r="P541" t="s">
        <v>74</v>
      </c>
      <c r="Q541" t="s">
        <v>74</v>
      </c>
      <c r="R541" t="s">
        <v>74</v>
      </c>
      <c r="S541" t="s">
        <v>74</v>
      </c>
      <c r="T541" t="s">
        <v>74</v>
      </c>
      <c r="U541" t="s">
        <v>10362</v>
      </c>
      <c r="V541" t="s">
        <v>10363</v>
      </c>
      <c r="W541" t="s">
        <v>10364</v>
      </c>
      <c r="X541" t="s">
        <v>10365</v>
      </c>
      <c r="Y541" t="s">
        <v>10366</v>
      </c>
      <c r="Z541" t="s">
        <v>10367</v>
      </c>
      <c r="AA541" t="s">
        <v>10368</v>
      </c>
      <c r="AB541" t="s">
        <v>10369</v>
      </c>
      <c r="AC541" t="s">
        <v>10370</v>
      </c>
      <c r="AD541" t="s">
        <v>10371</v>
      </c>
      <c r="AE541" t="s">
        <v>10372</v>
      </c>
      <c r="AF541" t="s">
        <v>74</v>
      </c>
      <c r="AG541">
        <v>34</v>
      </c>
      <c r="AH541">
        <v>0</v>
      </c>
      <c r="AI541">
        <v>1</v>
      </c>
      <c r="AJ541">
        <v>2</v>
      </c>
      <c r="AK541">
        <v>10</v>
      </c>
      <c r="AL541" t="s">
        <v>7679</v>
      </c>
      <c r="AM541" t="s">
        <v>7680</v>
      </c>
      <c r="AN541" t="s">
        <v>7681</v>
      </c>
      <c r="AO541" t="s">
        <v>7682</v>
      </c>
      <c r="AP541" t="s">
        <v>7683</v>
      </c>
      <c r="AQ541" t="s">
        <v>74</v>
      </c>
      <c r="AR541" t="s">
        <v>7670</v>
      </c>
      <c r="AS541" t="s">
        <v>456</v>
      </c>
      <c r="AT541" t="s">
        <v>9001</v>
      </c>
      <c r="AU541">
        <v>2022</v>
      </c>
      <c r="AV541">
        <v>50</v>
      </c>
      <c r="AW541">
        <v>12</v>
      </c>
      <c r="AX541" t="s">
        <v>74</v>
      </c>
      <c r="AY541" t="s">
        <v>74</v>
      </c>
      <c r="AZ541" t="s">
        <v>74</v>
      </c>
      <c r="BA541" t="s">
        <v>74</v>
      </c>
      <c r="BB541">
        <v>1403</v>
      </c>
      <c r="BC541">
        <v>1408</v>
      </c>
      <c r="BD541" t="s">
        <v>74</v>
      </c>
      <c r="BE541" t="s">
        <v>10373</v>
      </c>
      <c r="BF541" t="str">
        <f>HYPERLINK("http://dx.doi.org/10.1130/G50389.1","http://dx.doi.org/10.1130/G50389.1")</f>
        <v>http://dx.doi.org/10.1130/G50389.1</v>
      </c>
      <c r="BG541" t="s">
        <v>74</v>
      </c>
      <c r="BH541" t="s">
        <v>74</v>
      </c>
      <c r="BI541">
        <v>6</v>
      </c>
      <c r="BJ541" t="s">
        <v>456</v>
      </c>
      <c r="BK541" t="s">
        <v>104</v>
      </c>
      <c r="BL541" t="s">
        <v>456</v>
      </c>
      <c r="BM541" t="s">
        <v>10374</v>
      </c>
      <c r="BN541" t="s">
        <v>74</v>
      </c>
      <c r="BO541" t="s">
        <v>9294</v>
      </c>
      <c r="BP541" t="s">
        <v>74</v>
      </c>
      <c r="BQ541" t="s">
        <v>74</v>
      </c>
      <c r="BR541" t="s">
        <v>108</v>
      </c>
      <c r="BS541" t="s">
        <v>10375</v>
      </c>
      <c r="BT541" t="str">
        <f>HYPERLINK("https%3A%2F%2Fwww.webofscience.com%2Fwos%2Fwoscc%2Ffull-record%2FWOS:000911443000015","View Full Record in Web of Science")</f>
        <v>View Full Record in Web of Science</v>
      </c>
    </row>
    <row r="542" spans="1:72" x14ac:dyDescent="0.15">
      <c r="A542" t="s">
        <v>72</v>
      </c>
      <c r="B542" t="s">
        <v>10376</v>
      </c>
      <c r="C542" t="s">
        <v>74</v>
      </c>
      <c r="D542" t="s">
        <v>74</v>
      </c>
      <c r="E542" t="s">
        <v>74</v>
      </c>
      <c r="F542" t="s">
        <v>10377</v>
      </c>
      <c r="G542" t="s">
        <v>74</v>
      </c>
      <c r="H542" t="s">
        <v>74</v>
      </c>
      <c r="I542" t="s">
        <v>10378</v>
      </c>
      <c r="J542" t="s">
        <v>718</v>
      </c>
      <c r="K542" t="s">
        <v>74</v>
      </c>
      <c r="L542" t="s">
        <v>74</v>
      </c>
      <c r="M542" t="s">
        <v>78</v>
      </c>
      <c r="N542" t="s">
        <v>79</v>
      </c>
      <c r="O542" t="s">
        <v>74</v>
      </c>
      <c r="P542" t="s">
        <v>74</v>
      </c>
      <c r="Q542" t="s">
        <v>74</v>
      </c>
      <c r="R542" t="s">
        <v>74</v>
      </c>
      <c r="S542" t="s">
        <v>74</v>
      </c>
      <c r="T542" t="s">
        <v>74</v>
      </c>
      <c r="U542" t="s">
        <v>10379</v>
      </c>
      <c r="V542" t="s">
        <v>10380</v>
      </c>
      <c r="W542" t="s">
        <v>10381</v>
      </c>
      <c r="X542" t="s">
        <v>10382</v>
      </c>
      <c r="Y542" t="s">
        <v>10383</v>
      </c>
      <c r="Z542" t="s">
        <v>10384</v>
      </c>
      <c r="AA542" t="s">
        <v>10385</v>
      </c>
      <c r="AB542" t="s">
        <v>10386</v>
      </c>
      <c r="AC542" t="s">
        <v>10387</v>
      </c>
      <c r="AD542" t="s">
        <v>10388</v>
      </c>
      <c r="AE542" t="s">
        <v>10389</v>
      </c>
      <c r="AF542" t="s">
        <v>74</v>
      </c>
      <c r="AG542">
        <v>77</v>
      </c>
      <c r="AH542">
        <v>10</v>
      </c>
      <c r="AI542">
        <v>10</v>
      </c>
      <c r="AJ542">
        <v>7</v>
      </c>
      <c r="AK542">
        <v>38</v>
      </c>
      <c r="AL542" t="s">
        <v>126</v>
      </c>
      <c r="AM542" t="s">
        <v>127</v>
      </c>
      <c r="AN542" t="s">
        <v>128</v>
      </c>
      <c r="AO542" t="s">
        <v>730</v>
      </c>
      <c r="AP542" t="s">
        <v>731</v>
      </c>
      <c r="AQ542" t="s">
        <v>74</v>
      </c>
      <c r="AR542" t="s">
        <v>718</v>
      </c>
      <c r="AS542" t="s">
        <v>732</v>
      </c>
      <c r="AT542" t="s">
        <v>9839</v>
      </c>
      <c r="AU542">
        <v>2022</v>
      </c>
      <c r="AV542">
        <v>19</v>
      </c>
      <c r="AW542">
        <v>23</v>
      </c>
      <c r="AX542" t="s">
        <v>74</v>
      </c>
      <c r="AY542" t="s">
        <v>74</v>
      </c>
      <c r="AZ542" t="s">
        <v>74</v>
      </c>
      <c r="BA542" t="s">
        <v>74</v>
      </c>
      <c r="BB542">
        <v>5375</v>
      </c>
      <c r="BC542">
        <v>5399</v>
      </c>
      <c r="BD542" t="s">
        <v>74</v>
      </c>
      <c r="BE542" t="s">
        <v>10390</v>
      </c>
      <c r="BF542" t="str">
        <f>HYPERLINK("http://dx.doi.org/10.5194/bg-19-5375-2022","http://dx.doi.org/10.5194/bg-19-5375-2022")</f>
        <v>http://dx.doi.org/10.5194/bg-19-5375-2022</v>
      </c>
      <c r="BG542" t="s">
        <v>74</v>
      </c>
      <c r="BH542" t="s">
        <v>74</v>
      </c>
      <c r="BI542">
        <v>25</v>
      </c>
      <c r="BJ542" t="s">
        <v>734</v>
      </c>
      <c r="BK542" t="s">
        <v>104</v>
      </c>
      <c r="BL542" t="s">
        <v>735</v>
      </c>
      <c r="BM542" t="s">
        <v>10391</v>
      </c>
      <c r="BN542" t="s">
        <v>74</v>
      </c>
      <c r="BO542" t="s">
        <v>737</v>
      </c>
      <c r="BP542" t="s">
        <v>74</v>
      </c>
      <c r="BQ542" t="s">
        <v>74</v>
      </c>
      <c r="BR542" t="s">
        <v>108</v>
      </c>
      <c r="BS542" t="s">
        <v>10392</v>
      </c>
      <c r="BT542" t="str">
        <f>HYPERLINK("https%3A%2F%2Fwww.webofscience.com%2Fwos%2Fwoscc%2Ffull-record%2FWOS:000912518300001","View Full Record in Web of Science")</f>
        <v>View Full Record in Web of Science</v>
      </c>
    </row>
    <row r="543" spans="1:72" x14ac:dyDescent="0.15">
      <c r="A543" t="s">
        <v>72</v>
      </c>
      <c r="B543" t="s">
        <v>10393</v>
      </c>
      <c r="C543" t="s">
        <v>74</v>
      </c>
      <c r="D543" t="s">
        <v>74</v>
      </c>
      <c r="E543" t="s">
        <v>74</v>
      </c>
      <c r="F543" t="s">
        <v>10394</v>
      </c>
      <c r="G543" t="s">
        <v>74</v>
      </c>
      <c r="H543" t="s">
        <v>74</v>
      </c>
      <c r="I543" t="s">
        <v>10395</v>
      </c>
      <c r="J543" t="s">
        <v>10396</v>
      </c>
      <c r="K543" t="s">
        <v>74</v>
      </c>
      <c r="L543" t="s">
        <v>74</v>
      </c>
      <c r="M543" t="s">
        <v>78</v>
      </c>
      <c r="N543" t="s">
        <v>79</v>
      </c>
      <c r="O543" t="s">
        <v>74</v>
      </c>
      <c r="P543" t="s">
        <v>74</v>
      </c>
      <c r="Q543" t="s">
        <v>74</v>
      </c>
      <c r="R543" t="s">
        <v>74</v>
      </c>
      <c r="S543" t="s">
        <v>74</v>
      </c>
      <c r="T543" t="s">
        <v>10397</v>
      </c>
      <c r="U543" t="s">
        <v>10398</v>
      </c>
      <c r="V543" t="s">
        <v>10399</v>
      </c>
      <c r="W543" t="s">
        <v>10400</v>
      </c>
      <c r="X543" t="s">
        <v>10401</v>
      </c>
      <c r="Y543" t="s">
        <v>10402</v>
      </c>
      <c r="Z543" t="s">
        <v>10403</v>
      </c>
      <c r="AA543" t="s">
        <v>10404</v>
      </c>
      <c r="AB543" t="s">
        <v>10405</v>
      </c>
      <c r="AC543" t="s">
        <v>10406</v>
      </c>
      <c r="AD543" t="s">
        <v>10407</v>
      </c>
      <c r="AE543" t="s">
        <v>10408</v>
      </c>
      <c r="AF543" t="s">
        <v>74</v>
      </c>
      <c r="AG543">
        <v>82</v>
      </c>
      <c r="AH543">
        <v>0</v>
      </c>
      <c r="AI543">
        <v>0</v>
      </c>
      <c r="AJ543">
        <v>7</v>
      </c>
      <c r="AK543">
        <v>14</v>
      </c>
      <c r="AL543" t="s">
        <v>4452</v>
      </c>
      <c r="AM543" t="s">
        <v>93</v>
      </c>
      <c r="AN543" t="s">
        <v>4453</v>
      </c>
      <c r="AO543" t="s">
        <v>10409</v>
      </c>
      <c r="AP543" t="s">
        <v>10410</v>
      </c>
      <c r="AQ543" t="s">
        <v>74</v>
      </c>
      <c r="AR543" t="s">
        <v>10411</v>
      </c>
      <c r="AS543" t="s">
        <v>10412</v>
      </c>
      <c r="AT543" t="s">
        <v>9001</v>
      </c>
      <c r="AU543">
        <v>2022</v>
      </c>
      <c r="AV543">
        <v>62</v>
      </c>
      <c r="AW543">
        <v>6</v>
      </c>
      <c r="AX543" t="s">
        <v>74</v>
      </c>
      <c r="AY543" t="s">
        <v>74</v>
      </c>
      <c r="AZ543" t="s">
        <v>74</v>
      </c>
      <c r="BA543" t="s">
        <v>74</v>
      </c>
      <c r="BB543">
        <v>1137</v>
      </c>
      <c r="BC543">
        <v>1148</v>
      </c>
      <c r="BD543" t="s">
        <v>74</v>
      </c>
      <c r="BE543" t="s">
        <v>10413</v>
      </c>
      <c r="BF543" t="str">
        <f>HYPERLINK("http://dx.doi.org/10.1134/S0032945222060194","http://dx.doi.org/10.1134/S0032945222060194")</f>
        <v>http://dx.doi.org/10.1134/S0032945222060194</v>
      </c>
      <c r="BG543" t="s">
        <v>74</v>
      </c>
      <c r="BH543" t="s">
        <v>74</v>
      </c>
      <c r="BI543">
        <v>12</v>
      </c>
      <c r="BJ543" t="s">
        <v>10414</v>
      </c>
      <c r="BK543" t="s">
        <v>104</v>
      </c>
      <c r="BL543" t="s">
        <v>10414</v>
      </c>
      <c r="BM543" t="s">
        <v>10415</v>
      </c>
      <c r="BN543" t="s">
        <v>74</v>
      </c>
      <c r="BO543" t="s">
        <v>74</v>
      </c>
      <c r="BP543" t="s">
        <v>74</v>
      </c>
      <c r="BQ543" t="s">
        <v>74</v>
      </c>
      <c r="BR543" t="s">
        <v>108</v>
      </c>
      <c r="BS543" t="s">
        <v>10416</v>
      </c>
      <c r="BT543" t="str">
        <f>HYPERLINK("https%3A%2F%2Fwww.webofscience.com%2Fwos%2Fwoscc%2Ffull-record%2FWOS:000905699400011","View Full Record in Web of Science")</f>
        <v>View Full Record in Web of Science</v>
      </c>
    </row>
    <row r="544" spans="1:72" x14ac:dyDescent="0.15">
      <c r="A544" t="s">
        <v>72</v>
      </c>
      <c r="B544" t="s">
        <v>10417</v>
      </c>
      <c r="C544" t="s">
        <v>74</v>
      </c>
      <c r="D544" t="s">
        <v>74</v>
      </c>
      <c r="E544" t="s">
        <v>74</v>
      </c>
      <c r="F544" t="s">
        <v>10418</v>
      </c>
      <c r="G544" t="s">
        <v>74</v>
      </c>
      <c r="H544" t="s">
        <v>74</v>
      </c>
      <c r="I544" t="s">
        <v>10419</v>
      </c>
      <c r="J544" t="s">
        <v>10420</v>
      </c>
      <c r="K544" t="s">
        <v>74</v>
      </c>
      <c r="L544" t="s">
        <v>74</v>
      </c>
      <c r="M544" t="s">
        <v>78</v>
      </c>
      <c r="N544" t="s">
        <v>79</v>
      </c>
      <c r="O544" t="s">
        <v>74</v>
      </c>
      <c r="P544" t="s">
        <v>74</v>
      </c>
      <c r="Q544" t="s">
        <v>74</v>
      </c>
      <c r="R544" t="s">
        <v>74</v>
      </c>
      <c r="S544" t="s">
        <v>74</v>
      </c>
      <c r="T544" t="s">
        <v>10421</v>
      </c>
      <c r="U544" t="s">
        <v>10422</v>
      </c>
      <c r="V544" t="s">
        <v>10423</v>
      </c>
      <c r="W544" t="s">
        <v>10424</v>
      </c>
      <c r="X544" t="s">
        <v>10425</v>
      </c>
      <c r="Y544" t="s">
        <v>10426</v>
      </c>
      <c r="Z544" t="s">
        <v>10427</v>
      </c>
      <c r="AA544" t="s">
        <v>10428</v>
      </c>
      <c r="AB544" t="s">
        <v>74</v>
      </c>
      <c r="AC544" t="s">
        <v>10429</v>
      </c>
      <c r="AD544" t="s">
        <v>10429</v>
      </c>
      <c r="AE544" t="s">
        <v>10430</v>
      </c>
      <c r="AF544" t="s">
        <v>74</v>
      </c>
      <c r="AG544">
        <v>77</v>
      </c>
      <c r="AH544">
        <v>2</v>
      </c>
      <c r="AI544">
        <v>2</v>
      </c>
      <c r="AJ544">
        <v>6</v>
      </c>
      <c r="AK544">
        <v>20</v>
      </c>
      <c r="AL544" t="s">
        <v>269</v>
      </c>
      <c r="AM544" t="s">
        <v>270</v>
      </c>
      <c r="AN544" t="s">
        <v>271</v>
      </c>
      <c r="AO544" t="s">
        <v>10431</v>
      </c>
      <c r="AP544" t="s">
        <v>10432</v>
      </c>
      <c r="AQ544" t="s">
        <v>74</v>
      </c>
      <c r="AR544" t="s">
        <v>10420</v>
      </c>
      <c r="AS544" t="s">
        <v>10433</v>
      </c>
      <c r="AT544" t="s">
        <v>276</v>
      </c>
      <c r="AU544">
        <v>2023</v>
      </c>
      <c r="AV544">
        <v>162</v>
      </c>
      <c r="AW544">
        <v>2</v>
      </c>
      <c r="AX544" t="s">
        <v>74</v>
      </c>
      <c r="AY544" t="s">
        <v>74</v>
      </c>
      <c r="AZ544" t="s">
        <v>74</v>
      </c>
      <c r="BA544" t="s">
        <v>74</v>
      </c>
      <c r="BB544">
        <v>177</v>
      </c>
      <c r="BC544">
        <v>200</v>
      </c>
      <c r="BD544" t="s">
        <v>74</v>
      </c>
      <c r="BE544" t="s">
        <v>10434</v>
      </c>
      <c r="BF544" t="str">
        <f>HYPERLINK("http://dx.doi.org/10.1007/s10533-022-00997-7","http://dx.doi.org/10.1007/s10533-022-00997-7")</f>
        <v>http://dx.doi.org/10.1007/s10533-022-00997-7</v>
      </c>
      <c r="BG544" t="s">
        <v>74</v>
      </c>
      <c r="BH544" t="s">
        <v>5796</v>
      </c>
      <c r="BI544">
        <v>24</v>
      </c>
      <c r="BJ544" t="s">
        <v>10435</v>
      </c>
      <c r="BK544" t="s">
        <v>104</v>
      </c>
      <c r="BL544" t="s">
        <v>735</v>
      </c>
      <c r="BM544" t="s">
        <v>10436</v>
      </c>
      <c r="BN544" t="s">
        <v>74</v>
      </c>
      <c r="BO544" t="s">
        <v>5671</v>
      </c>
      <c r="BP544" t="s">
        <v>74</v>
      </c>
      <c r="BQ544" t="s">
        <v>74</v>
      </c>
      <c r="BR544" t="s">
        <v>108</v>
      </c>
      <c r="BS544" t="s">
        <v>10437</v>
      </c>
      <c r="BT544" t="str">
        <f>HYPERLINK("https%3A%2F%2Fwww.webofscience.com%2Fwos%2Fwoscc%2Ffull-record%2FWOS:000912625400001","View Full Record in Web of Science")</f>
        <v>View Full Record in Web of Science</v>
      </c>
    </row>
    <row r="545" spans="1:72" x14ac:dyDescent="0.15">
      <c r="A545" t="s">
        <v>72</v>
      </c>
      <c r="B545" t="s">
        <v>10438</v>
      </c>
      <c r="C545" t="s">
        <v>74</v>
      </c>
      <c r="D545" t="s">
        <v>74</v>
      </c>
      <c r="E545" t="s">
        <v>74</v>
      </c>
      <c r="F545" t="s">
        <v>10439</v>
      </c>
      <c r="G545" t="s">
        <v>74</v>
      </c>
      <c r="H545" t="s">
        <v>74</v>
      </c>
      <c r="I545" t="s">
        <v>10440</v>
      </c>
      <c r="J545" t="s">
        <v>10441</v>
      </c>
      <c r="K545" t="s">
        <v>74</v>
      </c>
      <c r="L545" t="s">
        <v>74</v>
      </c>
      <c r="M545" t="s">
        <v>3661</v>
      </c>
      <c r="N545" t="s">
        <v>79</v>
      </c>
      <c r="O545" t="s">
        <v>74</v>
      </c>
      <c r="P545" t="s">
        <v>74</v>
      </c>
      <c r="Q545" t="s">
        <v>74</v>
      </c>
      <c r="R545" t="s">
        <v>74</v>
      </c>
      <c r="S545" t="s">
        <v>74</v>
      </c>
      <c r="T545" t="s">
        <v>74</v>
      </c>
      <c r="U545" t="s">
        <v>74</v>
      </c>
      <c r="V545" t="s">
        <v>74</v>
      </c>
      <c r="W545" t="s">
        <v>74</v>
      </c>
      <c r="X545" t="s">
        <v>74</v>
      </c>
      <c r="Y545" t="s">
        <v>74</v>
      </c>
      <c r="Z545" t="s">
        <v>74</v>
      </c>
      <c r="AA545" t="s">
        <v>74</v>
      </c>
      <c r="AB545" t="s">
        <v>74</v>
      </c>
      <c r="AC545" t="s">
        <v>74</v>
      </c>
      <c r="AD545" t="s">
        <v>74</v>
      </c>
      <c r="AE545" t="s">
        <v>74</v>
      </c>
      <c r="AF545" t="s">
        <v>74</v>
      </c>
      <c r="AG545">
        <v>0</v>
      </c>
      <c r="AH545">
        <v>0</v>
      </c>
      <c r="AI545">
        <v>0</v>
      </c>
      <c r="AJ545">
        <v>0</v>
      </c>
      <c r="AK545">
        <v>0</v>
      </c>
      <c r="AL545" t="s">
        <v>10442</v>
      </c>
      <c r="AM545" t="s">
        <v>3665</v>
      </c>
      <c r="AN545" t="s">
        <v>10443</v>
      </c>
      <c r="AO545" t="s">
        <v>10444</v>
      </c>
      <c r="AP545" t="s">
        <v>74</v>
      </c>
      <c r="AQ545" t="s">
        <v>74</v>
      </c>
      <c r="AR545" t="s">
        <v>10441</v>
      </c>
      <c r="AS545" t="s">
        <v>10445</v>
      </c>
      <c r="AT545" t="s">
        <v>9001</v>
      </c>
      <c r="AU545">
        <v>2022</v>
      </c>
      <c r="AV545" t="s">
        <v>74</v>
      </c>
      <c r="AW545">
        <v>912</v>
      </c>
      <c r="AX545" t="s">
        <v>74</v>
      </c>
      <c r="AY545" t="s">
        <v>74</v>
      </c>
      <c r="AZ545" t="s">
        <v>74</v>
      </c>
      <c r="BA545" t="s">
        <v>74</v>
      </c>
      <c r="BB545">
        <v>28</v>
      </c>
      <c r="BC545">
        <v>29</v>
      </c>
      <c r="BD545" t="s">
        <v>74</v>
      </c>
      <c r="BE545" t="s">
        <v>74</v>
      </c>
      <c r="BF545" t="s">
        <v>74</v>
      </c>
      <c r="BG545" t="s">
        <v>74</v>
      </c>
      <c r="BH545" t="s">
        <v>74</v>
      </c>
      <c r="BI545">
        <v>2</v>
      </c>
      <c r="BJ545" t="s">
        <v>2132</v>
      </c>
      <c r="BK545" t="s">
        <v>2217</v>
      </c>
      <c r="BL545" t="s">
        <v>2132</v>
      </c>
      <c r="BM545" t="s">
        <v>10446</v>
      </c>
      <c r="BN545" t="s">
        <v>74</v>
      </c>
      <c r="BO545" t="s">
        <v>74</v>
      </c>
      <c r="BP545" t="s">
        <v>74</v>
      </c>
      <c r="BQ545" t="s">
        <v>74</v>
      </c>
      <c r="BR545" t="s">
        <v>108</v>
      </c>
      <c r="BS545" t="s">
        <v>10447</v>
      </c>
      <c r="BT545" t="str">
        <f>HYPERLINK("https%3A%2F%2Fwww.webofscience.com%2Fwos%2Fwoscc%2Ffull-record%2FWOS:000897003200014","View Full Record in Web of Science")</f>
        <v>View Full Record in Web of Science</v>
      </c>
    </row>
    <row r="546" spans="1:72" x14ac:dyDescent="0.15">
      <c r="A546" t="s">
        <v>72</v>
      </c>
      <c r="B546" t="s">
        <v>10448</v>
      </c>
      <c r="C546" t="s">
        <v>74</v>
      </c>
      <c r="D546" t="s">
        <v>74</v>
      </c>
      <c r="E546" t="s">
        <v>74</v>
      </c>
      <c r="F546" t="s">
        <v>10449</v>
      </c>
      <c r="G546" t="s">
        <v>74</v>
      </c>
      <c r="H546" t="s">
        <v>74</v>
      </c>
      <c r="I546" t="s">
        <v>10450</v>
      </c>
      <c r="J546" t="s">
        <v>10451</v>
      </c>
      <c r="K546" t="s">
        <v>74</v>
      </c>
      <c r="L546" t="s">
        <v>74</v>
      </c>
      <c r="M546" t="s">
        <v>78</v>
      </c>
      <c r="N546" t="s">
        <v>79</v>
      </c>
      <c r="O546" t="s">
        <v>74</v>
      </c>
      <c r="P546" t="s">
        <v>74</v>
      </c>
      <c r="Q546" t="s">
        <v>74</v>
      </c>
      <c r="R546" t="s">
        <v>74</v>
      </c>
      <c r="S546" t="s">
        <v>74</v>
      </c>
      <c r="T546" t="s">
        <v>10452</v>
      </c>
      <c r="U546" t="s">
        <v>10453</v>
      </c>
      <c r="V546" t="s">
        <v>10454</v>
      </c>
      <c r="W546" t="s">
        <v>10455</v>
      </c>
      <c r="X546" t="s">
        <v>10456</v>
      </c>
      <c r="Y546" t="s">
        <v>10457</v>
      </c>
      <c r="Z546" t="s">
        <v>10458</v>
      </c>
      <c r="AA546" t="s">
        <v>10459</v>
      </c>
      <c r="AB546" t="s">
        <v>10460</v>
      </c>
      <c r="AC546" t="s">
        <v>10461</v>
      </c>
      <c r="AD546" t="s">
        <v>10462</v>
      </c>
      <c r="AE546" t="s">
        <v>10463</v>
      </c>
      <c r="AF546" t="s">
        <v>74</v>
      </c>
      <c r="AG546">
        <v>47</v>
      </c>
      <c r="AH546">
        <v>1</v>
      </c>
      <c r="AI546">
        <v>1</v>
      </c>
      <c r="AJ546">
        <v>1</v>
      </c>
      <c r="AK546">
        <v>4</v>
      </c>
      <c r="AL546" t="s">
        <v>1791</v>
      </c>
      <c r="AM546" t="s">
        <v>576</v>
      </c>
      <c r="AN546" t="s">
        <v>1792</v>
      </c>
      <c r="AO546" t="s">
        <v>10464</v>
      </c>
      <c r="AP546" t="s">
        <v>10465</v>
      </c>
      <c r="AQ546" t="s">
        <v>74</v>
      </c>
      <c r="AR546" t="s">
        <v>10466</v>
      </c>
      <c r="AS546" t="s">
        <v>10467</v>
      </c>
      <c r="AT546" t="s">
        <v>9001</v>
      </c>
      <c r="AU546">
        <v>2022</v>
      </c>
      <c r="AV546">
        <v>127</v>
      </c>
      <c r="AW546">
        <v>12</v>
      </c>
      <c r="AX546" t="s">
        <v>74</v>
      </c>
      <c r="AY546" t="s">
        <v>74</v>
      </c>
      <c r="AZ546" t="s">
        <v>74</v>
      </c>
      <c r="BA546" t="s">
        <v>74</v>
      </c>
      <c r="BB546" t="s">
        <v>74</v>
      </c>
      <c r="BC546" t="s">
        <v>74</v>
      </c>
      <c r="BD546" t="s">
        <v>74</v>
      </c>
      <c r="BE546" t="s">
        <v>10468</v>
      </c>
      <c r="BF546" t="str">
        <f>HYPERLINK("http://dx.doi.org/10.1029/2022JE007215","http://dx.doi.org/10.1029/2022JE007215")</f>
        <v>http://dx.doi.org/10.1029/2022JE007215</v>
      </c>
      <c r="BG546" t="s">
        <v>74</v>
      </c>
      <c r="BH546" t="s">
        <v>74</v>
      </c>
      <c r="BI546">
        <v>17</v>
      </c>
      <c r="BJ546" t="s">
        <v>430</v>
      </c>
      <c r="BK546" t="s">
        <v>104</v>
      </c>
      <c r="BL546" t="s">
        <v>430</v>
      </c>
      <c r="BM546" t="s">
        <v>10469</v>
      </c>
      <c r="BN546" t="s">
        <v>74</v>
      </c>
      <c r="BO546" t="s">
        <v>219</v>
      </c>
      <c r="BP546" t="s">
        <v>74</v>
      </c>
      <c r="BQ546" t="s">
        <v>74</v>
      </c>
      <c r="BR546" t="s">
        <v>108</v>
      </c>
      <c r="BS546" t="s">
        <v>10470</v>
      </c>
      <c r="BT546" t="str">
        <f>HYPERLINK("https%3A%2F%2Fwww.webofscience.com%2Fwos%2Fwoscc%2Ffull-record%2FWOS:000908346300024","View Full Record in Web of Science")</f>
        <v>View Full Record in Web of Science</v>
      </c>
    </row>
    <row r="547" spans="1:72" x14ac:dyDescent="0.15">
      <c r="A547" t="s">
        <v>72</v>
      </c>
      <c r="B547" t="s">
        <v>10471</v>
      </c>
      <c r="C547" t="s">
        <v>74</v>
      </c>
      <c r="D547" t="s">
        <v>74</v>
      </c>
      <c r="E547" t="s">
        <v>74</v>
      </c>
      <c r="F547" t="s">
        <v>10472</v>
      </c>
      <c r="G547" t="s">
        <v>74</v>
      </c>
      <c r="H547" t="s">
        <v>74</v>
      </c>
      <c r="I547" t="s">
        <v>10473</v>
      </c>
      <c r="J547" t="s">
        <v>10474</v>
      </c>
      <c r="K547" t="s">
        <v>74</v>
      </c>
      <c r="L547" t="s">
        <v>74</v>
      </c>
      <c r="M547" t="s">
        <v>78</v>
      </c>
      <c r="N547" t="s">
        <v>79</v>
      </c>
      <c r="O547" t="s">
        <v>74</v>
      </c>
      <c r="P547" t="s">
        <v>74</v>
      </c>
      <c r="Q547" t="s">
        <v>74</v>
      </c>
      <c r="R547" t="s">
        <v>74</v>
      </c>
      <c r="S547" t="s">
        <v>74</v>
      </c>
      <c r="T547" t="s">
        <v>10475</v>
      </c>
      <c r="U547" t="s">
        <v>10476</v>
      </c>
      <c r="V547" t="s">
        <v>10477</v>
      </c>
      <c r="W547" t="s">
        <v>10478</v>
      </c>
      <c r="X547" t="s">
        <v>10479</v>
      </c>
      <c r="Y547" t="s">
        <v>10480</v>
      </c>
      <c r="Z547" t="s">
        <v>10481</v>
      </c>
      <c r="AA547" t="s">
        <v>10482</v>
      </c>
      <c r="AB547" t="s">
        <v>10483</v>
      </c>
      <c r="AC547" t="s">
        <v>10484</v>
      </c>
      <c r="AD547" t="s">
        <v>10485</v>
      </c>
      <c r="AE547" t="s">
        <v>10486</v>
      </c>
      <c r="AF547" t="s">
        <v>74</v>
      </c>
      <c r="AG547">
        <v>101</v>
      </c>
      <c r="AH547">
        <v>0</v>
      </c>
      <c r="AI547">
        <v>0</v>
      </c>
      <c r="AJ547">
        <v>2</v>
      </c>
      <c r="AK547">
        <v>10</v>
      </c>
      <c r="AL547" t="s">
        <v>8762</v>
      </c>
      <c r="AM547" t="s">
        <v>2564</v>
      </c>
      <c r="AN547" t="s">
        <v>8763</v>
      </c>
      <c r="AO547" t="s">
        <v>10487</v>
      </c>
      <c r="AP547" t="s">
        <v>10488</v>
      </c>
      <c r="AQ547" t="s">
        <v>74</v>
      </c>
      <c r="AR547" t="s">
        <v>10489</v>
      </c>
      <c r="AS547" t="s">
        <v>10490</v>
      </c>
      <c r="AT547" t="s">
        <v>609</v>
      </c>
      <c r="AU547">
        <v>2023</v>
      </c>
      <c r="AV547">
        <v>332</v>
      </c>
      <c r="AW547" t="s">
        <v>74</v>
      </c>
      <c r="AX547" t="s">
        <v>74</v>
      </c>
      <c r="AY547" t="s">
        <v>74</v>
      </c>
      <c r="AZ547" t="s">
        <v>74</v>
      </c>
      <c r="BA547" t="s">
        <v>74</v>
      </c>
      <c r="BB547" t="s">
        <v>74</v>
      </c>
      <c r="BC547" t="s">
        <v>74</v>
      </c>
      <c r="BD547">
        <v>114183</v>
      </c>
      <c r="BE547" t="s">
        <v>10491</v>
      </c>
      <c r="BF547" t="str">
        <f>HYPERLINK("http://dx.doi.org/10.1016/j.ygcen.2022.114183","http://dx.doi.org/10.1016/j.ygcen.2022.114183")</f>
        <v>http://dx.doi.org/10.1016/j.ygcen.2022.114183</v>
      </c>
      <c r="BG547" t="s">
        <v>74</v>
      </c>
      <c r="BH547" t="s">
        <v>5796</v>
      </c>
      <c r="BI547">
        <v>13</v>
      </c>
      <c r="BJ547" t="s">
        <v>10492</v>
      </c>
      <c r="BK547" t="s">
        <v>104</v>
      </c>
      <c r="BL547" t="s">
        <v>10492</v>
      </c>
      <c r="BM547" t="s">
        <v>10493</v>
      </c>
      <c r="BN547">
        <v>36471526</v>
      </c>
      <c r="BO547" t="s">
        <v>74</v>
      </c>
      <c r="BP547" t="s">
        <v>74</v>
      </c>
      <c r="BQ547" t="s">
        <v>74</v>
      </c>
      <c r="BR547" t="s">
        <v>108</v>
      </c>
      <c r="BS547" t="s">
        <v>10494</v>
      </c>
      <c r="BT547" t="str">
        <f>HYPERLINK("https%3A%2F%2Fwww.webofscience.com%2Fwos%2Fwoscc%2Ffull-record%2FWOS:000906877700003","View Full Record in Web of Science")</f>
        <v>View Full Record in Web of Science</v>
      </c>
    </row>
    <row r="548" spans="1:72" x14ac:dyDescent="0.15">
      <c r="A548" t="s">
        <v>72</v>
      </c>
      <c r="B548" t="s">
        <v>10495</v>
      </c>
      <c r="C548" t="s">
        <v>74</v>
      </c>
      <c r="D548" t="s">
        <v>74</v>
      </c>
      <c r="E548" t="s">
        <v>74</v>
      </c>
      <c r="F548" t="s">
        <v>10496</v>
      </c>
      <c r="G548" t="s">
        <v>74</v>
      </c>
      <c r="H548" t="s">
        <v>74</v>
      </c>
      <c r="I548" t="s">
        <v>10497</v>
      </c>
      <c r="J548" t="s">
        <v>10498</v>
      </c>
      <c r="K548" t="s">
        <v>74</v>
      </c>
      <c r="L548" t="s">
        <v>74</v>
      </c>
      <c r="M548" t="s">
        <v>78</v>
      </c>
      <c r="N548" t="s">
        <v>79</v>
      </c>
      <c r="O548" t="s">
        <v>74</v>
      </c>
      <c r="P548" t="s">
        <v>74</v>
      </c>
      <c r="Q548" t="s">
        <v>74</v>
      </c>
      <c r="R548" t="s">
        <v>74</v>
      </c>
      <c r="S548" t="s">
        <v>74</v>
      </c>
      <c r="T548" t="s">
        <v>10499</v>
      </c>
      <c r="U548" t="s">
        <v>10500</v>
      </c>
      <c r="V548" t="s">
        <v>10501</v>
      </c>
      <c r="W548" t="s">
        <v>10502</v>
      </c>
      <c r="X548" t="s">
        <v>10503</v>
      </c>
      <c r="Y548" t="s">
        <v>10504</v>
      </c>
      <c r="Z548" t="s">
        <v>10505</v>
      </c>
      <c r="AA548" t="s">
        <v>10506</v>
      </c>
      <c r="AB548" t="s">
        <v>10507</v>
      </c>
      <c r="AC548" t="s">
        <v>10508</v>
      </c>
      <c r="AD548" t="s">
        <v>10509</v>
      </c>
      <c r="AE548" t="s">
        <v>10510</v>
      </c>
      <c r="AF548" t="s">
        <v>74</v>
      </c>
      <c r="AG548">
        <v>105</v>
      </c>
      <c r="AH548">
        <v>15</v>
      </c>
      <c r="AI548">
        <v>15</v>
      </c>
      <c r="AJ548">
        <v>16</v>
      </c>
      <c r="AK548">
        <v>48</v>
      </c>
      <c r="AL548" t="s">
        <v>2255</v>
      </c>
      <c r="AM548" t="s">
        <v>2256</v>
      </c>
      <c r="AN548" t="s">
        <v>2257</v>
      </c>
      <c r="AO548" t="s">
        <v>10511</v>
      </c>
      <c r="AP548" t="s">
        <v>74</v>
      </c>
      <c r="AQ548" t="s">
        <v>74</v>
      </c>
      <c r="AR548" t="s">
        <v>10512</v>
      </c>
      <c r="AS548" t="s">
        <v>10513</v>
      </c>
      <c r="AT548" t="s">
        <v>9001</v>
      </c>
      <c r="AU548">
        <v>2022</v>
      </c>
      <c r="AV548">
        <v>8</v>
      </c>
      <c r="AW548">
        <v>4</v>
      </c>
      <c r="AX548" t="s">
        <v>74</v>
      </c>
      <c r="AY548" t="s">
        <v>74</v>
      </c>
      <c r="AZ548" t="s">
        <v>74</v>
      </c>
      <c r="BA548" t="s">
        <v>74</v>
      </c>
      <c r="BB548">
        <v>341</v>
      </c>
      <c r="BC548">
        <v>359</v>
      </c>
      <c r="BD548" t="s">
        <v>74</v>
      </c>
      <c r="BE548" t="s">
        <v>10514</v>
      </c>
      <c r="BF548" t="str">
        <f>HYPERLINK("http://dx.doi.org/10.1007/s40726-022-00245-4","http://dx.doi.org/10.1007/s40726-022-00245-4")</f>
        <v>http://dx.doi.org/10.1007/s40726-022-00245-4</v>
      </c>
      <c r="BG548" t="s">
        <v>74</v>
      </c>
      <c r="BH548" t="s">
        <v>74</v>
      </c>
      <c r="BI548">
        <v>19</v>
      </c>
      <c r="BJ548" t="s">
        <v>10515</v>
      </c>
      <c r="BK548" t="s">
        <v>104</v>
      </c>
      <c r="BL548" t="s">
        <v>10516</v>
      </c>
      <c r="BM548" t="s">
        <v>10517</v>
      </c>
      <c r="BN548" t="s">
        <v>74</v>
      </c>
      <c r="BO548" t="s">
        <v>107</v>
      </c>
      <c r="BP548" t="s">
        <v>74</v>
      </c>
      <c r="BQ548" t="s">
        <v>74</v>
      </c>
      <c r="BR548" t="s">
        <v>108</v>
      </c>
      <c r="BS548" t="s">
        <v>10518</v>
      </c>
      <c r="BT548" t="str">
        <f>HYPERLINK("https%3A%2F%2Fwww.webofscience.com%2Fwos%2Fwoscc%2Ffull-record%2FWOS:000908839800003","View Full Record in Web of Science")</f>
        <v>View Full Record in Web of Science</v>
      </c>
    </row>
    <row r="549" spans="1:72" x14ac:dyDescent="0.15">
      <c r="A549" t="s">
        <v>72</v>
      </c>
      <c r="B549" t="s">
        <v>10519</v>
      </c>
      <c r="C549" t="s">
        <v>74</v>
      </c>
      <c r="D549" t="s">
        <v>74</v>
      </c>
      <c r="E549" t="s">
        <v>74</v>
      </c>
      <c r="F549" t="s">
        <v>10520</v>
      </c>
      <c r="G549" t="s">
        <v>74</v>
      </c>
      <c r="H549" t="s">
        <v>74</v>
      </c>
      <c r="I549" t="s">
        <v>10521</v>
      </c>
      <c r="J549" t="s">
        <v>10522</v>
      </c>
      <c r="K549" t="s">
        <v>74</v>
      </c>
      <c r="L549" t="s">
        <v>74</v>
      </c>
      <c r="M549" t="s">
        <v>78</v>
      </c>
      <c r="N549" t="s">
        <v>79</v>
      </c>
      <c r="O549" t="s">
        <v>74</v>
      </c>
      <c r="P549" t="s">
        <v>74</v>
      </c>
      <c r="Q549" t="s">
        <v>74</v>
      </c>
      <c r="R549" t="s">
        <v>74</v>
      </c>
      <c r="S549" t="s">
        <v>74</v>
      </c>
      <c r="T549" t="s">
        <v>10523</v>
      </c>
      <c r="U549" t="s">
        <v>10524</v>
      </c>
      <c r="V549" t="s">
        <v>10525</v>
      </c>
      <c r="W549" t="s">
        <v>10526</v>
      </c>
      <c r="X549" t="s">
        <v>10527</v>
      </c>
      <c r="Y549" t="s">
        <v>10528</v>
      </c>
      <c r="Z549" t="s">
        <v>10529</v>
      </c>
      <c r="AA549" t="s">
        <v>10530</v>
      </c>
      <c r="AB549" t="s">
        <v>10531</v>
      </c>
      <c r="AC549" t="s">
        <v>10532</v>
      </c>
      <c r="AD549" t="s">
        <v>10532</v>
      </c>
      <c r="AE549" t="s">
        <v>10533</v>
      </c>
      <c r="AF549" t="s">
        <v>74</v>
      </c>
      <c r="AG549">
        <v>92</v>
      </c>
      <c r="AH549">
        <v>2</v>
      </c>
      <c r="AI549">
        <v>2</v>
      </c>
      <c r="AJ549">
        <v>4</v>
      </c>
      <c r="AK549">
        <v>14</v>
      </c>
      <c r="AL549" t="s">
        <v>3783</v>
      </c>
      <c r="AM549" t="s">
        <v>155</v>
      </c>
      <c r="AN549" t="s">
        <v>4557</v>
      </c>
      <c r="AO549" t="s">
        <v>10534</v>
      </c>
      <c r="AP549" t="s">
        <v>10535</v>
      </c>
      <c r="AQ549" t="s">
        <v>74</v>
      </c>
      <c r="AR549" t="s">
        <v>10536</v>
      </c>
      <c r="AS549" t="s">
        <v>10537</v>
      </c>
      <c r="AT549" t="s">
        <v>9001</v>
      </c>
      <c r="AU549">
        <v>2022</v>
      </c>
      <c r="AV549">
        <v>19</v>
      </c>
      <c r="AW549">
        <v>12</v>
      </c>
      <c r="AX549" t="s">
        <v>74</v>
      </c>
      <c r="AY549" t="s">
        <v>74</v>
      </c>
      <c r="AZ549" t="s">
        <v>74</v>
      </c>
      <c r="BA549" t="s">
        <v>74</v>
      </c>
      <c r="BB549">
        <v>3441</v>
      </c>
      <c r="BC549">
        <v>3457</v>
      </c>
      <c r="BD549" t="s">
        <v>74</v>
      </c>
      <c r="BE549" t="s">
        <v>10538</v>
      </c>
      <c r="BF549" t="str">
        <f>HYPERLINK("http://dx.doi.org/10.1007/s11629-022-7473-8","http://dx.doi.org/10.1007/s11629-022-7473-8")</f>
        <v>http://dx.doi.org/10.1007/s11629-022-7473-8</v>
      </c>
      <c r="BG549" t="s">
        <v>74</v>
      </c>
      <c r="BH549" t="s">
        <v>74</v>
      </c>
      <c r="BI549">
        <v>17</v>
      </c>
      <c r="BJ549" t="s">
        <v>216</v>
      </c>
      <c r="BK549" t="s">
        <v>104</v>
      </c>
      <c r="BL549" t="s">
        <v>217</v>
      </c>
      <c r="BM549" t="s">
        <v>10539</v>
      </c>
      <c r="BN549" t="s">
        <v>74</v>
      </c>
      <c r="BO549" t="s">
        <v>74</v>
      </c>
      <c r="BP549" t="s">
        <v>74</v>
      </c>
      <c r="BQ549" t="s">
        <v>74</v>
      </c>
      <c r="BR549" t="s">
        <v>108</v>
      </c>
      <c r="BS549" t="s">
        <v>10540</v>
      </c>
      <c r="BT549" t="str">
        <f>HYPERLINK("https%3A%2F%2Fwww.webofscience.com%2Fwos%2Fwoscc%2Ffull-record%2FWOS:000898090200007","View Full Record in Web of Science")</f>
        <v>View Full Record in Web of Science</v>
      </c>
    </row>
    <row r="550" spans="1:72" x14ac:dyDescent="0.15">
      <c r="A550" t="s">
        <v>72</v>
      </c>
      <c r="B550" t="s">
        <v>10541</v>
      </c>
      <c r="C550" t="s">
        <v>74</v>
      </c>
      <c r="D550" t="s">
        <v>74</v>
      </c>
      <c r="E550" t="s">
        <v>74</v>
      </c>
      <c r="F550" t="s">
        <v>10542</v>
      </c>
      <c r="G550" t="s">
        <v>74</v>
      </c>
      <c r="H550" t="s">
        <v>74</v>
      </c>
      <c r="I550" t="s">
        <v>10543</v>
      </c>
      <c r="J550" t="s">
        <v>5637</v>
      </c>
      <c r="K550" t="s">
        <v>74</v>
      </c>
      <c r="L550" t="s">
        <v>74</v>
      </c>
      <c r="M550" t="s">
        <v>78</v>
      </c>
      <c r="N550" t="s">
        <v>79</v>
      </c>
      <c r="O550" t="s">
        <v>74</v>
      </c>
      <c r="P550" t="s">
        <v>74</v>
      </c>
      <c r="Q550" t="s">
        <v>74</v>
      </c>
      <c r="R550" t="s">
        <v>74</v>
      </c>
      <c r="S550" t="s">
        <v>74</v>
      </c>
      <c r="T550" t="s">
        <v>10544</v>
      </c>
      <c r="U550" t="s">
        <v>10545</v>
      </c>
      <c r="V550" t="s">
        <v>10546</v>
      </c>
      <c r="W550" t="s">
        <v>10547</v>
      </c>
      <c r="X550" t="s">
        <v>10548</v>
      </c>
      <c r="Y550" t="s">
        <v>10549</v>
      </c>
      <c r="Z550" t="s">
        <v>10550</v>
      </c>
      <c r="AA550" t="s">
        <v>10551</v>
      </c>
      <c r="AB550" t="s">
        <v>10552</v>
      </c>
      <c r="AC550" t="s">
        <v>10553</v>
      </c>
      <c r="AD550" t="s">
        <v>10554</v>
      </c>
      <c r="AE550" t="s">
        <v>10555</v>
      </c>
      <c r="AF550" t="s">
        <v>74</v>
      </c>
      <c r="AG550">
        <v>149</v>
      </c>
      <c r="AH550">
        <v>3</v>
      </c>
      <c r="AI550">
        <v>3</v>
      </c>
      <c r="AJ550">
        <v>4</v>
      </c>
      <c r="AK550">
        <v>11</v>
      </c>
      <c r="AL550" t="s">
        <v>4886</v>
      </c>
      <c r="AM550" t="s">
        <v>4887</v>
      </c>
      <c r="AN550" t="s">
        <v>4888</v>
      </c>
      <c r="AO550" t="s">
        <v>5646</v>
      </c>
      <c r="AP550" t="s">
        <v>74</v>
      </c>
      <c r="AQ550" t="s">
        <v>74</v>
      </c>
      <c r="AR550" t="s">
        <v>5647</v>
      </c>
      <c r="AS550" t="s">
        <v>5648</v>
      </c>
      <c r="AT550" t="s">
        <v>9001</v>
      </c>
      <c r="AU550">
        <v>2022</v>
      </c>
      <c r="AV550">
        <v>12</v>
      </c>
      <c r="AW550">
        <v>24</v>
      </c>
      <c r="AX550" t="s">
        <v>74</v>
      </c>
      <c r="AY550" t="s">
        <v>74</v>
      </c>
      <c r="AZ550" t="s">
        <v>74</v>
      </c>
      <c r="BA550" t="s">
        <v>74</v>
      </c>
      <c r="BB550" t="s">
        <v>74</v>
      </c>
      <c r="BC550" t="s">
        <v>74</v>
      </c>
      <c r="BD550">
        <v>3548</v>
      </c>
      <c r="BE550" t="s">
        <v>10556</v>
      </c>
      <c r="BF550" t="str">
        <f>HYPERLINK("http://dx.doi.org/10.3390/ani12243548","http://dx.doi.org/10.3390/ani12243548")</f>
        <v>http://dx.doi.org/10.3390/ani12243548</v>
      </c>
      <c r="BG550" t="s">
        <v>74</v>
      </c>
      <c r="BH550" t="s">
        <v>74</v>
      </c>
      <c r="BI550">
        <v>30</v>
      </c>
      <c r="BJ550" t="s">
        <v>5650</v>
      </c>
      <c r="BK550" t="s">
        <v>104</v>
      </c>
      <c r="BL550" t="s">
        <v>5651</v>
      </c>
      <c r="BM550" t="s">
        <v>10557</v>
      </c>
      <c r="BN550">
        <v>36552473</v>
      </c>
      <c r="BO550" t="s">
        <v>7278</v>
      </c>
      <c r="BP550" t="s">
        <v>74</v>
      </c>
      <c r="BQ550" t="s">
        <v>74</v>
      </c>
      <c r="BR550" t="s">
        <v>108</v>
      </c>
      <c r="BS550" t="s">
        <v>10558</v>
      </c>
      <c r="BT550" t="str">
        <f>HYPERLINK("https%3A%2F%2Fwww.webofscience.com%2Fwos%2Fwoscc%2Ffull-record%2FWOS:000902196300001","View Full Record in Web of Science")</f>
        <v>View Full Record in Web of Science</v>
      </c>
    </row>
    <row r="551" spans="1:72" x14ac:dyDescent="0.15">
      <c r="A551" t="s">
        <v>72</v>
      </c>
      <c r="B551" t="s">
        <v>10559</v>
      </c>
      <c r="C551" t="s">
        <v>74</v>
      </c>
      <c r="D551" t="s">
        <v>74</v>
      </c>
      <c r="E551" t="s">
        <v>74</v>
      </c>
      <c r="F551" t="s">
        <v>10560</v>
      </c>
      <c r="G551" t="s">
        <v>74</v>
      </c>
      <c r="H551" t="s">
        <v>74</v>
      </c>
      <c r="I551" t="s">
        <v>10561</v>
      </c>
      <c r="J551" t="s">
        <v>5412</v>
      </c>
      <c r="K551" t="s">
        <v>74</v>
      </c>
      <c r="L551" t="s">
        <v>74</v>
      </c>
      <c r="M551" t="s">
        <v>78</v>
      </c>
      <c r="N551" t="s">
        <v>79</v>
      </c>
      <c r="O551" t="s">
        <v>74</v>
      </c>
      <c r="P551" t="s">
        <v>74</v>
      </c>
      <c r="Q551" t="s">
        <v>74</v>
      </c>
      <c r="R551" t="s">
        <v>74</v>
      </c>
      <c r="S551" t="s">
        <v>74</v>
      </c>
      <c r="T551" t="s">
        <v>10562</v>
      </c>
      <c r="U551" t="s">
        <v>10563</v>
      </c>
      <c r="V551" t="s">
        <v>10564</v>
      </c>
      <c r="W551" t="s">
        <v>10565</v>
      </c>
      <c r="X551" t="s">
        <v>10566</v>
      </c>
      <c r="Y551" t="s">
        <v>10567</v>
      </c>
      <c r="Z551" t="s">
        <v>10568</v>
      </c>
      <c r="AA551" t="s">
        <v>10569</v>
      </c>
      <c r="AB551" t="s">
        <v>10570</v>
      </c>
      <c r="AC551" t="s">
        <v>10571</v>
      </c>
      <c r="AD551" t="s">
        <v>10571</v>
      </c>
      <c r="AE551" t="s">
        <v>10572</v>
      </c>
      <c r="AF551" t="s">
        <v>74</v>
      </c>
      <c r="AG551">
        <v>63</v>
      </c>
      <c r="AH551">
        <v>0</v>
      </c>
      <c r="AI551">
        <v>0</v>
      </c>
      <c r="AJ551">
        <v>0</v>
      </c>
      <c r="AK551">
        <v>2</v>
      </c>
      <c r="AL551" t="s">
        <v>4886</v>
      </c>
      <c r="AM551" t="s">
        <v>4887</v>
      </c>
      <c r="AN551" t="s">
        <v>4888</v>
      </c>
      <c r="AO551" t="s">
        <v>74</v>
      </c>
      <c r="AP551" t="s">
        <v>5425</v>
      </c>
      <c r="AQ551" t="s">
        <v>74</v>
      </c>
      <c r="AR551" t="s">
        <v>5426</v>
      </c>
      <c r="AS551" t="s">
        <v>5427</v>
      </c>
      <c r="AT551" t="s">
        <v>9001</v>
      </c>
      <c r="AU551">
        <v>2022</v>
      </c>
      <c r="AV551">
        <v>13</v>
      </c>
      <c r="AW551">
        <v>12</v>
      </c>
      <c r="AX551" t="s">
        <v>74</v>
      </c>
      <c r="AY551" t="s">
        <v>74</v>
      </c>
      <c r="AZ551" t="s">
        <v>74</v>
      </c>
      <c r="BA551" t="s">
        <v>74</v>
      </c>
      <c r="BB551" t="s">
        <v>74</v>
      </c>
      <c r="BC551" t="s">
        <v>74</v>
      </c>
      <c r="BD551">
        <v>2066</v>
      </c>
      <c r="BE551" t="s">
        <v>10573</v>
      </c>
      <c r="BF551" t="str">
        <f>HYPERLINK("http://dx.doi.org/10.3390/atmos13122066","http://dx.doi.org/10.3390/atmos13122066")</f>
        <v>http://dx.doi.org/10.3390/atmos13122066</v>
      </c>
      <c r="BG551" t="s">
        <v>74</v>
      </c>
      <c r="BH551" t="s">
        <v>74</v>
      </c>
      <c r="BI551">
        <v>14</v>
      </c>
      <c r="BJ551" t="s">
        <v>5429</v>
      </c>
      <c r="BK551" t="s">
        <v>104</v>
      </c>
      <c r="BL551" t="s">
        <v>355</v>
      </c>
      <c r="BM551" t="s">
        <v>10574</v>
      </c>
      <c r="BN551" t="s">
        <v>74</v>
      </c>
      <c r="BO551" t="s">
        <v>3181</v>
      </c>
      <c r="BP551" t="s">
        <v>74</v>
      </c>
      <c r="BQ551" t="s">
        <v>74</v>
      </c>
      <c r="BR551" t="s">
        <v>108</v>
      </c>
      <c r="BS551" t="s">
        <v>10575</v>
      </c>
      <c r="BT551" t="str">
        <f>HYPERLINK("https%3A%2F%2Fwww.webofscience.com%2Fwos%2Fwoscc%2Ffull-record%2FWOS:000902199400001","View Full Record in Web of Science")</f>
        <v>View Full Record in Web of Science</v>
      </c>
    </row>
    <row r="552" spans="1:72" x14ac:dyDescent="0.15">
      <c r="A552" t="s">
        <v>72</v>
      </c>
      <c r="B552" t="s">
        <v>10576</v>
      </c>
      <c r="C552" t="s">
        <v>74</v>
      </c>
      <c r="D552" t="s">
        <v>74</v>
      </c>
      <c r="E552" t="s">
        <v>74</v>
      </c>
      <c r="F552" t="s">
        <v>10577</v>
      </c>
      <c r="G552" t="s">
        <v>74</v>
      </c>
      <c r="H552" t="s">
        <v>74</v>
      </c>
      <c r="I552" t="s">
        <v>10578</v>
      </c>
      <c r="J552" t="s">
        <v>10579</v>
      </c>
      <c r="K552" t="s">
        <v>74</v>
      </c>
      <c r="L552" t="s">
        <v>74</v>
      </c>
      <c r="M552" t="s">
        <v>78</v>
      </c>
      <c r="N552" t="s">
        <v>79</v>
      </c>
      <c r="O552" t="s">
        <v>74</v>
      </c>
      <c r="P552" t="s">
        <v>74</v>
      </c>
      <c r="Q552" t="s">
        <v>74</v>
      </c>
      <c r="R552" t="s">
        <v>74</v>
      </c>
      <c r="S552" t="s">
        <v>74</v>
      </c>
      <c r="T552" t="s">
        <v>10580</v>
      </c>
      <c r="U552" t="s">
        <v>10581</v>
      </c>
      <c r="V552" t="s">
        <v>10582</v>
      </c>
      <c r="W552" t="s">
        <v>10583</v>
      </c>
      <c r="X552" t="s">
        <v>10584</v>
      </c>
      <c r="Y552" t="s">
        <v>10585</v>
      </c>
      <c r="Z552" t="s">
        <v>10586</v>
      </c>
      <c r="AA552" t="s">
        <v>74</v>
      </c>
      <c r="AB552" t="s">
        <v>10587</v>
      </c>
      <c r="AC552" t="s">
        <v>10588</v>
      </c>
      <c r="AD552" t="s">
        <v>10589</v>
      </c>
      <c r="AE552" t="s">
        <v>10590</v>
      </c>
      <c r="AF552" t="s">
        <v>74</v>
      </c>
      <c r="AG552">
        <v>61</v>
      </c>
      <c r="AH552">
        <v>3</v>
      </c>
      <c r="AI552">
        <v>3</v>
      </c>
      <c r="AJ552">
        <v>0</v>
      </c>
      <c r="AK552">
        <v>4</v>
      </c>
      <c r="AL552" t="s">
        <v>4886</v>
      </c>
      <c r="AM552" t="s">
        <v>4887</v>
      </c>
      <c r="AN552" t="s">
        <v>4888</v>
      </c>
      <c r="AO552" t="s">
        <v>74</v>
      </c>
      <c r="AP552" t="s">
        <v>10591</v>
      </c>
      <c r="AQ552" t="s">
        <v>74</v>
      </c>
      <c r="AR552" t="s">
        <v>10592</v>
      </c>
      <c r="AS552" t="s">
        <v>10593</v>
      </c>
      <c r="AT552" t="s">
        <v>9001</v>
      </c>
      <c r="AU552">
        <v>2022</v>
      </c>
      <c r="AV552">
        <v>6</v>
      </c>
      <c r="AW552">
        <v>12</v>
      </c>
      <c r="AX552" t="s">
        <v>74</v>
      </c>
      <c r="AY552" t="s">
        <v>74</v>
      </c>
      <c r="AZ552" t="s">
        <v>74</v>
      </c>
      <c r="BA552" t="s">
        <v>74</v>
      </c>
      <c r="BB552" t="s">
        <v>74</v>
      </c>
      <c r="BC552" t="s">
        <v>74</v>
      </c>
      <c r="BD552">
        <v>404</v>
      </c>
      <c r="BE552" t="s">
        <v>10594</v>
      </c>
      <c r="BF552" t="str">
        <f>HYPERLINK("http://dx.doi.org/10.3390/drones6120404","http://dx.doi.org/10.3390/drones6120404")</f>
        <v>http://dx.doi.org/10.3390/drones6120404</v>
      </c>
      <c r="BG552" t="s">
        <v>74</v>
      </c>
      <c r="BH552" t="s">
        <v>74</v>
      </c>
      <c r="BI552">
        <v>24</v>
      </c>
      <c r="BJ552" t="s">
        <v>5604</v>
      </c>
      <c r="BK552" t="s">
        <v>104</v>
      </c>
      <c r="BL552" t="s">
        <v>5604</v>
      </c>
      <c r="BM552" t="s">
        <v>10595</v>
      </c>
      <c r="BN552" t="s">
        <v>74</v>
      </c>
      <c r="BO552" t="s">
        <v>165</v>
      </c>
      <c r="BP552" t="s">
        <v>74</v>
      </c>
      <c r="BQ552" t="s">
        <v>74</v>
      </c>
      <c r="BR552" t="s">
        <v>108</v>
      </c>
      <c r="BS552" t="s">
        <v>10596</v>
      </c>
      <c r="BT552" t="str">
        <f>HYPERLINK("https%3A%2F%2Fwww.webofscience.com%2Fwos%2Fwoscc%2Ffull-record%2FWOS:000902579700001","View Full Record in Web of Science")</f>
        <v>View Full Record in Web of Science</v>
      </c>
    </row>
    <row r="553" spans="1:72" x14ac:dyDescent="0.15">
      <c r="A553" t="s">
        <v>72</v>
      </c>
      <c r="B553" t="s">
        <v>10597</v>
      </c>
      <c r="C553" t="s">
        <v>74</v>
      </c>
      <c r="D553" t="s">
        <v>74</v>
      </c>
      <c r="E553" t="s">
        <v>74</v>
      </c>
      <c r="F553" t="s">
        <v>10598</v>
      </c>
      <c r="G553" t="s">
        <v>74</v>
      </c>
      <c r="H553" t="s">
        <v>74</v>
      </c>
      <c r="I553" t="s">
        <v>10599</v>
      </c>
      <c r="J553" t="s">
        <v>5263</v>
      </c>
      <c r="K553" t="s">
        <v>74</v>
      </c>
      <c r="L553" t="s">
        <v>74</v>
      </c>
      <c r="M553" t="s">
        <v>78</v>
      </c>
      <c r="N553" t="s">
        <v>79</v>
      </c>
      <c r="O553" t="s">
        <v>74</v>
      </c>
      <c r="P553" t="s">
        <v>74</v>
      </c>
      <c r="Q553" t="s">
        <v>74</v>
      </c>
      <c r="R553" t="s">
        <v>74</v>
      </c>
      <c r="S553" t="s">
        <v>74</v>
      </c>
      <c r="T553" t="s">
        <v>10600</v>
      </c>
      <c r="U553" t="s">
        <v>10601</v>
      </c>
      <c r="V553" t="s">
        <v>10602</v>
      </c>
      <c r="W553" t="s">
        <v>10603</v>
      </c>
      <c r="X553" t="s">
        <v>10604</v>
      </c>
      <c r="Y553" t="s">
        <v>10605</v>
      </c>
      <c r="Z553" t="s">
        <v>10606</v>
      </c>
      <c r="AA553" t="s">
        <v>10607</v>
      </c>
      <c r="AB553" t="s">
        <v>10608</v>
      </c>
      <c r="AC553" t="s">
        <v>10609</v>
      </c>
      <c r="AD553" t="s">
        <v>10610</v>
      </c>
      <c r="AE553" t="s">
        <v>10611</v>
      </c>
      <c r="AF553" t="s">
        <v>74</v>
      </c>
      <c r="AG553">
        <v>77</v>
      </c>
      <c r="AH553">
        <v>3</v>
      </c>
      <c r="AI553">
        <v>3</v>
      </c>
      <c r="AJ553">
        <v>0</v>
      </c>
      <c r="AK553">
        <v>7</v>
      </c>
      <c r="AL553" t="s">
        <v>4886</v>
      </c>
      <c r="AM553" t="s">
        <v>4887</v>
      </c>
      <c r="AN553" t="s">
        <v>4888</v>
      </c>
      <c r="AO553" t="s">
        <v>74</v>
      </c>
      <c r="AP553" t="s">
        <v>5276</v>
      </c>
      <c r="AQ553" t="s">
        <v>74</v>
      </c>
      <c r="AR553" t="s">
        <v>5263</v>
      </c>
      <c r="AS553" t="s">
        <v>5277</v>
      </c>
      <c r="AT553" t="s">
        <v>9001</v>
      </c>
      <c r="AU553">
        <v>2022</v>
      </c>
      <c r="AV553">
        <v>11</v>
      </c>
      <c r="AW553">
        <v>12</v>
      </c>
      <c r="AX553" t="s">
        <v>74</v>
      </c>
      <c r="AY553" t="s">
        <v>74</v>
      </c>
      <c r="AZ553" t="s">
        <v>74</v>
      </c>
      <c r="BA553" t="s">
        <v>74</v>
      </c>
      <c r="BB553" t="s">
        <v>74</v>
      </c>
      <c r="BC553" t="s">
        <v>74</v>
      </c>
      <c r="BD553">
        <v>1723</v>
      </c>
      <c r="BE553" t="s">
        <v>10612</v>
      </c>
      <c r="BF553" t="str">
        <f>HYPERLINK("http://dx.doi.org/10.3390/biology11121723","http://dx.doi.org/10.3390/biology11121723")</f>
        <v>http://dx.doi.org/10.3390/biology11121723</v>
      </c>
      <c r="BG553" t="s">
        <v>74</v>
      </c>
      <c r="BH553" t="s">
        <v>74</v>
      </c>
      <c r="BI553">
        <v>16</v>
      </c>
      <c r="BJ553" t="s">
        <v>3178</v>
      </c>
      <c r="BK553" t="s">
        <v>104</v>
      </c>
      <c r="BL553" t="s">
        <v>3179</v>
      </c>
      <c r="BM553" t="s">
        <v>10613</v>
      </c>
      <c r="BN553">
        <v>36552233</v>
      </c>
      <c r="BO553" t="s">
        <v>3181</v>
      </c>
      <c r="BP553" t="s">
        <v>74</v>
      </c>
      <c r="BQ553" t="s">
        <v>74</v>
      </c>
      <c r="BR553" t="s">
        <v>108</v>
      </c>
      <c r="BS553" t="s">
        <v>10614</v>
      </c>
      <c r="BT553" t="str">
        <f>HYPERLINK("https%3A%2F%2Fwww.webofscience.com%2Fwos%2Fwoscc%2Ffull-record%2FWOS:000902240800001","View Full Record in Web of Science")</f>
        <v>View Full Record in Web of Science</v>
      </c>
    </row>
    <row r="554" spans="1:72" x14ac:dyDescent="0.15">
      <c r="A554" t="s">
        <v>72</v>
      </c>
      <c r="B554" t="s">
        <v>10615</v>
      </c>
      <c r="C554" t="s">
        <v>74</v>
      </c>
      <c r="D554" t="s">
        <v>74</v>
      </c>
      <c r="E554" t="s">
        <v>74</v>
      </c>
      <c r="F554" t="s">
        <v>10616</v>
      </c>
      <c r="G554" t="s">
        <v>74</v>
      </c>
      <c r="H554" t="s">
        <v>74</v>
      </c>
      <c r="I554" t="s">
        <v>10617</v>
      </c>
      <c r="J554" t="s">
        <v>5637</v>
      </c>
      <c r="K554" t="s">
        <v>74</v>
      </c>
      <c r="L554" t="s">
        <v>74</v>
      </c>
      <c r="M554" t="s">
        <v>78</v>
      </c>
      <c r="N554" t="s">
        <v>79</v>
      </c>
      <c r="O554" t="s">
        <v>74</v>
      </c>
      <c r="P554" t="s">
        <v>74</v>
      </c>
      <c r="Q554" t="s">
        <v>74</v>
      </c>
      <c r="R554" t="s">
        <v>74</v>
      </c>
      <c r="S554" t="s">
        <v>74</v>
      </c>
      <c r="T554" t="s">
        <v>10618</v>
      </c>
      <c r="U554" t="s">
        <v>10619</v>
      </c>
      <c r="V554" t="s">
        <v>10620</v>
      </c>
      <c r="W554" t="s">
        <v>10621</v>
      </c>
      <c r="X554" t="s">
        <v>10622</v>
      </c>
      <c r="Y554" t="s">
        <v>10623</v>
      </c>
      <c r="Z554" t="s">
        <v>10624</v>
      </c>
      <c r="AA554" t="s">
        <v>74</v>
      </c>
      <c r="AB554" t="s">
        <v>10625</v>
      </c>
      <c r="AC554" t="s">
        <v>74</v>
      </c>
      <c r="AD554" t="s">
        <v>74</v>
      </c>
      <c r="AE554" t="s">
        <v>74</v>
      </c>
      <c r="AF554" t="s">
        <v>74</v>
      </c>
      <c r="AG554">
        <v>62</v>
      </c>
      <c r="AH554">
        <v>0</v>
      </c>
      <c r="AI554">
        <v>0</v>
      </c>
      <c r="AJ554">
        <v>2</v>
      </c>
      <c r="AK554">
        <v>13</v>
      </c>
      <c r="AL554" t="s">
        <v>4886</v>
      </c>
      <c r="AM554" t="s">
        <v>4887</v>
      </c>
      <c r="AN554" t="s">
        <v>4888</v>
      </c>
      <c r="AO554" t="s">
        <v>5646</v>
      </c>
      <c r="AP554" t="s">
        <v>74</v>
      </c>
      <c r="AQ554" t="s">
        <v>74</v>
      </c>
      <c r="AR554" t="s">
        <v>5647</v>
      </c>
      <c r="AS554" t="s">
        <v>5648</v>
      </c>
      <c r="AT554" t="s">
        <v>9001</v>
      </c>
      <c r="AU554">
        <v>2022</v>
      </c>
      <c r="AV554">
        <v>12</v>
      </c>
      <c r="AW554">
        <v>24</v>
      </c>
      <c r="AX554" t="s">
        <v>74</v>
      </c>
      <c r="AY554" t="s">
        <v>74</v>
      </c>
      <c r="AZ554" t="s">
        <v>74</v>
      </c>
      <c r="BA554" t="s">
        <v>74</v>
      </c>
      <c r="BB554" t="s">
        <v>74</v>
      </c>
      <c r="BC554" t="s">
        <v>74</v>
      </c>
      <c r="BD554">
        <v>3564</v>
      </c>
      <c r="BE554" t="s">
        <v>10626</v>
      </c>
      <c r="BF554" t="str">
        <f>HYPERLINK("http://dx.doi.org/10.3390/ani12243564","http://dx.doi.org/10.3390/ani12243564")</f>
        <v>http://dx.doi.org/10.3390/ani12243564</v>
      </c>
      <c r="BG554" t="s">
        <v>74</v>
      </c>
      <c r="BH554" t="s">
        <v>74</v>
      </c>
      <c r="BI554">
        <v>12</v>
      </c>
      <c r="BJ554" t="s">
        <v>5650</v>
      </c>
      <c r="BK554" t="s">
        <v>104</v>
      </c>
      <c r="BL554" t="s">
        <v>5651</v>
      </c>
      <c r="BM554" t="s">
        <v>10627</v>
      </c>
      <c r="BN554">
        <v>36552483</v>
      </c>
      <c r="BO554" t="s">
        <v>192</v>
      </c>
      <c r="BP554" t="s">
        <v>74</v>
      </c>
      <c r="BQ554" t="s">
        <v>74</v>
      </c>
      <c r="BR554" t="s">
        <v>108</v>
      </c>
      <c r="BS554" t="s">
        <v>10628</v>
      </c>
      <c r="BT554" t="str">
        <f>HYPERLINK("https%3A%2F%2Fwww.webofscience.com%2Fwos%2Fwoscc%2Ffull-record%2FWOS:000900319800001","View Full Record in Web of Science")</f>
        <v>View Full Record in Web of Science</v>
      </c>
    </row>
    <row r="555" spans="1:72" x14ac:dyDescent="0.15">
      <c r="A555" t="s">
        <v>72</v>
      </c>
      <c r="B555" t="s">
        <v>10629</v>
      </c>
      <c r="C555" t="s">
        <v>74</v>
      </c>
      <c r="D555" t="s">
        <v>74</v>
      </c>
      <c r="E555" t="s">
        <v>74</v>
      </c>
      <c r="F555" t="s">
        <v>10630</v>
      </c>
      <c r="G555" t="s">
        <v>74</v>
      </c>
      <c r="H555" t="s">
        <v>74</v>
      </c>
      <c r="I555" t="s">
        <v>10631</v>
      </c>
      <c r="J555" t="s">
        <v>5263</v>
      </c>
      <c r="K555" t="s">
        <v>74</v>
      </c>
      <c r="L555" t="s">
        <v>74</v>
      </c>
      <c r="M555" t="s">
        <v>78</v>
      </c>
      <c r="N555" t="s">
        <v>79</v>
      </c>
      <c r="O555" t="s">
        <v>74</v>
      </c>
      <c r="P555" t="s">
        <v>74</v>
      </c>
      <c r="Q555" t="s">
        <v>74</v>
      </c>
      <c r="R555" t="s">
        <v>74</v>
      </c>
      <c r="S555" t="s">
        <v>74</v>
      </c>
      <c r="T555" t="s">
        <v>10632</v>
      </c>
      <c r="U555" t="s">
        <v>10633</v>
      </c>
      <c r="V555" t="s">
        <v>10634</v>
      </c>
      <c r="W555" t="s">
        <v>10635</v>
      </c>
      <c r="X555" t="s">
        <v>10636</v>
      </c>
      <c r="Y555" t="s">
        <v>10637</v>
      </c>
      <c r="Z555" t="s">
        <v>10638</v>
      </c>
      <c r="AA555" t="s">
        <v>10639</v>
      </c>
      <c r="AB555" t="s">
        <v>10640</v>
      </c>
      <c r="AC555" t="s">
        <v>10641</v>
      </c>
      <c r="AD555" t="s">
        <v>74</v>
      </c>
      <c r="AE555" t="s">
        <v>10642</v>
      </c>
      <c r="AF555" t="s">
        <v>74</v>
      </c>
      <c r="AG555">
        <v>80</v>
      </c>
      <c r="AH555">
        <v>2</v>
      </c>
      <c r="AI555">
        <v>2</v>
      </c>
      <c r="AJ555">
        <v>8</v>
      </c>
      <c r="AK555">
        <v>33</v>
      </c>
      <c r="AL555" t="s">
        <v>4886</v>
      </c>
      <c r="AM555" t="s">
        <v>4887</v>
      </c>
      <c r="AN555" t="s">
        <v>4888</v>
      </c>
      <c r="AO555" t="s">
        <v>74</v>
      </c>
      <c r="AP555" t="s">
        <v>5276</v>
      </c>
      <c r="AQ555" t="s">
        <v>74</v>
      </c>
      <c r="AR555" t="s">
        <v>5263</v>
      </c>
      <c r="AS555" t="s">
        <v>5277</v>
      </c>
      <c r="AT555" t="s">
        <v>9001</v>
      </c>
      <c r="AU555">
        <v>2022</v>
      </c>
      <c r="AV555">
        <v>11</v>
      </c>
      <c r="AW555">
        <v>12</v>
      </c>
      <c r="AX555" t="s">
        <v>74</v>
      </c>
      <c r="AY555" t="s">
        <v>74</v>
      </c>
      <c r="AZ555" t="s">
        <v>74</v>
      </c>
      <c r="BA555" t="s">
        <v>74</v>
      </c>
      <c r="BB555" t="s">
        <v>74</v>
      </c>
      <c r="BC555" t="s">
        <v>74</v>
      </c>
      <c r="BD555">
        <v>1819</v>
      </c>
      <c r="BE555" t="s">
        <v>10643</v>
      </c>
      <c r="BF555" t="str">
        <f>HYPERLINK("http://dx.doi.org/10.3390/biology11121819","http://dx.doi.org/10.3390/biology11121819")</f>
        <v>http://dx.doi.org/10.3390/biology11121819</v>
      </c>
      <c r="BG555" t="s">
        <v>74</v>
      </c>
      <c r="BH555" t="s">
        <v>74</v>
      </c>
      <c r="BI555">
        <v>17</v>
      </c>
      <c r="BJ555" t="s">
        <v>3178</v>
      </c>
      <c r="BK555" t="s">
        <v>104</v>
      </c>
      <c r="BL555" t="s">
        <v>3179</v>
      </c>
      <c r="BM555" t="s">
        <v>10644</v>
      </c>
      <c r="BN555">
        <v>36552329</v>
      </c>
      <c r="BO555" t="s">
        <v>9245</v>
      </c>
      <c r="BP555" t="s">
        <v>74</v>
      </c>
      <c r="BQ555" t="s">
        <v>74</v>
      </c>
      <c r="BR555" t="s">
        <v>108</v>
      </c>
      <c r="BS555" t="s">
        <v>10645</v>
      </c>
      <c r="BT555" t="str">
        <f>HYPERLINK("https%3A%2F%2Fwww.webofscience.com%2Fwos%2Fwoscc%2Ffull-record%2FWOS:000900507100001","View Full Record in Web of Science")</f>
        <v>View Full Record in Web of Science</v>
      </c>
    </row>
    <row r="556" spans="1:72" x14ac:dyDescent="0.15">
      <c r="A556" t="s">
        <v>72</v>
      </c>
      <c r="B556" t="s">
        <v>10646</v>
      </c>
      <c r="C556" t="s">
        <v>74</v>
      </c>
      <c r="D556" t="s">
        <v>74</v>
      </c>
      <c r="E556" t="s">
        <v>74</v>
      </c>
      <c r="F556" t="s">
        <v>10647</v>
      </c>
      <c r="G556" t="s">
        <v>74</v>
      </c>
      <c r="H556" t="s">
        <v>74</v>
      </c>
      <c r="I556" t="s">
        <v>10648</v>
      </c>
      <c r="J556" t="s">
        <v>10649</v>
      </c>
      <c r="K556" t="s">
        <v>74</v>
      </c>
      <c r="L556" t="s">
        <v>74</v>
      </c>
      <c r="M556" t="s">
        <v>78</v>
      </c>
      <c r="N556" t="s">
        <v>79</v>
      </c>
      <c r="O556" t="s">
        <v>74</v>
      </c>
      <c r="P556" t="s">
        <v>74</v>
      </c>
      <c r="Q556" t="s">
        <v>74</v>
      </c>
      <c r="R556" t="s">
        <v>74</v>
      </c>
      <c r="S556" t="s">
        <v>74</v>
      </c>
      <c r="T556" t="s">
        <v>10650</v>
      </c>
      <c r="U556" t="s">
        <v>10651</v>
      </c>
      <c r="V556" t="s">
        <v>10652</v>
      </c>
      <c r="W556" t="s">
        <v>10653</v>
      </c>
      <c r="X556" t="s">
        <v>10002</v>
      </c>
      <c r="Y556" t="s">
        <v>10654</v>
      </c>
      <c r="Z556" t="s">
        <v>10655</v>
      </c>
      <c r="AA556" t="s">
        <v>10656</v>
      </c>
      <c r="AB556" t="s">
        <v>10657</v>
      </c>
      <c r="AC556" t="s">
        <v>74</v>
      </c>
      <c r="AD556" t="s">
        <v>74</v>
      </c>
      <c r="AE556" t="s">
        <v>74</v>
      </c>
      <c r="AF556" t="s">
        <v>74</v>
      </c>
      <c r="AG556">
        <v>94</v>
      </c>
      <c r="AH556">
        <v>0</v>
      </c>
      <c r="AI556">
        <v>1</v>
      </c>
      <c r="AJ556">
        <v>1</v>
      </c>
      <c r="AK556">
        <v>1</v>
      </c>
      <c r="AL556" t="s">
        <v>4886</v>
      </c>
      <c r="AM556" t="s">
        <v>4887</v>
      </c>
      <c r="AN556" t="s">
        <v>4888</v>
      </c>
      <c r="AO556" t="s">
        <v>74</v>
      </c>
      <c r="AP556" t="s">
        <v>10658</v>
      </c>
      <c r="AQ556" t="s">
        <v>74</v>
      </c>
      <c r="AR556" t="s">
        <v>10659</v>
      </c>
      <c r="AS556" t="s">
        <v>10660</v>
      </c>
      <c r="AT556" t="s">
        <v>9001</v>
      </c>
      <c r="AU556">
        <v>2022</v>
      </c>
      <c r="AV556">
        <v>14</v>
      </c>
      <c r="AW556">
        <v>24</v>
      </c>
      <c r="AX556" t="s">
        <v>74</v>
      </c>
      <c r="AY556" t="s">
        <v>74</v>
      </c>
      <c r="AZ556" t="s">
        <v>74</v>
      </c>
      <c r="BA556" t="s">
        <v>74</v>
      </c>
      <c r="BB556" t="s">
        <v>74</v>
      </c>
      <c r="BC556" t="s">
        <v>74</v>
      </c>
      <c r="BD556">
        <v>4103</v>
      </c>
      <c r="BE556" t="s">
        <v>10661</v>
      </c>
      <c r="BF556" t="str">
        <f>HYPERLINK("http://dx.doi.org/10.3390/w14244103","http://dx.doi.org/10.3390/w14244103")</f>
        <v>http://dx.doi.org/10.3390/w14244103</v>
      </c>
      <c r="BG556" t="s">
        <v>74</v>
      </c>
      <c r="BH556" t="s">
        <v>74</v>
      </c>
      <c r="BI556">
        <v>20</v>
      </c>
      <c r="BJ556" t="s">
        <v>10662</v>
      </c>
      <c r="BK556" t="s">
        <v>104</v>
      </c>
      <c r="BL556" t="s">
        <v>10663</v>
      </c>
      <c r="BM556" t="s">
        <v>10664</v>
      </c>
      <c r="BN556" t="s">
        <v>74</v>
      </c>
      <c r="BO556" t="s">
        <v>165</v>
      </c>
      <c r="BP556" t="s">
        <v>74</v>
      </c>
      <c r="BQ556" t="s">
        <v>74</v>
      </c>
      <c r="BR556" t="s">
        <v>108</v>
      </c>
      <c r="BS556" t="s">
        <v>10665</v>
      </c>
      <c r="BT556" t="str">
        <f>HYPERLINK("https%3A%2F%2Fwww.webofscience.com%2Fwos%2Fwoscc%2Ffull-record%2FWOS:000902833800001","View Full Record in Web of Science")</f>
        <v>View Full Record in Web of Science</v>
      </c>
    </row>
    <row r="557" spans="1:72" x14ac:dyDescent="0.15">
      <c r="A557" t="s">
        <v>72</v>
      </c>
      <c r="B557" t="s">
        <v>10666</v>
      </c>
      <c r="C557" t="s">
        <v>74</v>
      </c>
      <c r="D557" t="s">
        <v>74</v>
      </c>
      <c r="E557" t="s">
        <v>74</v>
      </c>
      <c r="F557" t="s">
        <v>10667</v>
      </c>
      <c r="G557" t="s">
        <v>74</v>
      </c>
      <c r="H557" t="s">
        <v>74</v>
      </c>
      <c r="I557" t="s">
        <v>10668</v>
      </c>
      <c r="J557" t="s">
        <v>8511</v>
      </c>
      <c r="K557" t="s">
        <v>74</v>
      </c>
      <c r="L557" t="s">
        <v>74</v>
      </c>
      <c r="M557" t="s">
        <v>78</v>
      </c>
      <c r="N557" t="s">
        <v>79</v>
      </c>
      <c r="O557" t="s">
        <v>74</v>
      </c>
      <c r="P557" t="s">
        <v>74</v>
      </c>
      <c r="Q557" t="s">
        <v>74</v>
      </c>
      <c r="R557" t="s">
        <v>74</v>
      </c>
      <c r="S557" t="s">
        <v>74</v>
      </c>
      <c r="T557" t="s">
        <v>10669</v>
      </c>
      <c r="U557" t="s">
        <v>10670</v>
      </c>
      <c r="V557" t="s">
        <v>10671</v>
      </c>
      <c r="W557" t="s">
        <v>10672</v>
      </c>
      <c r="X557" t="s">
        <v>10673</v>
      </c>
      <c r="Y557" t="s">
        <v>10674</v>
      </c>
      <c r="Z557" t="s">
        <v>10675</v>
      </c>
      <c r="AA557" t="s">
        <v>10676</v>
      </c>
      <c r="AB557" t="s">
        <v>10677</v>
      </c>
      <c r="AC557" t="s">
        <v>10678</v>
      </c>
      <c r="AD557" t="s">
        <v>10679</v>
      </c>
      <c r="AE557" t="s">
        <v>10680</v>
      </c>
      <c r="AF557" t="s">
        <v>74</v>
      </c>
      <c r="AG557">
        <v>118</v>
      </c>
      <c r="AH557">
        <v>1</v>
      </c>
      <c r="AI557">
        <v>2</v>
      </c>
      <c r="AJ557">
        <v>3</v>
      </c>
      <c r="AK557">
        <v>8</v>
      </c>
      <c r="AL557" t="s">
        <v>448</v>
      </c>
      <c r="AM557" t="s">
        <v>449</v>
      </c>
      <c r="AN557" t="s">
        <v>450</v>
      </c>
      <c r="AO557" t="s">
        <v>8522</v>
      </c>
      <c r="AP557" t="s">
        <v>74</v>
      </c>
      <c r="AQ557" t="s">
        <v>74</v>
      </c>
      <c r="AR557" t="s">
        <v>8523</v>
      </c>
      <c r="AS557" t="s">
        <v>8524</v>
      </c>
      <c r="AT557" t="s">
        <v>9839</v>
      </c>
      <c r="AU557">
        <v>2022</v>
      </c>
      <c r="AV557">
        <v>10</v>
      </c>
      <c r="AW557" t="s">
        <v>74</v>
      </c>
      <c r="AX557" t="s">
        <v>74</v>
      </c>
      <c r="AY557" t="s">
        <v>74</v>
      </c>
      <c r="AZ557" t="s">
        <v>74</v>
      </c>
      <c r="BA557" t="s">
        <v>74</v>
      </c>
      <c r="BB557" t="s">
        <v>74</v>
      </c>
      <c r="BC557" t="s">
        <v>74</v>
      </c>
      <c r="BD557">
        <v>1012852</v>
      </c>
      <c r="BE557" t="s">
        <v>10681</v>
      </c>
      <c r="BF557" t="str">
        <f>HYPERLINK("http://dx.doi.org/10.3389/fevo.2022.1012852","http://dx.doi.org/10.3389/fevo.2022.1012852")</f>
        <v>http://dx.doi.org/10.3389/fevo.2022.1012852</v>
      </c>
      <c r="BG557" t="s">
        <v>74</v>
      </c>
      <c r="BH557" t="s">
        <v>74</v>
      </c>
      <c r="BI557">
        <v>15</v>
      </c>
      <c r="BJ557" t="s">
        <v>2639</v>
      </c>
      <c r="BK557" t="s">
        <v>104</v>
      </c>
      <c r="BL557" t="s">
        <v>217</v>
      </c>
      <c r="BM557" t="s">
        <v>10682</v>
      </c>
      <c r="BN557" t="s">
        <v>74</v>
      </c>
      <c r="BO557" t="s">
        <v>5407</v>
      </c>
      <c r="BP557" t="s">
        <v>74</v>
      </c>
      <c r="BQ557" t="s">
        <v>74</v>
      </c>
      <c r="BR557" t="s">
        <v>108</v>
      </c>
      <c r="BS557" t="s">
        <v>10683</v>
      </c>
      <c r="BT557" t="str">
        <f>HYPERLINK("https%3A%2F%2Fwww.webofscience.com%2Fwos%2Fwoscc%2Ffull-record%2FWOS:000898423800001","View Full Record in Web of Science")</f>
        <v>View Full Record in Web of Science</v>
      </c>
    </row>
    <row r="558" spans="1:72" x14ac:dyDescent="0.15">
      <c r="A558" t="s">
        <v>72</v>
      </c>
      <c r="B558" t="s">
        <v>10684</v>
      </c>
      <c r="C558" t="s">
        <v>74</v>
      </c>
      <c r="D558" t="s">
        <v>74</v>
      </c>
      <c r="E558" t="s">
        <v>74</v>
      </c>
      <c r="F558" t="s">
        <v>10685</v>
      </c>
      <c r="G558" t="s">
        <v>74</v>
      </c>
      <c r="H558" t="s">
        <v>74</v>
      </c>
      <c r="I558" t="s">
        <v>10686</v>
      </c>
      <c r="J558" t="s">
        <v>10687</v>
      </c>
      <c r="K558" t="s">
        <v>74</v>
      </c>
      <c r="L558" t="s">
        <v>74</v>
      </c>
      <c r="M558" t="s">
        <v>78</v>
      </c>
      <c r="N558" t="s">
        <v>79</v>
      </c>
      <c r="O558" t="s">
        <v>74</v>
      </c>
      <c r="P558" t="s">
        <v>74</v>
      </c>
      <c r="Q558" t="s">
        <v>74</v>
      </c>
      <c r="R558" t="s">
        <v>74</v>
      </c>
      <c r="S558" t="s">
        <v>74</v>
      </c>
      <c r="T558" t="s">
        <v>10688</v>
      </c>
      <c r="U558" t="s">
        <v>10689</v>
      </c>
      <c r="V558" t="s">
        <v>10690</v>
      </c>
      <c r="W558" t="s">
        <v>10691</v>
      </c>
      <c r="X558" t="s">
        <v>10692</v>
      </c>
      <c r="Y558" t="s">
        <v>10693</v>
      </c>
      <c r="Z558" t="s">
        <v>5126</v>
      </c>
      <c r="AA558" t="s">
        <v>10694</v>
      </c>
      <c r="AB558" t="s">
        <v>10695</v>
      </c>
      <c r="AC558" t="s">
        <v>10696</v>
      </c>
      <c r="AD558" t="s">
        <v>10697</v>
      </c>
      <c r="AE558" t="s">
        <v>10698</v>
      </c>
      <c r="AF558" t="s">
        <v>74</v>
      </c>
      <c r="AG558">
        <v>55</v>
      </c>
      <c r="AH558">
        <v>0</v>
      </c>
      <c r="AI558">
        <v>0</v>
      </c>
      <c r="AJ558">
        <v>0</v>
      </c>
      <c r="AK558">
        <v>4</v>
      </c>
      <c r="AL558" t="s">
        <v>4886</v>
      </c>
      <c r="AM558" t="s">
        <v>4887</v>
      </c>
      <c r="AN558" t="s">
        <v>4888</v>
      </c>
      <c r="AO558" t="s">
        <v>74</v>
      </c>
      <c r="AP558" t="s">
        <v>10699</v>
      </c>
      <c r="AQ558" t="s">
        <v>74</v>
      </c>
      <c r="AR558" t="s">
        <v>10700</v>
      </c>
      <c r="AS558" t="s">
        <v>10701</v>
      </c>
      <c r="AT558" t="s">
        <v>9001</v>
      </c>
      <c r="AU558">
        <v>2022</v>
      </c>
      <c r="AV558">
        <v>10</v>
      </c>
      <c r="AW558">
        <v>12</v>
      </c>
      <c r="AX558" t="s">
        <v>74</v>
      </c>
      <c r="AY558" t="s">
        <v>74</v>
      </c>
      <c r="AZ558" t="s">
        <v>74</v>
      </c>
      <c r="BA558" t="s">
        <v>74</v>
      </c>
      <c r="BB558" t="s">
        <v>74</v>
      </c>
      <c r="BC558" t="s">
        <v>74</v>
      </c>
      <c r="BD558">
        <v>1812</v>
      </c>
      <c r="BE558" t="s">
        <v>10702</v>
      </c>
      <c r="BF558" t="str">
        <f>HYPERLINK("http://dx.doi.org/10.3390/jmse10121812","http://dx.doi.org/10.3390/jmse10121812")</f>
        <v>http://dx.doi.org/10.3390/jmse10121812</v>
      </c>
      <c r="BG558" t="s">
        <v>74</v>
      </c>
      <c r="BH558" t="s">
        <v>74</v>
      </c>
      <c r="BI558">
        <v>18</v>
      </c>
      <c r="BJ558" t="s">
        <v>10703</v>
      </c>
      <c r="BK558" t="s">
        <v>104</v>
      </c>
      <c r="BL558" t="s">
        <v>3062</v>
      </c>
      <c r="BM558" t="s">
        <v>10704</v>
      </c>
      <c r="BN558" t="s">
        <v>74</v>
      </c>
      <c r="BO558" t="s">
        <v>165</v>
      </c>
      <c r="BP558" t="s">
        <v>74</v>
      </c>
      <c r="BQ558" t="s">
        <v>74</v>
      </c>
      <c r="BR558" t="s">
        <v>108</v>
      </c>
      <c r="BS558" t="s">
        <v>10705</v>
      </c>
      <c r="BT558" t="str">
        <f>HYPERLINK("https%3A%2F%2Fwww.webofscience.com%2Fwos%2Fwoscc%2Ffull-record%2FWOS:000902666100001","View Full Record in Web of Science")</f>
        <v>View Full Record in Web of Science</v>
      </c>
    </row>
    <row r="559" spans="1:72" x14ac:dyDescent="0.15">
      <c r="A559" t="s">
        <v>72</v>
      </c>
      <c r="B559" t="s">
        <v>10706</v>
      </c>
      <c r="C559" t="s">
        <v>74</v>
      </c>
      <c r="D559" t="s">
        <v>74</v>
      </c>
      <c r="E559" t="s">
        <v>74</v>
      </c>
      <c r="F559" t="s">
        <v>10707</v>
      </c>
      <c r="G559" t="s">
        <v>74</v>
      </c>
      <c r="H559" t="s">
        <v>74</v>
      </c>
      <c r="I559" t="s">
        <v>10708</v>
      </c>
      <c r="J559" t="s">
        <v>4941</v>
      </c>
      <c r="K559" t="s">
        <v>74</v>
      </c>
      <c r="L559" t="s">
        <v>74</v>
      </c>
      <c r="M559" t="s">
        <v>78</v>
      </c>
      <c r="N559" t="s">
        <v>743</v>
      </c>
      <c r="O559" t="s">
        <v>74</v>
      </c>
      <c r="P559" t="s">
        <v>74</v>
      </c>
      <c r="Q559" t="s">
        <v>74</v>
      </c>
      <c r="R559" t="s">
        <v>74</v>
      </c>
      <c r="S559" t="s">
        <v>74</v>
      </c>
      <c r="T559" t="s">
        <v>10709</v>
      </c>
      <c r="U559" t="s">
        <v>10710</v>
      </c>
      <c r="V559" t="s">
        <v>10711</v>
      </c>
      <c r="W559" t="s">
        <v>10712</v>
      </c>
      <c r="X559" t="s">
        <v>10713</v>
      </c>
      <c r="Y559" t="s">
        <v>10714</v>
      </c>
      <c r="Z559" t="s">
        <v>10715</v>
      </c>
      <c r="AA559" t="s">
        <v>74</v>
      </c>
      <c r="AB559" t="s">
        <v>10716</v>
      </c>
      <c r="AC559" t="s">
        <v>10717</v>
      </c>
      <c r="AD559" t="s">
        <v>10718</v>
      </c>
      <c r="AE559" t="s">
        <v>10719</v>
      </c>
      <c r="AF559" t="s">
        <v>74</v>
      </c>
      <c r="AG559">
        <v>32</v>
      </c>
      <c r="AH559">
        <v>0</v>
      </c>
      <c r="AI559">
        <v>0</v>
      </c>
      <c r="AJ559">
        <v>1</v>
      </c>
      <c r="AK559">
        <v>2</v>
      </c>
      <c r="AL559" t="s">
        <v>4886</v>
      </c>
      <c r="AM559" t="s">
        <v>4887</v>
      </c>
      <c r="AN559" t="s">
        <v>4888</v>
      </c>
      <c r="AO559" t="s">
        <v>74</v>
      </c>
      <c r="AP559" t="s">
        <v>4954</v>
      </c>
      <c r="AQ559" t="s">
        <v>74</v>
      </c>
      <c r="AR559" t="s">
        <v>4955</v>
      </c>
      <c r="AS559" t="s">
        <v>4956</v>
      </c>
      <c r="AT559" t="s">
        <v>9001</v>
      </c>
      <c r="AU559">
        <v>2022</v>
      </c>
      <c r="AV559">
        <v>14</v>
      </c>
      <c r="AW559">
        <v>24</v>
      </c>
      <c r="AX559" t="s">
        <v>74</v>
      </c>
      <c r="AY559" t="s">
        <v>74</v>
      </c>
      <c r="AZ559" t="s">
        <v>74</v>
      </c>
      <c r="BA559" t="s">
        <v>74</v>
      </c>
      <c r="BB559" t="s">
        <v>74</v>
      </c>
      <c r="BC559" t="s">
        <v>74</v>
      </c>
      <c r="BD559">
        <v>6195</v>
      </c>
      <c r="BE559" t="s">
        <v>10720</v>
      </c>
      <c r="BF559" t="str">
        <f>HYPERLINK("http://dx.doi.org/10.3390/rs14246195","http://dx.doi.org/10.3390/rs14246195")</f>
        <v>http://dx.doi.org/10.3390/rs14246195</v>
      </c>
      <c r="BG559" t="s">
        <v>74</v>
      </c>
      <c r="BH559" t="s">
        <v>74</v>
      </c>
      <c r="BI559">
        <v>6</v>
      </c>
      <c r="BJ559" t="s">
        <v>4958</v>
      </c>
      <c r="BK559" t="s">
        <v>104</v>
      </c>
      <c r="BL559" t="s">
        <v>4959</v>
      </c>
      <c r="BM559" t="s">
        <v>10721</v>
      </c>
      <c r="BN559" t="s">
        <v>74</v>
      </c>
      <c r="BO559" t="s">
        <v>165</v>
      </c>
      <c r="BP559" t="s">
        <v>74</v>
      </c>
      <c r="BQ559" t="s">
        <v>74</v>
      </c>
      <c r="BR559" t="s">
        <v>108</v>
      </c>
      <c r="BS559" t="s">
        <v>10722</v>
      </c>
      <c r="BT559" t="str">
        <f>HYPERLINK("https%3A%2F%2Fwww.webofscience.com%2Fwos%2Fwoscc%2Ffull-record%2FWOS:000904565300001","View Full Record in Web of Science")</f>
        <v>View Full Record in Web of Science</v>
      </c>
    </row>
    <row r="560" spans="1:72" x14ac:dyDescent="0.15">
      <c r="A560" t="s">
        <v>72</v>
      </c>
      <c r="B560" t="s">
        <v>10723</v>
      </c>
      <c r="C560" t="s">
        <v>74</v>
      </c>
      <c r="D560" t="s">
        <v>74</v>
      </c>
      <c r="E560" t="s">
        <v>74</v>
      </c>
      <c r="F560" t="s">
        <v>10724</v>
      </c>
      <c r="G560" t="s">
        <v>74</v>
      </c>
      <c r="H560" t="s">
        <v>74</v>
      </c>
      <c r="I560" t="s">
        <v>10725</v>
      </c>
      <c r="J560" t="s">
        <v>5119</v>
      </c>
      <c r="K560" t="s">
        <v>74</v>
      </c>
      <c r="L560" t="s">
        <v>74</v>
      </c>
      <c r="M560" t="s">
        <v>78</v>
      </c>
      <c r="N560" t="s">
        <v>256</v>
      </c>
      <c r="O560" t="s">
        <v>74</v>
      </c>
      <c r="P560" t="s">
        <v>74</v>
      </c>
      <c r="Q560" t="s">
        <v>74</v>
      </c>
      <c r="R560" t="s">
        <v>74</v>
      </c>
      <c r="S560" t="s">
        <v>74</v>
      </c>
      <c r="T560" t="s">
        <v>10726</v>
      </c>
      <c r="U560" t="s">
        <v>10727</v>
      </c>
      <c r="V560" t="s">
        <v>10728</v>
      </c>
      <c r="W560" t="s">
        <v>10729</v>
      </c>
      <c r="X560" t="s">
        <v>10730</v>
      </c>
      <c r="Y560" t="s">
        <v>10731</v>
      </c>
      <c r="Z560" t="s">
        <v>10732</v>
      </c>
      <c r="AA560" t="s">
        <v>74</v>
      </c>
      <c r="AB560" t="s">
        <v>10733</v>
      </c>
      <c r="AC560" t="s">
        <v>10734</v>
      </c>
      <c r="AD560" t="s">
        <v>10735</v>
      </c>
      <c r="AE560" t="s">
        <v>10736</v>
      </c>
      <c r="AF560" t="s">
        <v>74</v>
      </c>
      <c r="AG560">
        <v>141</v>
      </c>
      <c r="AH560">
        <v>3</v>
      </c>
      <c r="AI560">
        <v>3</v>
      </c>
      <c r="AJ560">
        <v>11</v>
      </c>
      <c r="AK560">
        <v>28</v>
      </c>
      <c r="AL560" t="s">
        <v>4886</v>
      </c>
      <c r="AM560" t="s">
        <v>4887</v>
      </c>
      <c r="AN560" t="s">
        <v>4888</v>
      </c>
      <c r="AO560" t="s">
        <v>74</v>
      </c>
      <c r="AP560" t="s">
        <v>5132</v>
      </c>
      <c r="AQ560" t="s">
        <v>74</v>
      </c>
      <c r="AR560" t="s">
        <v>5119</v>
      </c>
      <c r="AS560" t="s">
        <v>5133</v>
      </c>
      <c r="AT560" t="s">
        <v>9001</v>
      </c>
      <c r="AU560">
        <v>2022</v>
      </c>
      <c r="AV560">
        <v>10</v>
      </c>
      <c r="AW560">
        <v>12</v>
      </c>
      <c r="AX560" t="s">
        <v>74</v>
      </c>
      <c r="AY560" t="s">
        <v>74</v>
      </c>
      <c r="AZ560" t="s">
        <v>74</v>
      </c>
      <c r="BA560" t="s">
        <v>74</v>
      </c>
      <c r="BB560" t="s">
        <v>74</v>
      </c>
      <c r="BC560" t="s">
        <v>74</v>
      </c>
      <c r="BD560">
        <v>2417</v>
      </c>
      <c r="BE560" t="s">
        <v>10737</v>
      </c>
      <c r="BF560" t="str">
        <f>HYPERLINK("http://dx.doi.org/10.3390/microorganisms10122417","http://dx.doi.org/10.3390/microorganisms10122417")</f>
        <v>http://dx.doi.org/10.3390/microorganisms10122417</v>
      </c>
      <c r="BG560" t="s">
        <v>74</v>
      </c>
      <c r="BH560" t="s">
        <v>74</v>
      </c>
      <c r="BI560">
        <v>21</v>
      </c>
      <c r="BJ560" t="s">
        <v>1699</v>
      </c>
      <c r="BK560" t="s">
        <v>104</v>
      </c>
      <c r="BL560" t="s">
        <v>1699</v>
      </c>
      <c r="BM560" t="s">
        <v>10738</v>
      </c>
      <c r="BN560">
        <v>36557670</v>
      </c>
      <c r="BO560" t="s">
        <v>192</v>
      </c>
      <c r="BP560" t="s">
        <v>74</v>
      </c>
      <c r="BQ560" t="s">
        <v>74</v>
      </c>
      <c r="BR560" t="s">
        <v>108</v>
      </c>
      <c r="BS560" t="s">
        <v>10739</v>
      </c>
      <c r="BT560" t="str">
        <f>HYPERLINK("https%3A%2F%2Fwww.webofscience.com%2Fwos%2Fwoscc%2Ffull-record%2FWOS:000904302900001","View Full Record in Web of Science")</f>
        <v>View Full Record in Web of Science</v>
      </c>
    </row>
    <row r="561" spans="1:72" x14ac:dyDescent="0.15">
      <c r="A561" t="s">
        <v>72</v>
      </c>
      <c r="B561" t="s">
        <v>10740</v>
      </c>
      <c r="C561" t="s">
        <v>74</v>
      </c>
      <c r="D561" t="s">
        <v>74</v>
      </c>
      <c r="E561" t="s">
        <v>74</v>
      </c>
      <c r="F561" t="s">
        <v>10741</v>
      </c>
      <c r="G561" t="s">
        <v>74</v>
      </c>
      <c r="H561" t="s">
        <v>74</v>
      </c>
      <c r="I561" t="s">
        <v>10742</v>
      </c>
      <c r="J561" t="s">
        <v>10743</v>
      </c>
      <c r="K561" t="s">
        <v>74</v>
      </c>
      <c r="L561" t="s">
        <v>74</v>
      </c>
      <c r="M561" t="s">
        <v>78</v>
      </c>
      <c r="N561" t="s">
        <v>79</v>
      </c>
      <c r="O561" t="s">
        <v>74</v>
      </c>
      <c r="P561" t="s">
        <v>74</v>
      </c>
      <c r="Q561" t="s">
        <v>74</v>
      </c>
      <c r="R561" t="s">
        <v>74</v>
      </c>
      <c r="S561" t="s">
        <v>74</v>
      </c>
      <c r="T561" t="s">
        <v>10744</v>
      </c>
      <c r="U561" t="s">
        <v>10745</v>
      </c>
      <c r="V561" t="s">
        <v>10746</v>
      </c>
      <c r="W561" t="s">
        <v>10747</v>
      </c>
      <c r="X561" t="s">
        <v>10748</v>
      </c>
      <c r="Y561" t="s">
        <v>10749</v>
      </c>
      <c r="Z561" t="s">
        <v>10750</v>
      </c>
      <c r="AA561" t="s">
        <v>74</v>
      </c>
      <c r="AB561" t="s">
        <v>10751</v>
      </c>
      <c r="AC561" t="s">
        <v>10752</v>
      </c>
      <c r="AD561" t="s">
        <v>10752</v>
      </c>
      <c r="AE561" t="s">
        <v>10753</v>
      </c>
      <c r="AF561" t="s">
        <v>74</v>
      </c>
      <c r="AG561">
        <v>26</v>
      </c>
      <c r="AH561">
        <v>0</v>
      </c>
      <c r="AI561">
        <v>0</v>
      </c>
      <c r="AJ561">
        <v>1</v>
      </c>
      <c r="AK561">
        <v>9</v>
      </c>
      <c r="AL561" t="s">
        <v>4886</v>
      </c>
      <c r="AM561" t="s">
        <v>4887</v>
      </c>
      <c r="AN561" t="s">
        <v>4888</v>
      </c>
      <c r="AO561" t="s">
        <v>74</v>
      </c>
      <c r="AP561" t="s">
        <v>10754</v>
      </c>
      <c r="AQ561" t="s">
        <v>74</v>
      </c>
      <c r="AR561" t="s">
        <v>10755</v>
      </c>
      <c r="AS561" t="s">
        <v>10756</v>
      </c>
      <c r="AT561" t="s">
        <v>9001</v>
      </c>
      <c r="AU561">
        <v>2022</v>
      </c>
      <c r="AV561">
        <v>11</v>
      </c>
      <c r="AW561">
        <v>24</v>
      </c>
      <c r="AX561" t="s">
        <v>74</v>
      </c>
      <c r="AY561" t="s">
        <v>74</v>
      </c>
      <c r="AZ561" t="s">
        <v>74</v>
      </c>
      <c r="BA561" t="s">
        <v>74</v>
      </c>
      <c r="BB561" t="s">
        <v>74</v>
      </c>
      <c r="BC561" t="s">
        <v>74</v>
      </c>
      <c r="BD561">
        <v>4236</v>
      </c>
      <c r="BE561" t="s">
        <v>10757</v>
      </c>
      <c r="BF561" t="str">
        <f>HYPERLINK("http://dx.doi.org/10.3390/electronics11244236","http://dx.doi.org/10.3390/electronics11244236")</f>
        <v>http://dx.doi.org/10.3390/electronics11244236</v>
      </c>
      <c r="BG561" t="s">
        <v>74</v>
      </c>
      <c r="BH561" t="s">
        <v>74</v>
      </c>
      <c r="BI561">
        <v>13</v>
      </c>
      <c r="BJ561" t="s">
        <v>10758</v>
      </c>
      <c r="BK561" t="s">
        <v>104</v>
      </c>
      <c r="BL561" t="s">
        <v>10759</v>
      </c>
      <c r="BM561" t="s">
        <v>10760</v>
      </c>
      <c r="BN561" t="s">
        <v>74</v>
      </c>
      <c r="BO561" t="s">
        <v>165</v>
      </c>
      <c r="BP561" t="s">
        <v>74</v>
      </c>
      <c r="BQ561" t="s">
        <v>74</v>
      </c>
      <c r="BR561" t="s">
        <v>108</v>
      </c>
      <c r="BS561" t="s">
        <v>10761</v>
      </c>
      <c r="BT561" t="str">
        <f>HYPERLINK("https%3A%2F%2Fwww.webofscience.com%2Fwos%2Fwoscc%2Ffull-record%2FWOS:000902658400001","View Full Record in Web of Science")</f>
        <v>View Full Record in Web of Science</v>
      </c>
    </row>
    <row r="562" spans="1:72" x14ac:dyDescent="0.15">
      <c r="A562" t="s">
        <v>72</v>
      </c>
      <c r="B562" t="s">
        <v>10762</v>
      </c>
      <c r="C562" t="s">
        <v>74</v>
      </c>
      <c r="D562" t="s">
        <v>74</v>
      </c>
      <c r="E562" t="s">
        <v>74</v>
      </c>
      <c r="F562" t="s">
        <v>10763</v>
      </c>
      <c r="G562" t="s">
        <v>74</v>
      </c>
      <c r="H562" t="s">
        <v>74</v>
      </c>
      <c r="I562" t="s">
        <v>10764</v>
      </c>
      <c r="J562" t="s">
        <v>5263</v>
      </c>
      <c r="K562" t="s">
        <v>74</v>
      </c>
      <c r="L562" t="s">
        <v>74</v>
      </c>
      <c r="M562" t="s">
        <v>78</v>
      </c>
      <c r="N562" t="s">
        <v>79</v>
      </c>
      <c r="O562" t="s">
        <v>74</v>
      </c>
      <c r="P562" t="s">
        <v>74</v>
      </c>
      <c r="Q562" t="s">
        <v>74</v>
      </c>
      <c r="R562" t="s">
        <v>74</v>
      </c>
      <c r="S562" t="s">
        <v>74</v>
      </c>
      <c r="T562" t="s">
        <v>10765</v>
      </c>
      <c r="U562" t="s">
        <v>10766</v>
      </c>
      <c r="V562" t="s">
        <v>10767</v>
      </c>
      <c r="W562" t="s">
        <v>10768</v>
      </c>
      <c r="X562" t="s">
        <v>10769</v>
      </c>
      <c r="Y562" t="s">
        <v>10770</v>
      </c>
      <c r="Z562" t="s">
        <v>10771</v>
      </c>
      <c r="AA562" t="s">
        <v>74</v>
      </c>
      <c r="AB562" t="s">
        <v>10772</v>
      </c>
      <c r="AC562" t="s">
        <v>10773</v>
      </c>
      <c r="AD562" t="s">
        <v>10774</v>
      </c>
      <c r="AE562" t="s">
        <v>10775</v>
      </c>
      <c r="AF562" t="s">
        <v>74</v>
      </c>
      <c r="AG562">
        <v>90</v>
      </c>
      <c r="AH562">
        <v>2</v>
      </c>
      <c r="AI562">
        <v>2</v>
      </c>
      <c r="AJ562">
        <v>9</v>
      </c>
      <c r="AK562">
        <v>27</v>
      </c>
      <c r="AL562" t="s">
        <v>4886</v>
      </c>
      <c r="AM562" t="s">
        <v>4887</v>
      </c>
      <c r="AN562" t="s">
        <v>4888</v>
      </c>
      <c r="AO562" t="s">
        <v>74</v>
      </c>
      <c r="AP562" t="s">
        <v>5276</v>
      </c>
      <c r="AQ562" t="s">
        <v>74</v>
      </c>
      <c r="AR562" t="s">
        <v>5263</v>
      </c>
      <c r="AS562" t="s">
        <v>5277</v>
      </c>
      <c r="AT562" t="s">
        <v>9001</v>
      </c>
      <c r="AU562">
        <v>2022</v>
      </c>
      <c r="AV562">
        <v>11</v>
      </c>
      <c r="AW562">
        <v>12</v>
      </c>
      <c r="AX562" t="s">
        <v>74</v>
      </c>
      <c r="AY562" t="s">
        <v>74</v>
      </c>
      <c r="AZ562" t="s">
        <v>74</v>
      </c>
      <c r="BA562" t="s">
        <v>74</v>
      </c>
      <c r="BB562" t="s">
        <v>74</v>
      </c>
      <c r="BC562" t="s">
        <v>74</v>
      </c>
      <c r="BD562">
        <v>1773</v>
      </c>
      <c r="BE562" t="s">
        <v>10776</v>
      </c>
      <c r="BF562" t="str">
        <f>HYPERLINK("http://dx.doi.org/10.3390/biology11121773","http://dx.doi.org/10.3390/biology11121773")</f>
        <v>http://dx.doi.org/10.3390/biology11121773</v>
      </c>
      <c r="BG562" t="s">
        <v>74</v>
      </c>
      <c r="BH562" t="s">
        <v>74</v>
      </c>
      <c r="BI562">
        <v>18</v>
      </c>
      <c r="BJ562" t="s">
        <v>3178</v>
      </c>
      <c r="BK562" t="s">
        <v>104</v>
      </c>
      <c r="BL562" t="s">
        <v>3179</v>
      </c>
      <c r="BM562" t="s">
        <v>10777</v>
      </c>
      <c r="BN562">
        <v>36552282</v>
      </c>
      <c r="BO562" t="s">
        <v>3181</v>
      </c>
      <c r="BP562" t="s">
        <v>74</v>
      </c>
      <c r="BQ562" t="s">
        <v>74</v>
      </c>
      <c r="BR562" t="s">
        <v>108</v>
      </c>
      <c r="BS562" t="s">
        <v>10778</v>
      </c>
      <c r="BT562" t="str">
        <f>HYPERLINK("https%3A%2F%2Fwww.webofscience.com%2Fwos%2Fwoscc%2Ffull-record%2FWOS:000902357700001","View Full Record in Web of Science")</f>
        <v>View Full Record in Web of Science</v>
      </c>
    </row>
    <row r="563" spans="1:72" x14ac:dyDescent="0.15">
      <c r="A563" t="s">
        <v>72</v>
      </c>
      <c r="B563" t="s">
        <v>10779</v>
      </c>
      <c r="C563" t="s">
        <v>74</v>
      </c>
      <c r="D563" t="s">
        <v>74</v>
      </c>
      <c r="E563" t="s">
        <v>74</v>
      </c>
      <c r="F563" t="s">
        <v>10780</v>
      </c>
      <c r="G563" t="s">
        <v>74</v>
      </c>
      <c r="H563" t="s">
        <v>74</v>
      </c>
      <c r="I563" t="s">
        <v>10781</v>
      </c>
      <c r="J563" t="s">
        <v>10782</v>
      </c>
      <c r="K563" t="s">
        <v>74</v>
      </c>
      <c r="L563" t="s">
        <v>74</v>
      </c>
      <c r="M563" t="s">
        <v>78</v>
      </c>
      <c r="N563" t="s">
        <v>256</v>
      </c>
      <c r="O563" t="s">
        <v>74</v>
      </c>
      <c r="P563" t="s">
        <v>74</v>
      </c>
      <c r="Q563" t="s">
        <v>74</v>
      </c>
      <c r="R563" t="s">
        <v>74</v>
      </c>
      <c r="S563" t="s">
        <v>74</v>
      </c>
      <c r="T563" t="s">
        <v>10783</v>
      </c>
      <c r="U563" t="s">
        <v>10784</v>
      </c>
      <c r="V563" t="s">
        <v>10785</v>
      </c>
      <c r="W563" t="s">
        <v>10786</v>
      </c>
      <c r="X563" t="s">
        <v>10787</v>
      </c>
      <c r="Y563" t="s">
        <v>10788</v>
      </c>
      <c r="Z563" t="s">
        <v>10789</v>
      </c>
      <c r="AA563" t="s">
        <v>74</v>
      </c>
      <c r="AB563" t="s">
        <v>74</v>
      </c>
      <c r="AC563" t="s">
        <v>10790</v>
      </c>
      <c r="AD563" t="s">
        <v>10791</v>
      </c>
      <c r="AE563" t="s">
        <v>10792</v>
      </c>
      <c r="AF563" t="s">
        <v>74</v>
      </c>
      <c r="AG563">
        <v>76</v>
      </c>
      <c r="AH563">
        <v>3</v>
      </c>
      <c r="AI563">
        <v>3</v>
      </c>
      <c r="AJ563">
        <v>5</v>
      </c>
      <c r="AK563">
        <v>6</v>
      </c>
      <c r="AL563" t="s">
        <v>4886</v>
      </c>
      <c r="AM563" t="s">
        <v>4887</v>
      </c>
      <c r="AN563" t="s">
        <v>4888</v>
      </c>
      <c r="AO563" t="s">
        <v>74</v>
      </c>
      <c r="AP563" t="s">
        <v>10793</v>
      </c>
      <c r="AQ563" t="s">
        <v>74</v>
      </c>
      <c r="AR563" t="s">
        <v>10782</v>
      </c>
      <c r="AS563" t="s">
        <v>10794</v>
      </c>
      <c r="AT563" t="s">
        <v>9001</v>
      </c>
      <c r="AU563">
        <v>2022</v>
      </c>
      <c r="AV563">
        <v>27</v>
      </c>
      <c r="AW563">
        <v>24</v>
      </c>
      <c r="AX563" t="s">
        <v>74</v>
      </c>
      <c r="AY563" t="s">
        <v>74</v>
      </c>
      <c r="AZ563" t="s">
        <v>74</v>
      </c>
      <c r="BA563" t="s">
        <v>74</v>
      </c>
      <c r="BB563" t="s">
        <v>74</v>
      </c>
      <c r="BC563" t="s">
        <v>74</v>
      </c>
      <c r="BD563">
        <v>8714</v>
      </c>
      <c r="BE563" t="s">
        <v>10795</v>
      </c>
      <c r="BF563" t="str">
        <f>HYPERLINK("http://dx.doi.org/10.3390/molecules27248714","http://dx.doi.org/10.3390/molecules27248714")</f>
        <v>http://dx.doi.org/10.3390/molecules27248714</v>
      </c>
      <c r="BG563" t="s">
        <v>74</v>
      </c>
      <c r="BH563" t="s">
        <v>74</v>
      </c>
      <c r="BI563">
        <v>12</v>
      </c>
      <c r="BJ563" t="s">
        <v>5360</v>
      </c>
      <c r="BK563" t="s">
        <v>104</v>
      </c>
      <c r="BL563" t="s">
        <v>5361</v>
      </c>
      <c r="BM563" t="s">
        <v>10796</v>
      </c>
      <c r="BN563">
        <v>36557848</v>
      </c>
      <c r="BO563" t="s">
        <v>192</v>
      </c>
      <c r="BP563" t="s">
        <v>74</v>
      </c>
      <c r="BQ563" t="s">
        <v>74</v>
      </c>
      <c r="BR563" t="s">
        <v>108</v>
      </c>
      <c r="BS563" t="s">
        <v>10797</v>
      </c>
      <c r="BT563" t="str">
        <f>HYPERLINK("https%3A%2F%2Fwww.webofscience.com%2Fwos%2Fwoscc%2Ffull-record%2FWOS:000902792400001","View Full Record in Web of Science")</f>
        <v>View Full Record in Web of Science</v>
      </c>
    </row>
    <row r="564" spans="1:72" x14ac:dyDescent="0.15">
      <c r="A564" t="s">
        <v>72</v>
      </c>
      <c r="B564" t="s">
        <v>10798</v>
      </c>
      <c r="C564" t="s">
        <v>74</v>
      </c>
      <c r="D564" t="s">
        <v>74</v>
      </c>
      <c r="E564" t="s">
        <v>74</v>
      </c>
      <c r="F564" t="s">
        <v>10799</v>
      </c>
      <c r="G564" t="s">
        <v>74</v>
      </c>
      <c r="H564" t="s">
        <v>74</v>
      </c>
      <c r="I564" t="s">
        <v>10800</v>
      </c>
      <c r="J564" t="s">
        <v>5263</v>
      </c>
      <c r="K564" t="s">
        <v>74</v>
      </c>
      <c r="L564" t="s">
        <v>74</v>
      </c>
      <c r="M564" t="s">
        <v>78</v>
      </c>
      <c r="N564" t="s">
        <v>79</v>
      </c>
      <c r="O564" t="s">
        <v>74</v>
      </c>
      <c r="P564" t="s">
        <v>74</v>
      </c>
      <c r="Q564" t="s">
        <v>74</v>
      </c>
      <c r="R564" t="s">
        <v>74</v>
      </c>
      <c r="S564" t="s">
        <v>74</v>
      </c>
      <c r="T564" t="s">
        <v>10801</v>
      </c>
      <c r="U564" t="s">
        <v>10802</v>
      </c>
      <c r="V564" t="s">
        <v>10803</v>
      </c>
      <c r="W564" t="s">
        <v>10804</v>
      </c>
      <c r="X564" t="s">
        <v>10805</v>
      </c>
      <c r="Y564" t="s">
        <v>10806</v>
      </c>
      <c r="Z564" t="s">
        <v>10807</v>
      </c>
      <c r="AA564" t="s">
        <v>10808</v>
      </c>
      <c r="AB564" t="s">
        <v>10809</v>
      </c>
      <c r="AC564" t="s">
        <v>74</v>
      </c>
      <c r="AD564" t="s">
        <v>74</v>
      </c>
      <c r="AE564" t="s">
        <v>74</v>
      </c>
      <c r="AF564" t="s">
        <v>74</v>
      </c>
      <c r="AG564">
        <v>157</v>
      </c>
      <c r="AH564">
        <v>1</v>
      </c>
      <c r="AI564">
        <v>1</v>
      </c>
      <c r="AJ564">
        <v>2</v>
      </c>
      <c r="AK564">
        <v>5</v>
      </c>
      <c r="AL564" t="s">
        <v>4886</v>
      </c>
      <c r="AM564" t="s">
        <v>4887</v>
      </c>
      <c r="AN564" t="s">
        <v>4888</v>
      </c>
      <c r="AO564" t="s">
        <v>74</v>
      </c>
      <c r="AP564" t="s">
        <v>5276</v>
      </c>
      <c r="AQ564" t="s">
        <v>74</v>
      </c>
      <c r="AR564" t="s">
        <v>5263</v>
      </c>
      <c r="AS564" t="s">
        <v>5277</v>
      </c>
      <c r="AT564" t="s">
        <v>9001</v>
      </c>
      <c r="AU564">
        <v>2022</v>
      </c>
      <c r="AV564">
        <v>11</v>
      </c>
      <c r="AW564">
        <v>12</v>
      </c>
      <c r="AX564" t="s">
        <v>74</v>
      </c>
      <c r="AY564" t="s">
        <v>74</v>
      </c>
      <c r="AZ564" t="s">
        <v>74</v>
      </c>
      <c r="BA564" t="s">
        <v>74</v>
      </c>
      <c r="BB564" t="s">
        <v>74</v>
      </c>
      <c r="BC564" t="s">
        <v>74</v>
      </c>
      <c r="BD564">
        <v>1705</v>
      </c>
      <c r="BE564" t="s">
        <v>10810</v>
      </c>
      <c r="BF564" t="str">
        <f>HYPERLINK("http://dx.doi.org/10.3390/biology11121705","http://dx.doi.org/10.3390/biology11121705")</f>
        <v>http://dx.doi.org/10.3390/biology11121705</v>
      </c>
      <c r="BG564" t="s">
        <v>74</v>
      </c>
      <c r="BH564" t="s">
        <v>74</v>
      </c>
      <c r="BI564">
        <v>28</v>
      </c>
      <c r="BJ564" t="s">
        <v>3178</v>
      </c>
      <c r="BK564" t="s">
        <v>104</v>
      </c>
      <c r="BL564" t="s">
        <v>3179</v>
      </c>
      <c r="BM564" t="s">
        <v>10811</v>
      </c>
      <c r="BN564">
        <v>36552215</v>
      </c>
      <c r="BO564" t="s">
        <v>5407</v>
      </c>
      <c r="BP564" t="s">
        <v>74</v>
      </c>
      <c r="BQ564" t="s">
        <v>74</v>
      </c>
      <c r="BR564" t="s">
        <v>108</v>
      </c>
      <c r="BS564" t="s">
        <v>10812</v>
      </c>
      <c r="BT564" t="str">
        <f>HYPERLINK("https%3A%2F%2Fwww.webofscience.com%2Fwos%2Fwoscc%2Ffull-record%2FWOS:000900558200001","View Full Record in Web of Science")</f>
        <v>View Full Record in Web of Science</v>
      </c>
    </row>
    <row r="565" spans="1:72" x14ac:dyDescent="0.15">
      <c r="A565" t="s">
        <v>72</v>
      </c>
      <c r="B565" t="s">
        <v>10813</v>
      </c>
      <c r="C565" t="s">
        <v>74</v>
      </c>
      <c r="D565" t="s">
        <v>74</v>
      </c>
      <c r="E565" t="s">
        <v>74</v>
      </c>
      <c r="F565" t="s">
        <v>10814</v>
      </c>
      <c r="G565" t="s">
        <v>74</v>
      </c>
      <c r="H565" t="s">
        <v>74</v>
      </c>
      <c r="I565" t="s">
        <v>10815</v>
      </c>
      <c r="J565" t="s">
        <v>5196</v>
      </c>
      <c r="K565" t="s">
        <v>74</v>
      </c>
      <c r="L565" t="s">
        <v>74</v>
      </c>
      <c r="M565" t="s">
        <v>78</v>
      </c>
      <c r="N565" t="s">
        <v>79</v>
      </c>
      <c r="O565" t="s">
        <v>74</v>
      </c>
      <c r="P565" t="s">
        <v>74</v>
      </c>
      <c r="Q565" t="s">
        <v>74</v>
      </c>
      <c r="R565" t="s">
        <v>74</v>
      </c>
      <c r="S565" t="s">
        <v>74</v>
      </c>
      <c r="T565" t="s">
        <v>10816</v>
      </c>
      <c r="U565" t="s">
        <v>10817</v>
      </c>
      <c r="V565" t="s">
        <v>10818</v>
      </c>
      <c r="W565" t="s">
        <v>10819</v>
      </c>
      <c r="X565" t="s">
        <v>10820</v>
      </c>
      <c r="Y565" t="s">
        <v>10821</v>
      </c>
      <c r="Z565" t="s">
        <v>10822</v>
      </c>
      <c r="AA565" t="s">
        <v>10823</v>
      </c>
      <c r="AB565" t="s">
        <v>10824</v>
      </c>
      <c r="AC565" t="s">
        <v>10825</v>
      </c>
      <c r="AD565" t="s">
        <v>10826</v>
      </c>
      <c r="AE565" t="s">
        <v>10827</v>
      </c>
      <c r="AF565" t="s">
        <v>74</v>
      </c>
      <c r="AG565">
        <v>100</v>
      </c>
      <c r="AH565">
        <v>0</v>
      </c>
      <c r="AI565">
        <v>0</v>
      </c>
      <c r="AJ565">
        <v>2</v>
      </c>
      <c r="AK565">
        <v>3</v>
      </c>
      <c r="AL565" t="s">
        <v>4886</v>
      </c>
      <c r="AM565" t="s">
        <v>4887</v>
      </c>
      <c r="AN565" t="s">
        <v>4888</v>
      </c>
      <c r="AO565" t="s">
        <v>74</v>
      </c>
      <c r="AP565" t="s">
        <v>5207</v>
      </c>
      <c r="AQ565" t="s">
        <v>74</v>
      </c>
      <c r="AR565" t="s">
        <v>5208</v>
      </c>
      <c r="AS565" t="s">
        <v>5209</v>
      </c>
      <c r="AT565" t="s">
        <v>9001</v>
      </c>
      <c r="AU565">
        <v>2022</v>
      </c>
      <c r="AV565">
        <v>7</v>
      </c>
      <c r="AW565">
        <v>6</v>
      </c>
      <c r="AX565" t="s">
        <v>74</v>
      </c>
      <c r="AY565" t="s">
        <v>74</v>
      </c>
      <c r="AZ565" t="s">
        <v>74</v>
      </c>
      <c r="BA565" t="s">
        <v>74</v>
      </c>
      <c r="BB565" t="s">
        <v>74</v>
      </c>
      <c r="BC565" t="s">
        <v>74</v>
      </c>
      <c r="BD565">
        <v>387</v>
      </c>
      <c r="BE565" t="s">
        <v>10828</v>
      </c>
      <c r="BF565" t="str">
        <f>HYPERLINK("http://dx.doi.org/10.3390/fishes7060387","http://dx.doi.org/10.3390/fishes7060387")</f>
        <v>http://dx.doi.org/10.3390/fishes7060387</v>
      </c>
      <c r="BG565" t="s">
        <v>74</v>
      </c>
      <c r="BH565" t="s">
        <v>74</v>
      </c>
      <c r="BI565">
        <v>20</v>
      </c>
      <c r="BJ565" t="s">
        <v>5211</v>
      </c>
      <c r="BK565" t="s">
        <v>104</v>
      </c>
      <c r="BL565" t="s">
        <v>5211</v>
      </c>
      <c r="BM565" t="s">
        <v>10829</v>
      </c>
      <c r="BN565" t="s">
        <v>74</v>
      </c>
      <c r="BO565" t="s">
        <v>3181</v>
      </c>
      <c r="BP565" t="s">
        <v>74</v>
      </c>
      <c r="BQ565" t="s">
        <v>74</v>
      </c>
      <c r="BR565" t="s">
        <v>108</v>
      </c>
      <c r="BS565" t="s">
        <v>10830</v>
      </c>
      <c r="BT565" t="str">
        <f>HYPERLINK("https%3A%2F%2Fwww.webofscience.com%2Fwos%2Fwoscc%2Ffull-record%2FWOS:000902510300001","View Full Record in Web of Science")</f>
        <v>View Full Record in Web of Science</v>
      </c>
    </row>
    <row r="566" spans="1:72" x14ac:dyDescent="0.15">
      <c r="A566" t="s">
        <v>72</v>
      </c>
      <c r="B566" t="s">
        <v>10831</v>
      </c>
      <c r="C566" t="s">
        <v>74</v>
      </c>
      <c r="D566" t="s">
        <v>74</v>
      </c>
      <c r="E566" t="s">
        <v>74</v>
      </c>
      <c r="F566" t="s">
        <v>10832</v>
      </c>
      <c r="G566" t="s">
        <v>74</v>
      </c>
      <c r="H566" t="s">
        <v>74</v>
      </c>
      <c r="I566" t="s">
        <v>10833</v>
      </c>
      <c r="J566" t="s">
        <v>5119</v>
      </c>
      <c r="K566" t="s">
        <v>74</v>
      </c>
      <c r="L566" t="s">
        <v>74</v>
      </c>
      <c r="M566" t="s">
        <v>78</v>
      </c>
      <c r="N566" t="s">
        <v>79</v>
      </c>
      <c r="O566" t="s">
        <v>74</v>
      </c>
      <c r="P566" t="s">
        <v>74</v>
      </c>
      <c r="Q566" t="s">
        <v>74</v>
      </c>
      <c r="R566" t="s">
        <v>74</v>
      </c>
      <c r="S566" t="s">
        <v>74</v>
      </c>
      <c r="T566" t="s">
        <v>10834</v>
      </c>
      <c r="U566" t="s">
        <v>10835</v>
      </c>
      <c r="V566" t="s">
        <v>10836</v>
      </c>
      <c r="W566" t="s">
        <v>10837</v>
      </c>
      <c r="X566" t="s">
        <v>10838</v>
      </c>
      <c r="Y566" t="s">
        <v>10839</v>
      </c>
      <c r="Z566" t="s">
        <v>10840</v>
      </c>
      <c r="AA566" t="s">
        <v>74</v>
      </c>
      <c r="AB566" t="s">
        <v>10841</v>
      </c>
      <c r="AC566" t="s">
        <v>10842</v>
      </c>
      <c r="AD566" t="s">
        <v>10842</v>
      </c>
      <c r="AE566" t="s">
        <v>10843</v>
      </c>
      <c r="AF566" t="s">
        <v>74</v>
      </c>
      <c r="AG566">
        <v>60</v>
      </c>
      <c r="AH566">
        <v>0</v>
      </c>
      <c r="AI566">
        <v>0</v>
      </c>
      <c r="AJ566">
        <v>1</v>
      </c>
      <c r="AK566">
        <v>4</v>
      </c>
      <c r="AL566" t="s">
        <v>4886</v>
      </c>
      <c r="AM566" t="s">
        <v>4887</v>
      </c>
      <c r="AN566" t="s">
        <v>4888</v>
      </c>
      <c r="AO566" t="s">
        <v>74</v>
      </c>
      <c r="AP566" t="s">
        <v>5132</v>
      </c>
      <c r="AQ566" t="s">
        <v>74</v>
      </c>
      <c r="AR566" t="s">
        <v>5119</v>
      </c>
      <c r="AS566" t="s">
        <v>5133</v>
      </c>
      <c r="AT566" t="s">
        <v>9001</v>
      </c>
      <c r="AU566">
        <v>2022</v>
      </c>
      <c r="AV566">
        <v>10</v>
      </c>
      <c r="AW566">
        <v>12</v>
      </c>
      <c r="AX566" t="s">
        <v>74</v>
      </c>
      <c r="AY566" t="s">
        <v>74</v>
      </c>
      <c r="AZ566" t="s">
        <v>74</v>
      </c>
      <c r="BA566" t="s">
        <v>74</v>
      </c>
      <c r="BB566" t="s">
        <v>74</v>
      </c>
      <c r="BC566" t="s">
        <v>74</v>
      </c>
      <c r="BD566">
        <v>2415</v>
      </c>
      <c r="BE566" t="s">
        <v>10844</v>
      </c>
      <c r="BF566" t="str">
        <f>HYPERLINK("http://dx.doi.org/10.3390/microorganisms10122415","http://dx.doi.org/10.3390/microorganisms10122415")</f>
        <v>http://dx.doi.org/10.3390/microorganisms10122415</v>
      </c>
      <c r="BG566" t="s">
        <v>74</v>
      </c>
      <c r="BH566" t="s">
        <v>74</v>
      </c>
      <c r="BI566">
        <v>13</v>
      </c>
      <c r="BJ566" t="s">
        <v>1699</v>
      </c>
      <c r="BK566" t="s">
        <v>104</v>
      </c>
      <c r="BL566" t="s">
        <v>1699</v>
      </c>
      <c r="BM566" t="s">
        <v>10845</v>
      </c>
      <c r="BN566">
        <v>36557668</v>
      </c>
      <c r="BO566" t="s">
        <v>3181</v>
      </c>
      <c r="BP566" t="s">
        <v>74</v>
      </c>
      <c r="BQ566" t="s">
        <v>74</v>
      </c>
      <c r="BR566" t="s">
        <v>108</v>
      </c>
      <c r="BS566" t="s">
        <v>10846</v>
      </c>
      <c r="BT566" t="str">
        <f>HYPERLINK("https%3A%2F%2Fwww.webofscience.com%2Fwos%2Fwoscc%2Ffull-record%2FWOS:000903723800001","View Full Record in Web of Science")</f>
        <v>View Full Record in Web of Science</v>
      </c>
    </row>
    <row r="567" spans="1:72" x14ac:dyDescent="0.15">
      <c r="A567" t="s">
        <v>72</v>
      </c>
      <c r="B567" t="s">
        <v>10847</v>
      </c>
      <c r="C567" t="s">
        <v>74</v>
      </c>
      <c r="D567" t="s">
        <v>74</v>
      </c>
      <c r="E567" t="s">
        <v>74</v>
      </c>
      <c r="F567" t="s">
        <v>10848</v>
      </c>
      <c r="G567" t="s">
        <v>74</v>
      </c>
      <c r="H567" t="s">
        <v>74</v>
      </c>
      <c r="I567" t="s">
        <v>10849</v>
      </c>
      <c r="J567" t="s">
        <v>7102</v>
      </c>
      <c r="K567" t="s">
        <v>74</v>
      </c>
      <c r="L567" t="s">
        <v>74</v>
      </c>
      <c r="M567" t="s">
        <v>78</v>
      </c>
      <c r="N567" t="s">
        <v>79</v>
      </c>
      <c r="O567" t="s">
        <v>74</v>
      </c>
      <c r="P567" t="s">
        <v>74</v>
      </c>
      <c r="Q567" t="s">
        <v>74</v>
      </c>
      <c r="R567" t="s">
        <v>74</v>
      </c>
      <c r="S567" t="s">
        <v>74</v>
      </c>
      <c r="T567" t="s">
        <v>10850</v>
      </c>
      <c r="U567" t="s">
        <v>10851</v>
      </c>
      <c r="V567" t="s">
        <v>10852</v>
      </c>
      <c r="W567" t="s">
        <v>10853</v>
      </c>
      <c r="X567" t="s">
        <v>10854</v>
      </c>
      <c r="Y567" t="s">
        <v>10855</v>
      </c>
      <c r="Z567" t="s">
        <v>10856</v>
      </c>
      <c r="AA567" t="s">
        <v>10857</v>
      </c>
      <c r="AB567" t="s">
        <v>10858</v>
      </c>
      <c r="AC567" t="s">
        <v>10859</v>
      </c>
      <c r="AD567" t="s">
        <v>10860</v>
      </c>
      <c r="AE567" t="s">
        <v>10861</v>
      </c>
      <c r="AF567" t="s">
        <v>74</v>
      </c>
      <c r="AG567">
        <v>82</v>
      </c>
      <c r="AH567">
        <v>0</v>
      </c>
      <c r="AI567">
        <v>0</v>
      </c>
      <c r="AJ567">
        <v>2</v>
      </c>
      <c r="AK567">
        <v>4</v>
      </c>
      <c r="AL567" t="s">
        <v>448</v>
      </c>
      <c r="AM567" t="s">
        <v>449</v>
      </c>
      <c r="AN567" t="s">
        <v>450</v>
      </c>
      <c r="AO567" t="s">
        <v>74</v>
      </c>
      <c r="AP567" t="s">
        <v>7115</v>
      </c>
      <c r="AQ567" t="s">
        <v>74</v>
      </c>
      <c r="AR567" t="s">
        <v>7116</v>
      </c>
      <c r="AS567" t="s">
        <v>7117</v>
      </c>
      <c r="AT567" t="s">
        <v>9839</v>
      </c>
      <c r="AU567">
        <v>2022</v>
      </c>
      <c r="AV567">
        <v>9</v>
      </c>
      <c r="AW567" t="s">
        <v>74</v>
      </c>
      <c r="AX567" t="s">
        <v>74</v>
      </c>
      <c r="AY567" t="s">
        <v>74</v>
      </c>
      <c r="AZ567" t="s">
        <v>74</v>
      </c>
      <c r="BA567" t="s">
        <v>74</v>
      </c>
      <c r="BB567" t="s">
        <v>74</v>
      </c>
      <c r="BC567" t="s">
        <v>74</v>
      </c>
      <c r="BD567">
        <v>951195</v>
      </c>
      <c r="BE567" t="s">
        <v>10862</v>
      </c>
      <c r="BF567" t="str">
        <f>HYPERLINK("http://dx.doi.org/10.3389/fmars.2022.951195","http://dx.doi.org/10.3389/fmars.2022.951195")</f>
        <v>http://dx.doi.org/10.3389/fmars.2022.951195</v>
      </c>
      <c r="BG567" t="s">
        <v>74</v>
      </c>
      <c r="BH567" t="s">
        <v>74</v>
      </c>
      <c r="BI567">
        <v>15</v>
      </c>
      <c r="BJ567" t="s">
        <v>6728</v>
      </c>
      <c r="BK567" t="s">
        <v>104</v>
      </c>
      <c r="BL567" t="s">
        <v>6729</v>
      </c>
      <c r="BM567" t="s">
        <v>10863</v>
      </c>
      <c r="BN567" t="s">
        <v>74</v>
      </c>
      <c r="BO567" t="s">
        <v>165</v>
      </c>
      <c r="BP567" t="s">
        <v>74</v>
      </c>
      <c r="BQ567" t="s">
        <v>74</v>
      </c>
      <c r="BR567" t="s">
        <v>108</v>
      </c>
      <c r="BS567" t="s">
        <v>10864</v>
      </c>
      <c r="BT567" t="str">
        <f>HYPERLINK("https%3A%2F%2Fwww.webofscience.com%2Fwos%2Fwoscc%2Ffull-record%2FWOS:000897183600001","View Full Record in Web of Science")</f>
        <v>View Full Record in Web of Science</v>
      </c>
    </row>
    <row r="568" spans="1:72" x14ac:dyDescent="0.15">
      <c r="A568" t="s">
        <v>72</v>
      </c>
      <c r="B568" t="s">
        <v>10865</v>
      </c>
      <c r="C568" t="s">
        <v>74</v>
      </c>
      <c r="D568" t="s">
        <v>74</v>
      </c>
      <c r="E568" t="s">
        <v>74</v>
      </c>
      <c r="F568" t="s">
        <v>10866</v>
      </c>
      <c r="G568" t="s">
        <v>74</v>
      </c>
      <c r="H568" t="s">
        <v>74</v>
      </c>
      <c r="I568" t="s">
        <v>10867</v>
      </c>
      <c r="J568" t="s">
        <v>10687</v>
      </c>
      <c r="K568" t="s">
        <v>74</v>
      </c>
      <c r="L568" t="s">
        <v>74</v>
      </c>
      <c r="M568" t="s">
        <v>78</v>
      </c>
      <c r="N568" t="s">
        <v>79</v>
      </c>
      <c r="O568" t="s">
        <v>74</v>
      </c>
      <c r="P568" t="s">
        <v>74</v>
      </c>
      <c r="Q568" t="s">
        <v>74</v>
      </c>
      <c r="R568" t="s">
        <v>74</v>
      </c>
      <c r="S568" t="s">
        <v>74</v>
      </c>
      <c r="T568" t="s">
        <v>10868</v>
      </c>
      <c r="U568" t="s">
        <v>10869</v>
      </c>
      <c r="V568" t="s">
        <v>10870</v>
      </c>
      <c r="W568" t="s">
        <v>10871</v>
      </c>
      <c r="X568" t="s">
        <v>10872</v>
      </c>
      <c r="Y568" t="s">
        <v>10873</v>
      </c>
      <c r="Z568" t="s">
        <v>10874</v>
      </c>
      <c r="AA568" t="s">
        <v>10875</v>
      </c>
      <c r="AB568" t="s">
        <v>10876</v>
      </c>
      <c r="AC568" t="s">
        <v>10877</v>
      </c>
      <c r="AD568" t="s">
        <v>10878</v>
      </c>
      <c r="AE568" t="s">
        <v>10879</v>
      </c>
      <c r="AF568" t="s">
        <v>74</v>
      </c>
      <c r="AG568">
        <v>60</v>
      </c>
      <c r="AH568">
        <v>2</v>
      </c>
      <c r="AI568">
        <v>2</v>
      </c>
      <c r="AJ568">
        <v>3</v>
      </c>
      <c r="AK568">
        <v>9</v>
      </c>
      <c r="AL568" t="s">
        <v>4886</v>
      </c>
      <c r="AM568" t="s">
        <v>4887</v>
      </c>
      <c r="AN568" t="s">
        <v>4888</v>
      </c>
      <c r="AO568" t="s">
        <v>74</v>
      </c>
      <c r="AP568" t="s">
        <v>10699</v>
      </c>
      <c r="AQ568" t="s">
        <v>74</v>
      </c>
      <c r="AR568" t="s">
        <v>10700</v>
      </c>
      <c r="AS568" t="s">
        <v>10701</v>
      </c>
      <c r="AT568" t="s">
        <v>9001</v>
      </c>
      <c r="AU568">
        <v>2022</v>
      </c>
      <c r="AV568">
        <v>10</v>
      </c>
      <c r="AW568">
        <v>12</v>
      </c>
      <c r="AX568" t="s">
        <v>74</v>
      </c>
      <c r="AY568" t="s">
        <v>74</v>
      </c>
      <c r="AZ568" t="s">
        <v>74</v>
      </c>
      <c r="BA568" t="s">
        <v>74</v>
      </c>
      <c r="BB568" t="s">
        <v>74</v>
      </c>
      <c r="BC568" t="s">
        <v>74</v>
      </c>
      <c r="BD568">
        <v>1876</v>
      </c>
      <c r="BE568" t="s">
        <v>10880</v>
      </c>
      <c r="BF568" t="str">
        <f>HYPERLINK("http://dx.doi.org/10.3390/jmse10121876","http://dx.doi.org/10.3390/jmse10121876")</f>
        <v>http://dx.doi.org/10.3390/jmse10121876</v>
      </c>
      <c r="BG568" t="s">
        <v>74</v>
      </c>
      <c r="BH568" t="s">
        <v>74</v>
      </c>
      <c r="BI568">
        <v>13</v>
      </c>
      <c r="BJ568" t="s">
        <v>10703</v>
      </c>
      <c r="BK568" t="s">
        <v>104</v>
      </c>
      <c r="BL568" t="s">
        <v>3062</v>
      </c>
      <c r="BM568" t="s">
        <v>10881</v>
      </c>
      <c r="BN568" t="s">
        <v>74</v>
      </c>
      <c r="BO568" t="s">
        <v>3181</v>
      </c>
      <c r="BP568" t="s">
        <v>74</v>
      </c>
      <c r="BQ568" t="s">
        <v>74</v>
      </c>
      <c r="BR568" t="s">
        <v>108</v>
      </c>
      <c r="BS568" t="s">
        <v>10882</v>
      </c>
      <c r="BT568" t="str">
        <f>HYPERLINK("https%3A%2F%2Fwww.webofscience.com%2Fwos%2Fwoscc%2Ffull-record%2FWOS:000902564800001","View Full Record in Web of Science")</f>
        <v>View Full Record in Web of Science</v>
      </c>
    </row>
    <row r="569" spans="1:72" x14ac:dyDescent="0.15">
      <c r="A569" t="s">
        <v>72</v>
      </c>
      <c r="B569" t="s">
        <v>10883</v>
      </c>
      <c r="C569" t="s">
        <v>74</v>
      </c>
      <c r="D569" t="s">
        <v>74</v>
      </c>
      <c r="E569" t="s">
        <v>74</v>
      </c>
      <c r="F569" t="s">
        <v>10884</v>
      </c>
      <c r="G569" t="s">
        <v>74</v>
      </c>
      <c r="H569" t="s">
        <v>74</v>
      </c>
      <c r="I569" t="s">
        <v>10885</v>
      </c>
      <c r="J569" t="s">
        <v>10649</v>
      </c>
      <c r="K569" t="s">
        <v>74</v>
      </c>
      <c r="L569" t="s">
        <v>74</v>
      </c>
      <c r="M569" t="s">
        <v>78</v>
      </c>
      <c r="N569" t="s">
        <v>79</v>
      </c>
      <c r="O569" t="s">
        <v>74</v>
      </c>
      <c r="P569" t="s">
        <v>74</v>
      </c>
      <c r="Q569" t="s">
        <v>74</v>
      </c>
      <c r="R569" t="s">
        <v>74</v>
      </c>
      <c r="S569" t="s">
        <v>74</v>
      </c>
      <c r="T569" t="s">
        <v>10886</v>
      </c>
      <c r="U569" t="s">
        <v>10887</v>
      </c>
      <c r="V569" t="s">
        <v>10888</v>
      </c>
      <c r="W569" t="s">
        <v>10889</v>
      </c>
      <c r="X569" t="s">
        <v>10890</v>
      </c>
      <c r="Y569" t="s">
        <v>10891</v>
      </c>
      <c r="Z569" t="s">
        <v>10892</v>
      </c>
      <c r="AA569" t="s">
        <v>10893</v>
      </c>
      <c r="AB569" t="s">
        <v>10894</v>
      </c>
      <c r="AC569" t="s">
        <v>10895</v>
      </c>
      <c r="AD569" t="s">
        <v>10896</v>
      </c>
      <c r="AE569" t="s">
        <v>10897</v>
      </c>
      <c r="AF569" t="s">
        <v>74</v>
      </c>
      <c r="AG569">
        <v>98</v>
      </c>
      <c r="AH569">
        <v>3</v>
      </c>
      <c r="AI569">
        <v>3</v>
      </c>
      <c r="AJ569">
        <v>1</v>
      </c>
      <c r="AK569">
        <v>4</v>
      </c>
      <c r="AL569" t="s">
        <v>4886</v>
      </c>
      <c r="AM569" t="s">
        <v>4887</v>
      </c>
      <c r="AN569" t="s">
        <v>4888</v>
      </c>
      <c r="AO569" t="s">
        <v>74</v>
      </c>
      <c r="AP569" t="s">
        <v>10658</v>
      </c>
      <c r="AQ569" t="s">
        <v>74</v>
      </c>
      <c r="AR569" t="s">
        <v>10659</v>
      </c>
      <c r="AS569" t="s">
        <v>10660</v>
      </c>
      <c r="AT569" t="s">
        <v>9001</v>
      </c>
      <c r="AU569">
        <v>2022</v>
      </c>
      <c r="AV569">
        <v>14</v>
      </c>
      <c r="AW569">
        <v>23</v>
      </c>
      <c r="AX569" t="s">
        <v>74</v>
      </c>
      <c r="AY569" t="s">
        <v>74</v>
      </c>
      <c r="AZ569" t="s">
        <v>74</v>
      </c>
      <c r="BA569" t="s">
        <v>74</v>
      </c>
      <c r="BB569" t="s">
        <v>74</v>
      </c>
      <c r="BC569" t="s">
        <v>74</v>
      </c>
      <c r="BD569">
        <v>3879</v>
      </c>
      <c r="BE569" t="s">
        <v>10898</v>
      </c>
      <c r="BF569" t="str">
        <f>HYPERLINK("http://dx.doi.org/10.3390/w14233879","http://dx.doi.org/10.3390/w14233879")</f>
        <v>http://dx.doi.org/10.3390/w14233879</v>
      </c>
      <c r="BG569" t="s">
        <v>74</v>
      </c>
      <c r="BH569" t="s">
        <v>74</v>
      </c>
      <c r="BI569">
        <v>34</v>
      </c>
      <c r="BJ569" t="s">
        <v>10662</v>
      </c>
      <c r="BK569" t="s">
        <v>104</v>
      </c>
      <c r="BL569" t="s">
        <v>10663</v>
      </c>
      <c r="BM569" t="s">
        <v>10899</v>
      </c>
      <c r="BN569" t="s">
        <v>74</v>
      </c>
      <c r="BO569" t="s">
        <v>165</v>
      </c>
      <c r="BP569" t="s">
        <v>74</v>
      </c>
      <c r="BQ569" t="s">
        <v>74</v>
      </c>
      <c r="BR569" t="s">
        <v>108</v>
      </c>
      <c r="BS569" t="s">
        <v>10900</v>
      </c>
      <c r="BT569" t="str">
        <f>HYPERLINK("https%3A%2F%2Fwww.webofscience.com%2Fwos%2Fwoscc%2Ffull-record%2FWOS:000897248000001","View Full Record in Web of Science")</f>
        <v>View Full Record in Web of Science</v>
      </c>
    </row>
    <row r="570" spans="1:72" x14ac:dyDescent="0.15">
      <c r="A570" t="s">
        <v>72</v>
      </c>
      <c r="B570" t="s">
        <v>10901</v>
      </c>
      <c r="C570" t="s">
        <v>74</v>
      </c>
      <c r="D570" t="s">
        <v>74</v>
      </c>
      <c r="E570" t="s">
        <v>74</v>
      </c>
      <c r="F570" t="s">
        <v>10902</v>
      </c>
      <c r="G570" t="s">
        <v>74</v>
      </c>
      <c r="H570" t="s">
        <v>74</v>
      </c>
      <c r="I570" t="s">
        <v>10903</v>
      </c>
      <c r="J570" t="s">
        <v>10904</v>
      </c>
      <c r="K570" t="s">
        <v>74</v>
      </c>
      <c r="L570" t="s">
        <v>74</v>
      </c>
      <c r="M570" t="s">
        <v>78</v>
      </c>
      <c r="N570" t="s">
        <v>79</v>
      </c>
      <c r="O570" t="s">
        <v>74</v>
      </c>
      <c r="P570" t="s">
        <v>74</v>
      </c>
      <c r="Q570" t="s">
        <v>74</v>
      </c>
      <c r="R570" t="s">
        <v>74</v>
      </c>
      <c r="S570" t="s">
        <v>74</v>
      </c>
      <c r="T570" t="s">
        <v>10905</v>
      </c>
      <c r="U570" t="s">
        <v>10906</v>
      </c>
      <c r="V570" t="s">
        <v>10907</v>
      </c>
      <c r="W570" t="s">
        <v>10908</v>
      </c>
      <c r="X570" t="s">
        <v>791</v>
      </c>
      <c r="Y570" t="s">
        <v>10909</v>
      </c>
      <c r="Z570" t="s">
        <v>10910</v>
      </c>
      <c r="AA570" t="s">
        <v>10911</v>
      </c>
      <c r="AB570" t="s">
        <v>10912</v>
      </c>
      <c r="AC570" t="s">
        <v>10913</v>
      </c>
      <c r="AD570" t="s">
        <v>10914</v>
      </c>
      <c r="AE570" t="s">
        <v>10915</v>
      </c>
      <c r="AF570" t="s">
        <v>74</v>
      </c>
      <c r="AG570">
        <v>65</v>
      </c>
      <c r="AH570">
        <v>1</v>
      </c>
      <c r="AI570">
        <v>2</v>
      </c>
      <c r="AJ570">
        <v>0</v>
      </c>
      <c r="AK570">
        <v>6</v>
      </c>
      <c r="AL570" t="s">
        <v>269</v>
      </c>
      <c r="AM570" t="s">
        <v>93</v>
      </c>
      <c r="AN570" t="s">
        <v>397</v>
      </c>
      <c r="AO570" t="s">
        <v>10916</v>
      </c>
      <c r="AP570" t="s">
        <v>10917</v>
      </c>
      <c r="AQ570" t="s">
        <v>74</v>
      </c>
      <c r="AR570" t="s">
        <v>10918</v>
      </c>
      <c r="AS570" t="s">
        <v>10919</v>
      </c>
      <c r="AT570" t="s">
        <v>9001</v>
      </c>
      <c r="AU570">
        <v>2022</v>
      </c>
      <c r="AV570">
        <v>96</v>
      </c>
      <c r="AW570">
        <v>12</v>
      </c>
      <c r="AX570" t="s">
        <v>74</v>
      </c>
      <c r="AY570" t="s">
        <v>74</v>
      </c>
      <c r="AZ570" t="s">
        <v>74</v>
      </c>
      <c r="BA570" t="s">
        <v>74</v>
      </c>
      <c r="BB570" t="s">
        <v>74</v>
      </c>
      <c r="BC570" t="s">
        <v>74</v>
      </c>
      <c r="BD570">
        <v>96</v>
      </c>
      <c r="BE570" t="s">
        <v>10920</v>
      </c>
      <c r="BF570" t="str">
        <f>HYPERLINK("http://dx.doi.org/10.1007/s00190-022-01680-3","http://dx.doi.org/10.1007/s00190-022-01680-3")</f>
        <v>http://dx.doi.org/10.1007/s00190-022-01680-3</v>
      </c>
      <c r="BG570" t="s">
        <v>74</v>
      </c>
      <c r="BH570" t="s">
        <v>74</v>
      </c>
      <c r="BI570">
        <v>21</v>
      </c>
      <c r="BJ570" t="s">
        <v>10921</v>
      </c>
      <c r="BK570" t="s">
        <v>104</v>
      </c>
      <c r="BL570" t="s">
        <v>10921</v>
      </c>
      <c r="BM570" t="s">
        <v>10922</v>
      </c>
      <c r="BN570" t="s">
        <v>74</v>
      </c>
      <c r="BO570" t="s">
        <v>10923</v>
      </c>
      <c r="BP570" t="s">
        <v>74</v>
      </c>
      <c r="BQ570" t="s">
        <v>74</v>
      </c>
      <c r="BR570" t="s">
        <v>108</v>
      </c>
      <c r="BS570" t="s">
        <v>10924</v>
      </c>
      <c r="BT570" t="str">
        <f>HYPERLINK("https%3A%2F%2Fwww.webofscience.com%2Fwos%2Fwoscc%2Ffull-record%2FWOS:000894304200003","View Full Record in Web of Science")</f>
        <v>View Full Record in Web of Science</v>
      </c>
    </row>
    <row r="571" spans="1:72" x14ac:dyDescent="0.15">
      <c r="A571" t="s">
        <v>72</v>
      </c>
      <c r="B571" t="s">
        <v>10925</v>
      </c>
      <c r="C571" t="s">
        <v>74</v>
      </c>
      <c r="D571" t="s">
        <v>74</v>
      </c>
      <c r="E571" t="s">
        <v>74</v>
      </c>
      <c r="F571" t="s">
        <v>10926</v>
      </c>
      <c r="G571" t="s">
        <v>74</v>
      </c>
      <c r="H571" t="s">
        <v>74</v>
      </c>
      <c r="I571" t="s">
        <v>10927</v>
      </c>
      <c r="J571" t="s">
        <v>10687</v>
      </c>
      <c r="K571" t="s">
        <v>74</v>
      </c>
      <c r="L571" t="s">
        <v>74</v>
      </c>
      <c r="M571" t="s">
        <v>78</v>
      </c>
      <c r="N571" t="s">
        <v>79</v>
      </c>
      <c r="O571" t="s">
        <v>74</v>
      </c>
      <c r="P571" t="s">
        <v>74</v>
      </c>
      <c r="Q571" t="s">
        <v>74</v>
      </c>
      <c r="R571" t="s">
        <v>74</v>
      </c>
      <c r="S571" t="s">
        <v>74</v>
      </c>
      <c r="T571" t="s">
        <v>10928</v>
      </c>
      <c r="U571" t="s">
        <v>10929</v>
      </c>
      <c r="V571" t="s">
        <v>10930</v>
      </c>
      <c r="W571" t="s">
        <v>10931</v>
      </c>
      <c r="X571" t="s">
        <v>10932</v>
      </c>
      <c r="Y571" t="s">
        <v>10933</v>
      </c>
      <c r="Z571" t="s">
        <v>10934</v>
      </c>
      <c r="AA571" t="s">
        <v>74</v>
      </c>
      <c r="AB571" t="s">
        <v>10935</v>
      </c>
      <c r="AC571" t="s">
        <v>74</v>
      </c>
      <c r="AD571" t="s">
        <v>74</v>
      </c>
      <c r="AE571" t="s">
        <v>74</v>
      </c>
      <c r="AF571" t="s">
        <v>74</v>
      </c>
      <c r="AG571">
        <v>29</v>
      </c>
      <c r="AH571">
        <v>2</v>
      </c>
      <c r="AI571">
        <v>2</v>
      </c>
      <c r="AJ571">
        <v>1</v>
      </c>
      <c r="AK571">
        <v>9</v>
      </c>
      <c r="AL571" t="s">
        <v>4886</v>
      </c>
      <c r="AM571" t="s">
        <v>4887</v>
      </c>
      <c r="AN571" t="s">
        <v>4888</v>
      </c>
      <c r="AO571" t="s">
        <v>74</v>
      </c>
      <c r="AP571" t="s">
        <v>10699</v>
      </c>
      <c r="AQ571" t="s">
        <v>74</v>
      </c>
      <c r="AR571" t="s">
        <v>10700</v>
      </c>
      <c r="AS571" t="s">
        <v>10701</v>
      </c>
      <c r="AT571" t="s">
        <v>9001</v>
      </c>
      <c r="AU571">
        <v>2022</v>
      </c>
      <c r="AV571">
        <v>10</v>
      </c>
      <c r="AW571">
        <v>12</v>
      </c>
      <c r="AX571" t="s">
        <v>74</v>
      </c>
      <c r="AY571" t="s">
        <v>74</v>
      </c>
      <c r="AZ571" t="s">
        <v>74</v>
      </c>
      <c r="BA571" t="s">
        <v>74</v>
      </c>
      <c r="BB571" t="s">
        <v>74</v>
      </c>
      <c r="BC571" t="s">
        <v>74</v>
      </c>
      <c r="BD571">
        <v>1836</v>
      </c>
      <c r="BE571" t="s">
        <v>10936</v>
      </c>
      <c r="BF571" t="str">
        <f>HYPERLINK("http://dx.doi.org/10.3390/jmse10121836","http://dx.doi.org/10.3390/jmse10121836")</f>
        <v>http://dx.doi.org/10.3390/jmse10121836</v>
      </c>
      <c r="BG571" t="s">
        <v>74</v>
      </c>
      <c r="BH571" t="s">
        <v>74</v>
      </c>
      <c r="BI571">
        <v>12</v>
      </c>
      <c r="BJ571" t="s">
        <v>10703</v>
      </c>
      <c r="BK571" t="s">
        <v>104</v>
      </c>
      <c r="BL571" t="s">
        <v>3062</v>
      </c>
      <c r="BM571" t="s">
        <v>10937</v>
      </c>
      <c r="BN571" t="s">
        <v>74</v>
      </c>
      <c r="BO571" t="s">
        <v>165</v>
      </c>
      <c r="BP571" t="s">
        <v>74</v>
      </c>
      <c r="BQ571" t="s">
        <v>74</v>
      </c>
      <c r="BR571" t="s">
        <v>108</v>
      </c>
      <c r="BS571" t="s">
        <v>10938</v>
      </c>
      <c r="BT571" t="str">
        <f>HYPERLINK("https%3A%2F%2Fwww.webofscience.com%2Fwos%2Fwoscc%2Ffull-record%2FWOS:000901158900001","View Full Record in Web of Science")</f>
        <v>View Full Record in Web of Science</v>
      </c>
    </row>
    <row r="572" spans="1:72" x14ac:dyDescent="0.15">
      <c r="A572" t="s">
        <v>72</v>
      </c>
      <c r="B572" t="s">
        <v>10939</v>
      </c>
      <c r="C572" t="s">
        <v>74</v>
      </c>
      <c r="D572" t="s">
        <v>74</v>
      </c>
      <c r="E572" t="s">
        <v>74</v>
      </c>
      <c r="F572" t="s">
        <v>10940</v>
      </c>
      <c r="G572" t="s">
        <v>74</v>
      </c>
      <c r="H572" t="s">
        <v>74</v>
      </c>
      <c r="I572" t="s">
        <v>10941</v>
      </c>
      <c r="J572" t="s">
        <v>5563</v>
      </c>
      <c r="K572" t="s">
        <v>74</v>
      </c>
      <c r="L572" t="s">
        <v>74</v>
      </c>
      <c r="M572" t="s">
        <v>78</v>
      </c>
      <c r="N572" t="s">
        <v>79</v>
      </c>
      <c r="O572" t="s">
        <v>74</v>
      </c>
      <c r="P572" t="s">
        <v>74</v>
      </c>
      <c r="Q572" t="s">
        <v>74</v>
      </c>
      <c r="R572" t="s">
        <v>74</v>
      </c>
      <c r="S572" t="s">
        <v>74</v>
      </c>
      <c r="T572" t="s">
        <v>10942</v>
      </c>
      <c r="U572" t="s">
        <v>10943</v>
      </c>
      <c r="V572" t="s">
        <v>10944</v>
      </c>
      <c r="W572" t="s">
        <v>10945</v>
      </c>
      <c r="X572" t="s">
        <v>10946</v>
      </c>
      <c r="Y572" t="s">
        <v>10947</v>
      </c>
      <c r="Z572" t="s">
        <v>10948</v>
      </c>
      <c r="AA572" t="s">
        <v>10949</v>
      </c>
      <c r="AB572" t="s">
        <v>10950</v>
      </c>
      <c r="AC572" t="s">
        <v>74</v>
      </c>
      <c r="AD572" t="s">
        <v>74</v>
      </c>
      <c r="AE572" t="s">
        <v>74</v>
      </c>
      <c r="AF572" t="s">
        <v>74</v>
      </c>
      <c r="AG572">
        <v>64</v>
      </c>
      <c r="AH572">
        <v>6</v>
      </c>
      <c r="AI572">
        <v>6</v>
      </c>
      <c r="AJ572">
        <v>0</v>
      </c>
      <c r="AK572">
        <v>3</v>
      </c>
      <c r="AL572" t="s">
        <v>4886</v>
      </c>
      <c r="AM572" t="s">
        <v>4887</v>
      </c>
      <c r="AN572" t="s">
        <v>4888</v>
      </c>
      <c r="AO572" t="s">
        <v>74</v>
      </c>
      <c r="AP572" t="s">
        <v>5575</v>
      </c>
      <c r="AQ572" t="s">
        <v>74</v>
      </c>
      <c r="AR572" t="s">
        <v>5576</v>
      </c>
      <c r="AS572" t="s">
        <v>5577</v>
      </c>
      <c r="AT572" t="s">
        <v>9001</v>
      </c>
      <c r="AU572">
        <v>2022</v>
      </c>
      <c r="AV572">
        <v>20</v>
      </c>
      <c r="AW572">
        <v>12</v>
      </c>
      <c r="AX572" t="s">
        <v>74</v>
      </c>
      <c r="AY572" t="s">
        <v>74</v>
      </c>
      <c r="AZ572" t="s">
        <v>74</v>
      </c>
      <c r="BA572" t="s">
        <v>74</v>
      </c>
      <c r="BB572" t="s">
        <v>74</v>
      </c>
      <c r="BC572" t="s">
        <v>74</v>
      </c>
      <c r="BD572">
        <v>747</v>
      </c>
      <c r="BE572" t="s">
        <v>10951</v>
      </c>
      <c r="BF572" t="str">
        <f>HYPERLINK("http://dx.doi.org/10.3390/md20120747","http://dx.doi.org/10.3390/md20120747")</f>
        <v>http://dx.doi.org/10.3390/md20120747</v>
      </c>
      <c r="BG572" t="s">
        <v>74</v>
      </c>
      <c r="BH572" t="s">
        <v>74</v>
      </c>
      <c r="BI572">
        <v>21</v>
      </c>
      <c r="BJ572" t="s">
        <v>5579</v>
      </c>
      <c r="BK572" t="s">
        <v>104</v>
      </c>
      <c r="BL572" t="s">
        <v>5580</v>
      </c>
      <c r="BM572" t="s">
        <v>10952</v>
      </c>
      <c r="BN572">
        <v>36547894</v>
      </c>
      <c r="BO572" t="s">
        <v>192</v>
      </c>
      <c r="BP572" t="s">
        <v>74</v>
      </c>
      <c r="BQ572" t="s">
        <v>74</v>
      </c>
      <c r="BR572" t="s">
        <v>108</v>
      </c>
      <c r="BS572" t="s">
        <v>10953</v>
      </c>
      <c r="BT572" t="str">
        <f>HYPERLINK("https%3A%2F%2Fwww.webofscience.com%2Fwos%2Fwoscc%2Ffull-record%2FWOS:000901328500001","View Full Record in Web of Science")</f>
        <v>View Full Record in Web of Science</v>
      </c>
    </row>
    <row r="573" spans="1:72" x14ac:dyDescent="0.15">
      <c r="A573" t="s">
        <v>72</v>
      </c>
      <c r="B573" t="s">
        <v>10954</v>
      </c>
      <c r="C573" t="s">
        <v>74</v>
      </c>
      <c r="D573" t="s">
        <v>74</v>
      </c>
      <c r="E573" t="s">
        <v>74</v>
      </c>
      <c r="F573" t="s">
        <v>10955</v>
      </c>
      <c r="G573" t="s">
        <v>74</v>
      </c>
      <c r="H573" t="s">
        <v>74</v>
      </c>
      <c r="I573" t="s">
        <v>10956</v>
      </c>
      <c r="J573" t="s">
        <v>10957</v>
      </c>
      <c r="K573" t="s">
        <v>74</v>
      </c>
      <c r="L573" t="s">
        <v>74</v>
      </c>
      <c r="M573" t="s">
        <v>78</v>
      </c>
      <c r="N573" t="s">
        <v>79</v>
      </c>
      <c r="O573" t="s">
        <v>74</v>
      </c>
      <c r="P573" t="s">
        <v>74</v>
      </c>
      <c r="Q573" t="s">
        <v>74</v>
      </c>
      <c r="R573" t="s">
        <v>74</v>
      </c>
      <c r="S573" t="s">
        <v>74</v>
      </c>
      <c r="T573" t="s">
        <v>10958</v>
      </c>
      <c r="U573" t="s">
        <v>74</v>
      </c>
      <c r="V573" t="s">
        <v>10959</v>
      </c>
      <c r="W573" t="s">
        <v>10960</v>
      </c>
      <c r="X573" t="s">
        <v>10961</v>
      </c>
      <c r="Y573" t="s">
        <v>10962</v>
      </c>
      <c r="Z573" t="s">
        <v>10963</v>
      </c>
      <c r="AA573" t="s">
        <v>10964</v>
      </c>
      <c r="AB573" t="s">
        <v>10965</v>
      </c>
      <c r="AC573" t="s">
        <v>10966</v>
      </c>
      <c r="AD573" t="s">
        <v>10967</v>
      </c>
      <c r="AE573" t="s">
        <v>10968</v>
      </c>
      <c r="AF573" t="s">
        <v>74</v>
      </c>
      <c r="AG573">
        <v>49</v>
      </c>
      <c r="AH573">
        <v>2</v>
      </c>
      <c r="AI573">
        <v>3</v>
      </c>
      <c r="AJ573">
        <v>4</v>
      </c>
      <c r="AK573">
        <v>18</v>
      </c>
      <c r="AL573" t="s">
        <v>10969</v>
      </c>
      <c r="AM573" t="s">
        <v>155</v>
      </c>
      <c r="AN573" t="s">
        <v>10970</v>
      </c>
      <c r="AO573" t="s">
        <v>10971</v>
      </c>
      <c r="AP573" t="s">
        <v>10972</v>
      </c>
      <c r="AQ573" t="s">
        <v>74</v>
      </c>
      <c r="AR573" t="s">
        <v>10973</v>
      </c>
      <c r="AS573" t="s">
        <v>10974</v>
      </c>
      <c r="AT573" t="s">
        <v>9001</v>
      </c>
      <c r="AU573">
        <v>2022</v>
      </c>
      <c r="AV573">
        <v>37</v>
      </c>
      <c r="AW573">
        <v>6</v>
      </c>
      <c r="AX573" t="s">
        <v>74</v>
      </c>
      <c r="AY573" t="s">
        <v>74</v>
      </c>
      <c r="AZ573" t="s">
        <v>74</v>
      </c>
      <c r="BA573" t="s">
        <v>74</v>
      </c>
      <c r="BB573">
        <v>883</v>
      </c>
      <c r="BC573">
        <v>893</v>
      </c>
      <c r="BD573" t="s">
        <v>74</v>
      </c>
      <c r="BE573" t="s">
        <v>10975</v>
      </c>
      <c r="BF573" t="str">
        <f>HYPERLINK("http://dx.doi.org/10.1016/j.virs.2022.08.006","http://dx.doi.org/10.1016/j.virs.2022.08.006")</f>
        <v>http://dx.doi.org/10.1016/j.virs.2022.08.006</v>
      </c>
      <c r="BG573" t="s">
        <v>74</v>
      </c>
      <c r="BH573" t="s">
        <v>74</v>
      </c>
      <c r="BI573">
        <v>11</v>
      </c>
      <c r="BJ573" t="s">
        <v>10976</v>
      </c>
      <c r="BK573" t="s">
        <v>104</v>
      </c>
      <c r="BL573" t="s">
        <v>10976</v>
      </c>
      <c r="BM573" t="s">
        <v>10977</v>
      </c>
      <c r="BN573">
        <v>36028202</v>
      </c>
      <c r="BO573" t="s">
        <v>107</v>
      </c>
      <c r="BP573" t="s">
        <v>74</v>
      </c>
      <c r="BQ573" t="s">
        <v>74</v>
      </c>
      <c r="BR573" t="s">
        <v>108</v>
      </c>
      <c r="BS573" t="s">
        <v>10978</v>
      </c>
      <c r="BT573" t="str">
        <f>HYPERLINK("https%3A%2F%2Fwww.webofscience.com%2Fwos%2Fwoscc%2Ffull-record%2FWOS:000901519200001","View Full Record in Web of Science")</f>
        <v>View Full Record in Web of Science</v>
      </c>
    </row>
    <row r="574" spans="1:72" x14ac:dyDescent="0.15">
      <c r="A574" t="s">
        <v>72</v>
      </c>
      <c r="B574" t="s">
        <v>10979</v>
      </c>
      <c r="C574" t="s">
        <v>74</v>
      </c>
      <c r="D574" t="s">
        <v>74</v>
      </c>
      <c r="E574" t="s">
        <v>74</v>
      </c>
      <c r="F574" t="s">
        <v>10980</v>
      </c>
      <c r="G574" t="s">
        <v>74</v>
      </c>
      <c r="H574" t="s">
        <v>74</v>
      </c>
      <c r="I574" t="s">
        <v>10981</v>
      </c>
      <c r="J574" t="s">
        <v>5263</v>
      </c>
      <c r="K574" t="s">
        <v>74</v>
      </c>
      <c r="L574" t="s">
        <v>74</v>
      </c>
      <c r="M574" t="s">
        <v>78</v>
      </c>
      <c r="N574" t="s">
        <v>79</v>
      </c>
      <c r="O574" t="s">
        <v>74</v>
      </c>
      <c r="P574" t="s">
        <v>74</v>
      </c>
      <c r="Q574" t="s">
        <v>74</v>
      </c>
      <c r="R574" t="s">
        <v>74</v>
      </c>
      <c r="S574" t="s">
        <v>74</v>
      </c>
      <c r="T574" t="s">
        <v>10982</v>
      </c>
      <c r="U574" t="s">
        <v>10983</v>
      </c>
      <c r="V574" t="s">
        <v>10984</v>
      </c>
      <c r="W574" t="s">
        <v>10985</v>
      </c>
      <c r="X574" t="s">
        <v>10986</v>
      </c>
      <c r="Y574" t="s">
        <v>10987</v>
      </c>
      <c r="Z574" t="s">
        <v>10988</v>
      </c>
      <c r="AA574" t="s">
        <v>74</v>
      </c>
      <c r="AB574" t="s">
        <v>74</v>
      </c>
      <c r="AC574" t="s">
        <v>74</v>
      </c>
      <c r="AD574" t="s">
        <v>74</v>
      </c>
      <c r="AE574" t="s">
        <v>74</v>
      </c>
      <c r="AF574" t="s">
        <v>74</v>
      </c>
      <c r="AG574">
        <v>67</v>
      </c>
      <c r="AH574">
        <v>0</v>
      </c>
      <c r="AI574">
        <v>1</v>
      </c>
      <c r="AJ574">
        <v>1</v>
      </c>
      <c r="AK574">
        <v>11</v>
      </c>
      <c r="AL574" t="s">
        <v>4886</v>
      </c>
      <c r="AM574" t="s">
        <v>4887</v>
      </c>
      <c r="AN574" t="s">
        <v>4888</v>
      </c>
      <c r="AO574" t="s">
        <v>74</v>
      </c>
      <c r="AP574" t="s">
        <v>5276</v>
      </c>
      <c r="AQ574" t="s">
        <v>74</v>
      </c>
      <c r="AR574" t="s">
        <v>5263</v>
      </c>
      <c r="AS574" t="s">
        <v>5277</v>
      </c>
      <c r="AT574" t="s">
        <v>9001</v>
      </c>
      <c r="AU574">
        <v>2022</v>
      </c>
      <c r="AV574">
        <v>11</v>
      </c>
      <c r="AW574">
        <v>12</v>
      </c>
      <c r="AX574" t="s">
        <v>74</v>
      </c>
      <c r="AY574" t="s">
        <v>74</v>
      </c>
      <c r="AZ574" t="s">
        <v>74</v>
      </c>
      <c r="BA574" t="s">
        <v>74</v>
      </c>
      <c r="BB574" t="s">
        <v>74</v>
      </c>
      <c r="BC574" t="s">
        <v>74</v>
      </c>
      <c r="BD574">
        <v>1760</v>
      </c>
      <c r="BE574" t="s">
        <v>10989</v>
      </c>
      <c r="BF574" t="str">
        <f>HYPERLINK("http://dx.doi.org/10.3390/biology11121760","http://dx.doi.org/10.3390/biology11121760")</f>
        <v>http://dx.doi.org/10.3390/biology11121760</v>
      </c>
      <c r="BG574" t="s">
        <v>74</v>
      </c>
      <c r="BH574" t="s">
        <v>74</v>
      </c>
      <c r="BI574">
        <v>24</v>
      </c>
      <c r="BJ574" t="s">
        <v>3178</v>
      </c>
      <c r="BK574" t="s">
        <v>104</v>
      </c>
      <c r="BL574" t="s">
        <v>3179</v>
      </c>
      <c r="BM574" t="s">
        <v>10990</v>
      </c>
      <c r="BN574">
        <v>36552270</v>
      </c>
      <c r="BO574" t="s">
        <v>3181</v>
      </c>
      <c r="BP574" t="s">
        <v>74</v>
      </c>
      <c r="BQ574" t="s">
        <v>74</v>
      </c>
      <c r="BR574" t="s">
        <v>108</v>
      </c>
      <c r="BS574" t="s">
        <v>10991</v>
      </c>
      <c r="BT574" t="str">
        <f>HYPERLINK("https%3A%2F%2Fwww.webofscience.com%2Fwos%2Fwoscc%2Ffull-record%2FWOS:000900651300001","View Full Record in Web of Science")</f>
        <v>View Full Record in Web of Science</v>
      </c>
    </row>
    <row r="575" spans="1:72" x14ac:dyDescent="0.15">
      <c r="A575" t="s">
        <v>72</v>
      </c>
      <c r="B575" t="s">
        <v>10992</v>
      </c>
      <c r="C575" t="s">
        <v>74</v>
      </c>
      <c r="D575" t="s">
        <v>74</v>
      </c>
      <c r="E575" t="s">
        <v>74</v>
      </c>
      <c r="F575" t="s">
        <v>10993</v>
      </c>
      <c r="G575" t="s">
        <v>74</v>
      </c>
      <c r="H575" t="s">
        <v>74</v>
      </c>
      <c r="I575" t="s">
        <v>10994</v>
      </c>
      <c r="J575" t="s">
        <v>5284</v>
      </c>
      <c r="K575" t="s">
        <v>74</v>
      </c>
      <c r="L575" t="s">
        <v>74</v>
      </c>
      <c r="M575" t="s">
        <v>78</v>
      </c>
      <c r="N575" t="s">
        <v>79</v>
      </c>
      <c r="O575" t="s">
        <v>74</v>
      </c>
      <c r="P575" t="s">
        <v>74</v>
      </c>
      <c r="Q575" t="s">
        <v>74</v>
      </c>
      <c r="R575" t="s">
        <v>74</v>
      </c>
      <c r="S575" t="s">
        <v>74</v>
      </c>
      <c r="T575" t="s">
        <v>10995</v>
      </c>
      <c r="U575" t="s">
        <v>10996</v>
      </c>
      <c r="V575" t="s">
        <v>10997</v>
      </c>
      <c r="W575" t="s">
        <v>10998</v>
      </c>
      <c r="X575" t="s">
        <v>10999</v>
      </c>
      <c r="Y575" t="s">
        <v>11000</v>
      </c>
      <c r="Z575" t="s">
        <v>11001</v>
      </c>
      <c r="AA575" t="s">
        <v>74</v>
      </c>
      <c r="AB575" t="s">
        <v>11002</v>
      </c>
      <c r="AC575" t="s">
        <v>74</v>
      </c>
      <c r="AD575" t="s">
        <v>74</v>
      </c>
      <c r="AE575" t="s">
        <v>74</v>
      </c>
      <c r="AF575" t="s">
        <v>74</v>
      </c>
      <c r="AG575">
        <v>56</v>
      </c>
      <c r="AH575">
        <v>1</v>
      </c>
      <c r="AI575">
        <v>1</v>
      </c>
      <c r="AJ575">
        <v>0</v>
      </c>
      <c r="AK575">
        <v>5</v>
      </c>
      <c r="AL575" t="s">
        <v>4886</v>
      </c>
      <c r="AM575" t="s">
        <v>4887</v>
      </c>
      <c r="AN575" t="s">
        <v>4888</v>
      </c>
      <c r="AO575" t="s">
        <v>74</v>
      </c>
      <c r="AP575" t="s">
        <v>5293</v>
      </c>
      <c r="AQ575" t="s">
        <v>74</v>
      </c>
      <c r="AR575" t="s">
        <v>5284</v>
      </c>
      <c r="AS575" t="s">
        <v>5294</v>
      </c>
      <c r="AT575" t="s">
        <v>9001</v>
      </c>
      <c r="AU575">
        <v>2022</v>
      </c>
      <c r="AV575">
        <v>14</v>
      </c>
      <c r="AW575">
        <v>12</v>
      </c>
      <c r="AX575" t="s">
        <v>74</v>
      </c>
      <c r="AY575" t="s">
        <v>74</v>
      </c>
      <c r="AZ575" t="s">
        <v>74</v>
      </c>
      <c r="BA575" t="s">
        <v>74</v>
      </c>
      <c r="BB575" t="s">
        <v>74</v>
      </c>
      <c r="BC575" t="s">
        <v>74</v>
      </c>
      <c r="BD575">
        <v>1013</v>
      </c>
      <c r="BE575" t="s">
        <v>11003</v>
      </c>
      <c r="BF575" t="str">
        <f>HYPERLINK("http://dx.doi.org/10.3390/d14121013","http://dx.doi.org/10.3390/d14121013")</f>
        <v>http://dx.doi.org/10.3390/d14121013</v>
      </c>
      <c r="BG575" t="s">
        <v>74</v>
      </c>
      <c r="BH575" t="s">
        <v>74</v>
      </c>
      <c r="BI575">
        <v>19</v>
      </c>
      <c r="BJ575" t="s">
        <v>305</v>
      </c>
      <c r="BK575" t="s">
        <v>104</v>
      </c>
      <c r="BL575" t="s">
        <v>306</v>
      </c>
      <c r="BM575" t="s">
        <v>11004</v>
      </c>
      <c r="BN575" t="s">
        <v>74</v>
      </c>
      <c r="BO575" t="s">
        <v>165</v>
      </c>
      <c r="BP575" t="s">
        <v>74</v>
      </c>
      <c r="BQ575" t="s">
        <v>74</v>
      </c>
      <c r="BR575" t="s">
        <v>108</v>
      </c>
      <c r="BS575" t="s">
        <v>11005</v>
      </c>
      <c r="BT575" t="str">
        <f>HYPERLINK("https%3A%2F%2Fwww.webofscience.com%2Fwos%2Fwoscc%2Ffull-record%2FWOS:000900948600001","View Full Record in Web of Science")</f>
        <v>View Full Record in Web of Science</v>
      </c>
    </row>
    <row r="576" spans="1:72" x14ac:dyDescent="0.15">
      <c r="A576" t="s">
        <v>72</v>
      </c>
      <c r="B576" t="s">
        <v>11006</v>
      </c>
      <c r="C576" t="s">
        <v>74</v>
      </c>
      <c r="D576" t="s">
        <v>74</v>
      </c>
      <c r="E576" t="s">
        <v>74</v>
      </c>
      <c r="F576" t="s">
        <v>11007</v>
      </c>
      <c r="G576" t="s">
        <v>74</v>
      </c>
      <c r="H576" t="s">
        <v>74</v>
      </c>
      <c r="I576" t="s">
        <v>11008</v>
      </c>
      <c r="J576" t="s">
        <v>10579</v>
      </c>
      <c r="K576" t="s">
        <v>74</v>
      </c>
      <c r="L576" t="s">
        <v>74</v>
      </c>
      <c r="M576" t="s">
        <v>78</v>
      </c>
      <c r="N576" t="s">
        <v>79</v>
      </c>
      <c r="O576" t="s">
        <v>74</v>
      </c>
      <c r="P576" t="s">
        <v>74</v>
      </c>
      <c r="Q576" t="s">
        <v>74</v>
      </c>
      <c r="R576" t="s">
        <v>74</v>
      </c>
      <c r="S576" t="s">
        <v>74</v>
      </c>
      <c r="T576" t="s">
        <v>11009</v>
      </c>
      <c r="U576" t="s">
        <v>11010</v>
      </c>
      <c r="V576" t="s">
        <v>11011</v>
      </c>
      <c r="W576" t="s">
        <v>11012</v>
      </c>
      <c r="X576" t="s">
        <v>11013</v>
      </c>
      <c r="Y576" t="s">
        <v>11014</v>
      </c>
      <c r="Z576" t="s">
        <v>1078</v>
      </c>
      <c r="AA576" t="s">
        <v>11015</v>
      </c>
      <c r="AB576" t="s">
        <v>11016</v>
      </c>
      <c r="AC576" t="s">
        <v>74</v>
      </c>
      <c r="AD576" t="s">
        <v>74</v>
      </c>
      <c r="AE576" t="s">
        <v>74</v>
      </c>
      <c r="AF576" t="s">
        <v>74</v>
      </c>
      <c r="AG576">
        <v>62</v>
      </c>
      <c r="AH576">
        <v>4</v>
      </c>
      <c r="AI576">
        <v>4</v>
      </c>
      <c r="AJ576">
        <v>1</v>
      </c>
      <c r="AK576">
        <v>5</v>
      </c>
      <c r="AL576" t="s">
        <v>4886</v>
      </c>
      <c r="AM576" t="s">
        <v>4887</v>
      </c>
      <c r="AN576" t="s">
        <v>4888</v>
      </c>
      <c r="AO576" t="s">
        <v>74</v>
      </c>
      <c r="AP576" t="s">
        <v>10591</v>
      </c>
      <c r="AQ576" t="s">
        <v>74</v>
      </c>
      <c r="AR576" t="s">
        <v>10592</v>
      </c>
      <c r="AS576" t="s">
        <v>10593</v>
      </c>
      <c r="AT576" t="s">
        <v>9001</v>
      </c>
      <c r="AU576">
        <v>2022</v>
      </c>
      <c r="AV576">
        <v>6</v>
      </c>
      <c r="AW576">
        <v>12</v>
      </c>
      <c r="AX576" t="s">
        <v>74</v>
      </c>
      <c r="AY576" t="s">
        <v>74</v>
      </c>
      <c r="AZ576" t="s">
        <v>74</v>
      </c>
      <c r="BA576" t="s">
        <v>74</v>
      </c>
      <c r="BB576" t="s">
        <v>74</v>
      </c>
      <c r="BC576" t="s">
        <v>74</v>
      </c>
      <c r="BD576">
        <v>384</v>
      </c>
      <c r="BE576" t="s">
        <v>11017</v>
      </c>
      <c r="BF576" t="str">
        <f>HYPERLINK("http://dx.doi.org/10.3390/drones6120384","http://dx.doi.org/10.3390/drones6120384")</f>
        <v>http://dx.doi.org/10.3390/drones6120384</v>
      </c>
      <c r="BG576" t="s">
        <v>74</v>
      </c>
      <c r="BH576" t="s">
        <v>74</v>
      </c>
      <c r="BI576">
        <v>22</v>
      </c>
      <c r="BJ576" t="s">
        <v>5604</v>
      </c>
      <c r="BK576" t="s">
        <v>104</v>
      </c>
      <c r="BL576" t="s">
        <v>5604</v>
      </c>
      <c r="BM576" t="s">
        <v>11018</v>
      </c>
      <c r="BN576" t="s">
        <v>74</v>
      </c>
      <c r="BO576" t="s">
        <v>165</v>
      </c>
      <c r="BP576" t="s">
        <v>74</v>
      </c>
      <c r="BQ576" t="s">
        <v>74</v>
      </c>
      <c r="BR576" t="s">
        <v>108</v>
      </c>
      <c r="BS576" t="s">
        <v>11019</v>
      </c>
      <c r="BT576" t="str">
        <f>HYPERLINK("https%3A%2F%2Fwww.webofscience.com%2Fwos%2Fwoscc%2Ffull-record%2FWOS:000900884600001","View Full Record in Web of Science")</f>
        <v>View Full Record in Web of Science</v>
      </c>
    </row>
    <row r="577" spans="1:72" x14ac:dyDescent="0.15">
      <c r="A577" t="s">
        <v>72</v>
      </c>
      <c r="B577" t="s">
        <v>11020</v>
      </c>
      <c r="C577" t="s">
        <v>74</v>
      </c>
      <c r="D577" t="s">
        <v>74</v>
      </c>
      <c r="E577" t="s">
        <v>74</v>
      </c>
      <c r="F577" t="s">
        <v>11021</v>
      </c>
      <c r="G577" t="s">
        <v>74</v>
      </c>
      <c r="H577" t="s">
        <v>74</v>
      </c>
      <c r="I577" t="s">
        <v>11022</v>
      </c>
      <c r="J577" t="s">
        <v>7079</v>
      </c>
      <c r="K577" t="s">
        <v>74</v>
      </c>
      <c r="L577" t="s">
        <v>74</v>
      </c>
      <c r="M577" t="s">
        <v>78</v>
      </c>
      <c r="N577" t="s">
        <v>79</v>
      </c>
      <c r="O577" t="s">
        <v>74</v>
      </c>
      <c r="P577" t="s">
        <v>74</v>
      </c>
      <c r="Q577" t="s">
        <v>74</v>
      </c>
      <c r="R577" t="s">
        <v>74</v>
      </c>
      <c r="S577" t="s">
        <v>74</v>
      </c>
      <c r="T577" t="s">
        <v>11023</v>
      </c>
      <c r="U577" t="s">
        <v>11024</v>
      </c>
      <c r="V577" t="s">
        <v>11025</v>
      </c>
      <c r="W577" t="s">
        <v>11026</v>
      </c>
      <c r="X577" t="s">
        <v>11027</v>
      </c>
      <c r="Y577" t="s">
        <v>11028</v>
      </c>
      <c r="Z577" t="s">
        <v>11029</v>
      </c>
      <c r="AA577" t="s">
        <v>11030</v>
      </c>
      <c r="AB577" t="s">
        <v>11031</v>
      </c>
      <c r="AC577" t="s">
        <v>11032</v>
      </c>
      <c r="AD577" t="s">
        <v>11033</v>
      </c>
      <c r="AE577" t="s">
        <v>11034</v>
      </c>
      <c r="AF577" t="s">
        <v>74</v>
      </c>
      <c r="AG577">
        <v>167</v>
      </c>
      <c r="AH577">
        <v>3</v>
      </c>
      <c r="AI577">
        <v>3</v>
      </c>
      <c r="AJ577">
        <v>0</v>
      </c>
      <c r="AK577">
        <v>6</v>
      </c>
      <c r="AL577" t="s">
        <v>237</v>
      </c>
      <c r="AM577" t="s">
        <v>238</v>
      </c>
      <c r="AN577" t="s">
        <v>239</v>
      </c>
      <c r="AO577" t="s">
        <v>7092</v>
      </c>
      <c r="AP577" t="s">
        <v>7093</v>
      </c>
      <c r="AQ577" t="s">
        <v>74</v>
      </c>
      <c r="AR577" t="s">
        <v>7094</v>
      </c>
      <c r="AS577" t="s">
        <v>7095</v>
      </c>
      <c r="AT577" t="s">
        <v>276</v>
      </c>
      <c r="AU577">
        <v>2023</v>
      </c>
      <c r="AV577">
        <v>236</v>
      </c>
      <c r="AW577" t="s">
        <v>74</v>
      </c>
      <c r="AX577" t="s">
        <v>74</v>
      </c>
      <c r="AY577" t="s">
        <v>74</v>
      </c>
      <c r="AZ577" t="s">
        <v>74</v>
      </c>
      <c r="BA577" t="s">
        <v>74</v>
      </c>
      <c r="BB577" t="s">
        <v>74</v>
      </c>
      <c r="BC577" t="s">
        <v>74</v>
      </c>
      <c r="BD577">
        <v>104265</v>
      </c>
      <c r="BE577" t="s">
        <v>11035</v>
      </c>
      <c r="BF577" t="str">
        <f>HYPERLINK("http://dx.doi.org/10.1016/j.earscirev.2022.104265","http://dx.doi.org/10.1016/j.earscirev.2022.104265")</f>
        <v>http://dx.doi.org/10.1016/j.earscirev.2022.104265</v>
      </c>
      <c r="BG577" t="s">
        <v>74</v>
      </c>
      <c r="BH577" t="s">
        <v>5796</v>
      </c>
      <c r="BI577">
        <v>28</v>
      </c>
      <c r="BJ577" t="s">
        <v>455</v>
      </c>
      <c r="BK577" t="s">
        <v>104</v>
      </c>
      <c r="BL577" t="s">
        <v>456</v>
      </c>
      <c r="BM577" t="s">
        <v>11036</v>
      </c>
      <c r="BN577" t="s">
        <v>74</v>
      </c>
      <c r="BO577" t="s">
        <v>5191</v>
      </c>
      <c r="BP577" t="s">
        <v>74</v>
      </c>
      <c r="BQ577" t="s">
        <v>74</v>
      </c>
      <c r="BR577" t="s">
        <v>108</v>
      </c>
      <c r="BS577" t="s">
        <v>11037</v>
      </c>
      <c r="BT577" t="str">
        <f>HYPERLINK("https%3A%2F%2Fwww.webofscience.com%2Fwos%2Fwoscc%2Ffull-record%2FWOS:000895765000001","View Full Record in Web of Science")</f>
        <v>View Full Record in Web of Science</v>
      </c>
    </row>
    <row r="578" spans="1:72" x14ac:dyDescent="0.15">
      <c r="A578" t="s">
        <v>72</v>
      </c>
      <c r="B578" t="s">
        <v>11038</v>
      </c>
      <c r="C578" t="s">
        <v>74</v>
      </c>
      <c r="D578" t="s">
        <v>74</v>
      </c>
      <c r="E578" t="s">
        <v>74</v>
      </c>
      <c r="F578" t="s">
        <v>11039</v>
      </c>
      <c r="G578" t="s">
        <v>74</v>
      </c>
      <c r="H578" t="s">
        <v>74</v>
      </c>
      <c r="I578" t="s">
        <v>11040</v>
      </c>
      <c r="J578" t="s">
        <v>11041</v>
      </c>
      <c r="K578" t="s">
        <v>74</v>
      </c>
      <c r="L578" t="s">
        <v>74</v>
      </c>
      <c r="M578" t="s">
        <v>78</v>
      </c>
      <c r="N578" t="s">
        <v>79</v>
      </c>
      <c r="O578" t="s">
        <v>74</v>
      </c>
      <c r="P578" t="s">
        <v>74</v>
      </c>
      <c r="Q578" t="s">
        <v>74</v>
      </c>
      <c r="R578" t="s">
        <v>74</v>
      </c>
      <c r="S578" t="s">
        <v>74</v>
      </c>
      <c r="T578" t="s">
        <v>11042</v>
      </c>
      <c r="U578" t="s">
        <v>11043</v>
      </c>
      <c r="V578" t="s">
        <v>11044</v>
      </c>
      <c r="W578" t="s">
        <v>11045</v>
      </c>
      <c r="X578" t="s">
        <v>11046</v>
      </c>
      <c r="Y578" t="s">
        <v>11047</v>
      </c>
      <c r="Z578" t="s">
        <v>11048</v>
      </c>
      <c r="AA578" t="s">
        <v>74</v>
      </c>
      <c r="AB578" t="s">
        <v>11049</v>
      </c>
      <c r="AC578" t="s">
        <v>11050</v>
      </c>
      <c r="AD578" t="s">
        <v>11051</v>
      </c>
      <c r="AE578" t="s">
        <v>11052</v>
      </c>
      <c r="AF578" t="s">
        <v>74</v>
      </c>
      <c r="AG578">
        <v>62</v>
      </c>
      <c r="AH578">
        <v>7</v>
      </c>
      <c r="AI578">
        <v>7</v>
      </c>
      <c r="AJ578">
        <v>2</v>
      </c>
      <c r="AK578">
        <v>10</v>
      </c>
      <c r="AL578" t="s">
        <v>5623</v>
      </c>
      <c r="AM578" t="s">
        <v>5624</v>
      </c>
      <c r="AN578" t="s">
        <v>5625</v>
      </c>
      <c r="AO578" t="s">
        <v>11053</v>
      </c>
      <c r="AP578" t="s">
        <v>74</v>
      </c>
      <c r="AQ578" t="s">
        <v>74</v>
      </c>
      <c r="AR578" t="s">
        <v>11054</v>
      </c>
      <c r="AS578" t="s">
        <v>11055</v>
      </c>
      <c r="AT578" t="s">
        <v>9839</v>
      </c>
      <c r="AU578">
        <v>2022</v>
      </c>
      <c r="AV578">
        <v>4</v>
      </c>
      <c r="AW578">
        <v>12</v>
      </c>
      <c r="AX578" t="s">
        <v>74</v>
      </c>
      <c r="AY578" t="s">
        <v>74</v>
      </c>
      <c r="AZ578" t="s">
        <v>74</v>
      </c>
      <c r="BA578" t="s">
        <v>74</v>
      </c>
      <c r="BB578" t="s">
        <v>74</v>
      </c>
      <c r="BC578" t="s">
        <v>74</v>
      </c>
      <c r="BD578">
        <v>121005</v>
      </c>
      <c r="BE578" t="s">
        <v>11056</v>
      </c>
      <c r="BF578" t="str">
        <f>HYPERLINK("http://dx.doi.org/10.1088/2515-7620/aca5f2","http://dx.doi.org/10.1088/2515-7620/aca5f2")</f>
        <v>http://dx.doi.org/10.1088/2515-7620/aca5f2</v>
      </c>
      <c r="BG578" t="s">
        <v>74</v>
      </c>
      <c r="BH578" t="s">
        <v>74</v>
      </c>
      <c r="BI578">
        <v>13</v>
      </c>
      <c r="BJ578" t="s">
        <v>216</v>
      </c>
      <c r="BK578" t="s">
        <v>104</v>
      </c>
      <c r="BL578" t="s">
        <v>217</v>
      </c>
      <c r="BM578" t="s">
        <v>11057</v>
      </c>
      <c r="BN578" t="s">
        <v>74</v>
      </c>
      <c r="BO578" t="s">
        <v>165</v>
      </c>
      <c r="BP578" t="s">
        <v>74</v>
      </c>
      <c r="BQ578" t="s">
        <v>74</v>
      </c>
      <c r="BR578" t="s">
        <v>108</v>
      </c>
      <c r="BS578" t="s">
        <v>11058</v>
      </c>
      <c r="BT578" t="str">
        <f>HYPERLINK("https%3A%2F%2Fwww.webofscience.com%2Fwos%2Fwoscc%2Ffull-record%2FWOS:000897924700001","View Full Record in Web of Science")</f>
        <v>View Full Record in Web of Science</v>
      </c>
    </row>
    <row r="579" spans="1:72" x14ac:dyDescent="0.15">
      <c r="A579" t="s">
        <v>72</v>
      </c>
      <c r="B579" t="s">
        <v>11059</v>
      </c>
      <c r="C579" t="s">
        <v>74</v>
      </c>
      <c r="D579" t="s">
        <v>74</v>
      </c>
      <c r="E579" t="s">
        <v>74</v>
      </c>
      <c r="F579" t="s">
        <v>11060</v>
      </c>
      <c r="G579" t="s">
        <v>74</v>
      </c>
      <c r="H579" t="s">
        <v>74</v>
      </c>
      <c r="I579" t="s">
        <v>11061</v>
      </c>
      <c r="J579" t="s">
        <v>5240</v>
      </c>
      <c r="K579" t="s">
        <v>74</v>
      </c>
      <c r="L579" t="s">
        <v>74</v>
      </c>
      <c r="M579" t="s">
        <v>78</v>
      </c>
      <c r="N579" t="s">
        <v>79</v>
      </c>
      <c r="O579" t="s">
        <v>74</v>
      </c>
      <c r="P579" t="s">
        <v>74</v>
      </c>
      <c r="Q579" t="s">
        <v>74</v>
      </c>
      <c r="R579" t="s">
        <v>74</v>
      </c>
      <c r="S579" t="s">
        <v>74</v>
      </c>
      <c r="T579" t="s">
        <v>11062</v>
      </c>
      <c r="U579" t="s">
        <v>11063</v>
      </c>
      <c r="V579" t="s">
        <v>11064</v>
      </c>
      <c r="W579" t="s">
        <v>11065</v>
      </c>
      <c r="X579" t="s">
        <v>8558</v>
      </c>
      <c r="Y579" t="s">
        <v>11066</v>
      </c>
      <c r="Z579" t="s">
        <v>11067</v>
      </c>
      <c r="AA579" t="s">
        <v>11068</v>
      </c>
      <c r="AB579" t="s">
        <v>11069</v>
      </c>
      <c r="AC579" t="s">
        <v>74</v>
      </c>
      <c r="AD579" t="s">
        <v>74</v>
      </c>
      <c r="AE579" t="s">
        <v>74</v>
      </c>
      <c r="AF579" t="s">
        <v>74</v>
      </c>
      <c r="AG579">
        <v>58</v>
      </c>
      <c r="AH579">
        <v>2</v>
      </c>
      <c r="AI579">
        <v>3</v>
      </c>
      <c r="AJ579">
        <v>0</v>
      </c>
      <c r="AK579">
        <v>3</v>
      </c>
      <c r="AL579" t="s">
        <v>4886</v>
      </c>
      <c r="AM579" t="s">
        <v>4887</v>
      </c>
      <c r="AN579" t="s">
        <v>4888</v>
      </c>
      <c r="AO579" t="s">
        <v>74</v>
      </c>
      <c r="AP579" t="s">
        <v>5253</v>
      </c>
      <c r="AQ579" t="s">
        <v>74</v>
      </c>
      <c r="AR579" t="s">
        <v>5240</v>
      </c>
      <c r="AS579" t="s">
        <v>5254</v>
      </c>
      <c r="AT579" t="s">
        <v>9001</v>
      </c>
      <c r="AU579">
        <v>2022</v>
      </c>
      <c r="AV579">
        <v>12</v>
      </c>
      <c r="AW579">
        <v>12</v>
      </c>
      <c r="AX579" t="s">
        <v>74</v>
      </c>
      <c r="AY579" t="s">
        <v>74</v>
      </c>
      <c r="AZ579" t="s">
        <v>74</v>
      </c>
      <c r="BA579" t="s">
        <v>74</v>
      </c>
      <c r="BB579" t="s">
        <v>74</v>
      </c>
      <c r="BC579" t="s">
        <v>74</v>
      </c>
      <c r="BD579">
        <v>2919</v>
      </c>
      <c r="BE579" t="s">
        <v>11070</v>
      </c>
      <c r="BF579" t="str">
        <f>HYPERLINK("http://dx.doi.org/10.3390/agronomy12122919","http://dx.doi.org/10.3390/agronomy12122919")</f>
        <v>http://dx.doi.org/10.3390/agronomy12122919</v>
      </c>
      <c r="BG579" t="s">
        <v>74</v>
      </c>
      <c r="BH579" t="s">
        <v>74</v>
      </c>
      <c r="BI579">
        <v>18</v>
      </c>
      <c r="BJ579" t="s">
        <v>5256</v>
      </c>
      <c r="BK579" t="s">
        <v>104</v>
      </c>
      <c r="BL579" t="s">
        <v>5257</v>
      </c>
      <c r="BM579" t="s">
        <v>11071</v>
      </c>
      <c r="BN579" t="s">
        <v>74</v>
      </c>
      <c r="BO579" t="s">
        <v>3181</v>
      </c>
      <c r="BP579" t="s">
        <v>74</v>
      </c>
      <c r="BQ579" t="s">
        <v>74</v>
      </c>
      <c r="BR579" t="s">
        <v>108</v>
      </c>
      <c r="BS579" t="s">
        <v>11072</v>
      </c>
      <c r="BT579" t="str">
        <f>HYPERLINK("https%3A%2F%2Fwww.webofscience.com%2Fwos%2Fwoscc%2Ffull-record%2FWOS:000900366900001","View Full Record in Web of Science")</f>
        <v>View Full Record in Web of Science</v>
      </c>
    </row>
    <row r="580" spans="1:72" x14ac:dyDescent="0.15">
      <c r="A580" t="s">
        <v>72</v>
      </c>
      <c r="B580" t="s">
        <v>11073</v>
      </c>
      <c r="C580" t="s">
        <v>74</v>
      </c>
      <c r="D580" t="s">
        <v>74</v>
      </c>
      <c r="E580" t="s">
        <v>74</v>
      </c>
      <c r="F580" t="s">
        <v>11074</v>
      </c>
      <c r="G580" t="s">
        <v>74</v>
      </c>
      <c r="H580" t="s">
        <v>74</v>
      </c>
      <c r="I580" t="s">
        <v>11075</v>
      </c>
      <c r="J580" t="s">
        <v>11076</v>
      </c>
      <c r="K580" t="s">
        <v>74</v>
      </c>
      <c r="L580" t="s">
        <v>74</v>
      </c>
      <c r="M580" t="s">
        <v>78</v>
      </c>
      <c r="N580" t="s">
        <v>79</v>
      </c>
      <c r="O580" t="s">
        <v>74</v>
      </c>
      <c r="P580" t="s">
        <v>74</v>
      </c>
      <c r="Q580" t="s">
        <v>74</v>
      </c>
      <c r="R580" t="s">
        <v>74</v>
      </c>
      <c r="S580" t="s">
        <v>74</v>
      </c>
      <c r="T580" t="s">
        <v>11077</v>
      </c>
      <c r="U580" t="s">
        <v>11078</v>
      </c>
      <c r="V580" t="s">
        <v>11079</v>
      </c>
      <c r="W580" t="s">
        <v>11080</v>
      </c>
      <c r="X580" t="s">
        <v>11081</v>
      </c>
      <c r="Y580" t="s">
        <v>11082</v>
      </c>
      <c r="Z580" t="s">
        <v>11083</v>
      </c>
      <c r="AA580" t="s">
        <v>74</v>
      </c>
      <c r="AB580" t="s">
        <v>74</v>
      </c>
      <c r="AC580" t="s">
        <v>74</v>
      </c>
      <c r="AD580" t="s">
        <v>74</v>
      </c>
      <c r="AE580" t="s">
        <v>74</v>
      </c>
      <c r="AF580" t="s">
        <v>74</v>
      </c>
      <c r="AG580">
        <v>46</v>
      </c>
      <c r="AH580">
        <v>2</v>
      </c>
      <c r="AI580">
        <v>3</v>
      </c>
      <c r="AJ580">
        <v>0</v>
      </c>
      <c r="AK580">
        <v>7</v>
      </c>
      <c r="AL580" t="s">
        <v>4452</v>
      </c>
      <c r="AM580" t="s">
        <v>93</v>
      </c>
      <c r="AN580" t="s">
        <v>4453</v>
      </c>
      <c r="AO580" t="s">
        <v>11084</v>
      </c>
      <c r="AP580" t="s">
        <v>11085</v>
      </c>
      <c r="AQ580" t="s">
        <v>74</v>
      </c>
      <c r="AR580" t="s">
        <v>11086</v>
      </c>
      <c r="AS580" t="s">
        <v>11087</v>
      </c>
      <c r="AT580" t="s">
        <v>9001</v>
      </c>
      <c r="AU580">
        <v>2022</v>
      </c>
      <c r="AV580">
        <v>55</v>
      </c>
      <c r="AW580">
        <v>12</v>
      </c>
      <c r="AX580" t="s">
        <v>74</v>
      </c>
      <c r="AY580" t="s">
        <v>74</v>
      </c>
      <c r="AZ580" t="s">
        <v>74</v>
      </c>
      <c r="BA580" t="s">
        <v>74</v>
      </c>
      <c r="BB580">
        <v>1673</v>
      </c>
      <c r="BC580">
        <v>1688</v>
      </c>
      <c r="BD580" t="s">
        <v>74</v>
      </c>
      <c r="BE580" t="s">
        <v>11088</v>
      </c>
      <c r="BF580" t="str">
        <f>HYPERLINK("http://dx.doi.org/10.1134/S1064229322700016","http://dx.doi.org/10.1134/S1064229322700016")</f>
        <v>http://dx.doi.org/10.1134/S1064229322700016</v>
      </c>
      <c r="BG580" t="s">
        <v>74</v>
      </c>
      <c r="BH580" t="s">
        <v>74</v>
      </c>
      <c r="BI580">
        <v>16</v>
      </c>
      <c r="BJ580" t="s">
        <v>9080</v>
      </c>
      <c r="BK580" t="s">
        <v>104</v>
      </c>
      <c r="BL580" t="s">
        <v>9081</v>
      </c>
      <c r="BM580" t="s">
        <v>11089</v>
      </c>
      <c r="BN580" t="s">
        <v>74</v>
      </c>
      <c r="BO580" t="s">
        <v>74</v>
      </c>
      <c r="BP580" t="s">
        <v>74</v>
      </c>
      <c r="BQ580" t="s">
        <v>74</v>
      </c>
      <c r="BR580" t="s">
        <v>108</v>
      </c>
      <c r="BS580" t="s">
        <v>11090</v>
      </c>
      <c r="BT580" t="str">
        <f>HYPERLINK("https%3A%2F%2Fwww.webofscience.com%2Fwos%2Fwoscc%2Ffull-record%2FWOS:000896468300001","View Full Record in Web of Science")</f>
        <v>View Full Record in Web of Science</v>
      </c>
    </row>
    <row r="581" spans="1:72" x14ac:dyDescent="0.15">
      <c r="A581" t="s">
        <v>72</v>
      </c>
      <c r="B581" t="s">
        <v>11091</v>
      </c>
      <c r="C581" t="s">
        <v>74</v>
      </c>
      <c r="D581" t="s">
        <v>74</v>
      </c>
      <c r="E581" t="s">
        <v>74</v>
      </c>
      <c r="F581" t="s">
        <v>11092</v>
      </c>
      <c r="G581" t="s">
        <v>74</v>
      </c>
      <c r="H581" t="s">
        <v>74</v>
      </c>
      <c r="I581" t="s">
        <v>11093</v>
      </c>
      <c r="J581" t="s">
        <v>11076</v>
      </c>
      <c r="K581" t="s">
        <v>74</v>
      </c>
      <c r="L581" t="s">
        <v>74</v>
      </c>
      <c r="M581" t="s">
        <v>78</v>
      </c>
      <c r="N581" t="s">
        <v>79</v>
      </c>
      <c r="O581" t="s">
        <v>74</v>
      </c>
      <c r="P581" t="s">
        <v>74</v>
      </c>
      <c r="Q581" t="s">
        <v>74</v>
      </c>
      <c r="R581" t="s">
        <v>74</v>
      </c>
      <c r="S581" t="s">
        <v>74</v>
      </c>
      <c r="T581" t="s">
        <v>11094</v>
      </c>
      <c r="U581" t="s">
        <v>11095</v>
      </c>
      <c r="V581" t="s">
        <v>11096</v>
      </c>
      <c r="W581" t="s">
        <v>11097</v>
      </c>
      <c r="X581" t="s">
        <v>11098</v>
      </c>
      <c r="Y581" t="s">
        <v>11099</v>
      </c>
      <c r="Z581" t="s">
        <v>11100</v>
      </c>
      <c r="AA581" t="s">
        <v>11101</v>
      </c>
      <c r="AB581" t="s">
        <v>11102</v>
      </c>
      <c r="AC581" t="s">
        <v>11103</v>
      </c>
      <c r="AD581" t="s">
        <v>11104</v>
      </c>
      <c r="AE581" t="s">
        <v>11105</v>
      </c>
      <c r="AF581" t="s">
        <v>74</v>
      </c>
      <c r="AG581">
        <v>50</v>
      </c>
      <c r="AH581">
        <v>1</v>
      </c>
      <c r="AI581">
        <v>1</v>
      </c>
      <c r="AJ581">
        <v>1</v>
      </c>
      <c r="AK581">
        <v>5</v>
      </c>
      <c r="AL581" t="s">
        <v>4452</v>
      </c>
      <c r="AM581" t="s">
        <v>93</v>
      </c>
      <c r="AN581" t="s">
        <v>4453</v>
      </c>
      <c r="AO581" t="s">
        <v>11084</v>
      </c>
      <c r="AP581" t="s">
        <v>11085</v>
      </c>
      <c r="AQ581" t="s">
        <v>74</v>
      </c>
      <c r="AR581" t="s">
        <v>11086</v>
      </c>
      <c r="AS581" t="s">
        <v>11087</v>
      </c>
      <c r="AT581" t="s">
        <v>9001</v>
      </c>
      <c r="AU581">
        <v>2022</v>
      </c>
      <c r="AV581">
        <v>55</v>
      </c>
      <c r="AW581">
        <v>12</v>
      </c>
      <c r="AX581" t="s">
        <v>74</v>
      </c>
      <c r="AY581" t="s">
        <v>74</v>
      </c>
      <c r="AZ581" t="s">
        <v>74</v>
      </c>
      <c r="BA581" t="s">
        <v>74</v>
      </c>
      <c r="BB581">
        <v>1770</v>
      </c>
      <c r="BC581">
        <v>1785</v>
      </c>
      <c r="BD581" t="s">
        <v>74</v>
      </c>
      <c r="BE581" t="s">
        <v>11106</v>
      </c>
      <c r="BF581" t="str">
        <f>HYPERLINK("http://dx.doi.org/10.1134/S1064229322700089","http://dx.doi.org/10.1134/S1064229322700089")</f>
        <v>http://dx.doi.org/10.1134/S1064229322700089</v>
      </c>
      <c r="BG581" t="s">
        <v>74</v>
      </c>
      <c r="BH581" t="s">
        <v>74</v>
      </c>
      <c r="BI581">
        <v>16</v>
      </c>
      <c r="BJ581" t="s">
        <v>9080</v>
      </c>
      <c r="BK581" t="s">
        <v>104</v>
      </c>
      <c r="BL581" t="s">
        <v>9081</v>
      </c>
      <c r="BM581" t="s">
        <v>11089</v>
      </c>
      <c r="BN581" t="s">
        <v>74</v>
      </c>
      <c r="BO581" t="s">
        <v>74</v>
      </c>
      <c r="BP581" t="s">
        <v>74</v>
      </c>
      <c r="BQ581" t="s">
        <v>74</v>
      </c>
      <c r="BR581" t="s">
        <v>108</v>
      </c>
      <c r="BS581" t="s">
        <v>11107</v>
      </c>
      <c r="BT581" t="str">
        <f>HYPERLINK("https%3A%2F%2Fwww.webofscience.com%2Fwos%2Fwoscc%2Ffull-record%2FWOS:000896468300010","View Full Record in Web of Science")</f>
        <v>View Full Record in Web of Science</v>
      </c>
    </row>
    <row r="582" spans="1:72" x14ac:dyDescent="0.15">
      <c r="A582" t="s">
        <v>72</v>
      </c>
      <c r="B582" t="s">
        <v>11108</v>
      </c>
      <c r="C582" t="s">
        <v>74</v>
      </c>
      <c r="D582" t="s">
        <v>74</v>
      </c>
      <c r="E582" t="s">
        <v>74</v>
      </c>
      <c r="F582" t="s">
        <v>11109</v>
      </c>
      <c r="G582" t="s">
        <v>74</v>
      </c>
      <c r="H582" t="s">
        <v>74</v>
      </c>
      <c r="I582" t="s">
        <v>11110</v>
      </c>
      <c r="J582" t="s">
        <v>10687</v>
      </c>
      <c r="K582" t="s">
        <v>74</v>
      </c>
      <c r="L582" t="s">
        <v>74</v>
      </c>
      <c r="M582" t="s">
        <v>78</v>
      </c>
      <c r="N582" t="s">
        <v>79</v>
      </c>
      <c r="O582" t="s">
        <v>74</v>
      </c>
      <c r="P582" t="s">
        <v>74</v>
      </c>
      <c r="Q582" t="s">
        <v>74</v>
      </c>
      <c r="R582" t="s">
        <v>74</v>
      </c>
      <c r="S582" t="s">
        <v>74</v>
      </c>
      <c r="T582" t="s">
        <v>11111</v>
      </c>
      <c r="U582" t="s">
        <v>11112</v>
      </c>
      <c r="V582" t="s">
        <v>11113</v>
      </c>
      <c r="W582" t="s">
        <v>11114</v>
      </c>
      <c r="X582" t="s">
        <v>2072</v>
      </c>
      <c r="Y582" t="s">
        <v>11115</v>
      </c>
      <c r="Z582" t="s">
        <v>11116</v>
      </c>
      <c r="AA582" t="s">
        <v>11117</v>
      </c>
      <c r="AB582" t="s">
        <v>11118</v>
      </c>
      <c r="AC582" t="s">
        <v>74</v>
      </c>
      <c r="AD582" t="s">
        <v>74</v>
      </c>
      <c r="AE582" t="s">
        <v>74</v>
      </c>
      <c r="AF582" t="s">
        <v>74</v>
      </c>
      <c r="AG582">
        <v>27</v>
      </c>
      <c r="AH582">
        <v>0</v>
      </c>
      <c r="AI582">
        <v>0</v>
      </c>
      <c r="AJ582">
        <v>3</v>
      </c>
      <c r="AK582">
        <v>14</v>
      </c>
      <c r="AL582" t="s">
        <v>4886</v>
      </c>
      <c r="AM582" t="s">
        <v>4887</v>
      </c>
      <c r="AN582" t="s">
        <v>4888</v>
      </c>
      <c r="AO582" t="s">
        <v>74</v>
      </c>
      <c r="AP582" t="s">
        <v>10699</v>
      </c>
      <c r="AQ582" t="s">
        <v>74</v>
      </c>
      <c r="AR582" t="s">
        <v>10700</v>
      </c>
      <c r="AS582" t="s">
        <v>10701</v>
      </c>
      <c r="AT582" t="s">
        <v>9001</v>
      </c>
      <c r="AU582">
        <v>2022</v>
      </c>
      <c r="AV582">
        <v>10</v>
      </c>
      <c r="AW582">
        <v>12</v>
      </c>
      <c r="AX582" t="s">
        <v>74</v>
      </c>
      <c r="AY582" t="s">
        <v>74</v>
      </c>
      <c r="AZ582" t="s">
        <v>74</v>
      </c>
      <c r="BA582" t="s">
        <v>74</v>
      </c>
      <c r="BB582" t="s">
        <v>74</v>
      </c>
      <c r="BC582" t="s">
        <v>74</v>
      </c>
      <c r="BD582">
        <v>1859</v>
      </c>
      <c r="BE582" t="s">
        <v>11119</v>
      </c>
      <c r="BF582" t="str">
        <f>HYPERLINK("http://dx.doi.org/10.3390/jmse10121859","http://dx.doi.org/10.3390/jmse10121859")</f>
        <v>http://dx.doi.org/10.3390/jmse10121859</v>
      </c>
      <c r="BG582" t="s">
        <v>74</v>
      </c>
      <c r="BH582" t="s">
        <v>74</v>
      </c>
      <c r="BI582">
        <v>8</v>
      </c>
      <c r="BJ582" t="s">
        <v>10703</v>
      </c>
      <c r="BK582" t="s">
        <v>104</v>
      </c>
      <c r="BL582" t="s">
        <v>3062</v>
      </c>
      <c r="BM582" t="s">
        <v>11120</v>
      </c>
      <c r="BN582" t="s">
        <v>74</v>
      </c>
      <c r="BO582" t="s">
        <v>165</v>
      </c>
      <c r="BP582" t="s">
        <v>74</v>
      </c>
      <c r="BQ582" t="s">
        <v>74</v>
      </c>
      <c r="BR582" t="s">
        <v>108</v>
      </c>
      <c r="BS582" t="s">
        <v>11121</v>
      </c>
      <c r="BT582" t="str">
        <f>HYPERLINK("https%3A%2F%2Fwww.webofscience.com%2Fwos%2Fwoscc%2Ffull-record%2FWOS:000900984800001","View Full Record in Web of Science")</f>
        <v>View Full Record in Web of Science</v>
      </c>
    </row>
    <row r="583" spans="1:72" x14ac:dyDescent="0.15">
      <c r="A583" t="s">
        <v>72</v>
      </c>
      <c r="B583" t="s">
        <v>11122</v>
      </c>
      <c r="C583" t="s">
        <v>74</v>
      </c>
      <c r="D583" t="s">
        <v>74</v>
      </c>
      <c r="E583" t="s">
        <v>74</v>
      </c>
      <c r="F583" t="s">
        <v>11123</v>
      </c>
      <c r="G583" t="s">
        <v>74</v>
      </c>
      <c r="H583" t="s">
        <v>74</v>
      </c>
      <c r="I583" t="s">
        <v>11124</v>
      </c>
      <c r="J583" t="s">
        <v>5347</v>
      </c>
      <c r="K583" t="s">
        <v>74</v>
      </c>
      <c r="L583" t="s">
        <v>74</v>
      </c>
      <c r="M583" t="s">
        <v>78</v>
      </c>
      <c r="N583" t="s">
        <v>79</v>
      </c>
      <c r="O583" t="s">
        <v>74</v>
      </c>
      <c r="P583" t="s">
        <v>74</v>
      </c>
      <c r="Q583" t="s">
        <v>74</v>
      </c>
      <c r="R583" t="s">
        <v>74</v>
      </c>
      <c r="S583" t="s">
        <v>74</v>
      </c>
      <c r="T583" t="s">
        <v>11125</v>
      </c>
      <c r="U583" t="s">
        <v>11126</v>
      </c>
      <c r="V583" t="s">
        <v>11127</v>
      </c>
      <c r="W583" t="s">
        <v>11128</v>
      </c>
      <c r="X583" t="s">
        <v>11129</v>
      </c>
      <c r="Y583" t="s">
        <v>11130</v>
      </c>
      <c r="Z583" t="s">
        <v>11131</v>
      </c>
      <c r="AA583" t="s">
        <v>11132</v>
      </c>
      <c r="AB583" t="s">
        <v>11133</v>
      </c>
      <c r="AC583" t="s">
        <v>11134</v>
      </c>
      <c r="AD583" t="s">
        <v>11135</v>
      </c>
      <c r="AE583" t="s">
        <v>11136</v>
      </c>
      <c r="AF583" t="s">
        <v>74</v>
      </c>
      <c r="AG583">
        <v>70</v>
      </c>
      <c r="AH583">
        <v>4</v>
      </c>
      <c r="AI583">
        <v>4</v>
      </c>
      <c r="AJ583">
        <v>8</v>
      </c>
      <c r="AK583">
        <v>29</v>
      </c>
      <c r="AL583" t="s">
        <v>4886</v>
      </c>
      <c r="AM583" t="s">
        <v>4887</v>
      </c>
      <c r="AN583" t="s">
        <v>4888</v>
      </c>
      <c r="AO583" t="s">
        <v>74</v>
      </c>
      <c r="AP583" t="s">
        <v>5356</v>
      </c>
      <c r="AQ583" t="s">
        <v>74</v>
      </c>
      <c r="AR583" t="s">
        <v>5357</v>
      </c>
      <c r="AS583" t="s">
        <v>5358</v>
      </c>
      <c r="AT583" t="s">
        <v>9001</v>
      </c>
      <c r="AU583">
        <v>2022</v>
      </c>
      <c r="AV583">
        <v>23</v>
      </c>
      <c r="AW583">
        <v>23</v>
      </c>
      <c r="AX583" t="s">
        <v>74</v>
      </c>
      <c r="AY583" t="s">
        <v>74</v>
      </c>
      <c r="AZ583" t="s">
        <v>74</v>
      </c>
      <c r="BA583" t="s">
        <v>74</v>
      </c>
      <c r="BB583" t="s">
        <v>74</v>
      </c>
      <c r="BC583" t="s">
        <v>74</v>
      </c>
      <c r="BD583">
        <v>15148</v>
      </c>
      <c r="BE583" t="s">
        <v>11137</v>
      </c>
      <c r="BF583" t="str">
        <f>HYPERLINK("http://dx.doi.org/10.3390/ijms232315148","http://dx.doi.org/10.3390/ijms232315148")</f>
        <v>http://dx.doi.org/10.3390/ijms232315148</v>
      </c>
      <c r="BG583" t="s">
        <v>74</v>
      </c>
      <c r="BH583" t="s">
        <v>74</v>
      </c>
      <c r="BI583">
        <v>20</v>
      </c>
      <c r="BJ583" t="s">
        <v>5360</v>
      </c>
      <c r="BK583" t="s">
        <v>104</v>
      </c>
      <c r="BL583" t="s">
        <v>5361</v>
      </c>
      <c r="BM583" t="s">
        <v>11138</v>
      </c>
      <c r="BN583">
        <v>36499473</v>
      </c>
      <c r="BO583" t="s">
        <v>192</v>
      </c>
      <c r="BP583" t="s">
        <v>74</v>
      </c>
      <c r="BQ583" t="s">
        <v>74</v>
      </c>
      <c r="BR583" t="s">
        <v>108</v>
      </c>
      <c r="BS583" t="s">
        <v>11139</v>
      </c>
      <c r="BT583" t="str">
        <f>HYPERLINK("https%3A%2F%2Fwww.webofscience.com%2Fwos%2Fwoscc%2Ffull-record%2FWOS:000897262300001","View Full Record in Web of Science")</f>
        <v>View Full Record in Web of Science</v>
      </c>
    </row>
    <row r="584" spans="1:72" x14ac:dyDescent="0.15">
      <c r="A584" t="s">
        <v>72</v>
      </c>
      <c r="B584" t="s">
        <v>11140</v>
      </c>
      <c r="C584" t="s">
        <v>74</v>
      </c>
      <c r="D584" t="s">
        <v>74</v>
      </c>
      <c r="E584" t="s">
        <v>74</v>
      </c>
      <c r="F584" t="s">
        <v>11141</v>
      </c>
      <c r="G584" t="s">
        <v>74</v>
      </c>
      <c r="H584" t="s">
        <v>74</v>
      </c>
      <c r="I584" t="s">
        <v>11142</v>
      </c>
      <c r="J584" t="s">
        <v>5347</v>
      </c>
      <c r="K584" t="s">
        <v>74</v>
      </c>
      <c r="L584" t="s">
        <v>74</v>
      </c>
      <c r="M584" t="s">
        <v>78</v>
      </c>
      <c r="N584" t="s">
        <v>79</v>
      </c>
      <c r="O584" t="s">
        <v>74</v>
      </c>
      <c r="P584" t="s">
        <v>74</v>
      </c>
      <c r="Q584" t="s">
        <v>74</v>
      </c>
      <c r="R584" t="s">
        <v>74</v>
      </c>
      <c r="S584" t="s">
        <v>74</v>
      </c>
      <c r="T584" t="s">
        <v>11143</v>
      </c>
      <c r="U584" t="s">
        <v>11144</v>
      </c>
      <c r="V584" t="s">
        <v>11145</v>
      </c>
      <c r="W584" t="s">
        <v>11146</v>
      </c>
      <c r="X584" t="s">
        <v>11147</v>
      </c>
      <c r="Y584" t="s">
        <v>11148</v>
      </c>
      <c r="Z584" t="s">
        <v>11149</v>
      </c>
      <c r="AA584" t="s">
        <v>74</v>
      </c>
      <c r="AB584" t="s">
        <v>74</v>
      </c>
      <c r="AC584" t="s">
        <v>11150</v>
      </c>
      <c r="AD584" t="s">
        <v>11151</v>
      </c>
      <c r="AE584" t="s">
        <v>11152</v>
      </c>
      <c r="AF584" t="s">
        <v>74</v>
      </c>
      <c r="AG584">
        <v>34</v>
      </c>
      <c r="AH584">
        <v>0</v>
      </c>
      <c r="AI584">
        <v>0</v>
      </c>
      <c r="AJ584">
        <v>1</v>
      </c>
      <c r="AK584">
        <v>2</v>
      </c>
      <c r="AL584" t="s">
        <v>4886</v>
      </c>
      <c r="AM584" t="s">
        <v>4887</v>
      </c>
      <c r="AN584" t="s">
        <v>4888</v>
      </c>
      <c r="AO584" t="s">
        <v>74</v>
      </c>
      <c r="AP584" t="s">
        <v>5356</v>
      </c>
      <c r="AQ584" t="s">
        <v>74</v>
      </c>
      <c r="AR584" t="s">
        <v>5357</v>
      </c>
      <c r="AS584" t="s">
        <v>5358</v>
      </c>
      <c r="AT584" t="s">
        <v>9001</v>
      </c>
      <c r="AU584">
        <v>2022</v>
      </c>
      <c r="AV584">
        <v>23</v>
      </c>
      <c r="AW584">
        <v>23</v>
      </c>
      <c r="AX584" t="s">
        <v>74</v>
      </c>
      <c r="AY584" t="s">
        <v>74</v>
      </c>
      <c r="AZ584" t="s">
        <v>74</v>
      </c>
      <c r="BA584" t="s">
        <v>74</v>
      </c>
      <c r="BB584" t="s">
        <v>74</v>
      </c>
      <c r="BC584" t="s">
        <v>74</v>
      </c>
      <c r="BD584">
        <v>14642</v>
      </c>
      <c r="BE584" t="s">
        <v>11153</v>
      </c>
      <c r="BF584" t="str">
        <f>HYPERLINK("http://dx.doi.org/10.3390/ijms232314642","http://dx.doi.org/10.3390/ijms232314642")</f>
        <v>http://dx.doi.org/10.3390/ijms232314642</v>
      </c>
      <c r="BG584" t="s">
        <v>74</v>
      </c>
      <c r="BH584" t="s">
        <v>74</v>
      </c>
      <c r="BI584">
        <v>11</v>
      </c>
      <c r="BJ584" t="s">
        <v>5360</v>
      </c>
      <c r="BK584" t="s">
        <v>104</v>
      </c>
      <c r="BL584" t="s">
        <v>5361</v>
      </c>
      <c r="BM584" t="s">
        <v>11154</v>
      </c>
      <c r="BN584">
        <v>36498968</v>
      </c>
      <c r="BO584" t="s">
        <v>192</v>
      </c>
      <c r="BP584" t="s">
        <v>74</v>
      </c>
      <c r="BQ584" t="s">
        <v>74</v>
      </c>
      <c r="BR584" t="s">
        <v>108</v>
      </c>
      <c r="BS584" t="s">
        <v>11155</v>
      </c>
      <c r="BT584" t="str">
        <f>HYPERLINK("https%3A%2F%2Fwww.webofscience.com%2Fwos%2Fwoscc%2Ffull-record%2FWOS:000898009200001","View Full Record in Web of Science")</f>
        <v>View Full Record in Web of Science</v>
      </c>
    </row>
    <row r="585" spans="1:72" x14ac:dyDescent="0.15">
      <c r="A585" t="s">
        <v>72</v>
      </c>
      <c r="B585" t="s">
        <v>11156</v>
      </c>
      <c r="C585" t="s">
        <v>74</v>
      </c>
      <c r="D585" t="s">
        <v>74</v>
      </c>
      <c r="E585" t="s">
        <v>74</v>
      </c>
      <c r="F585" t="s">
        <v>11157</v>
      </c>
      <c r="G585" t="s">
        <v>74</v>
      </c>
      <c r="H585" t="s">
        <v>74</v>
      </c>
      <c r="I585" t="s">
        <v>11158</v>
      </c>
      <c r="J585" t="s">
        <v>11159</v>
      </c>
      <c r="K585" t="s">
        <v>74</v>
      </c>
      <c r="L585" t="s">
        <v>74</v>
      </c>
      <c r="M585" t="s">
        <v>78</v>
      </c>
      <c r="N585" t="s">
        <v>79</v>
      </c>
      <c r="O585" t="s">
        <v>74</v>
      </c>
      <c r="P585" t="s">
        <v>74</v>
      </c>
      <c r="Q585" t="s">
        <v>74</v>
      </c>
      <c r="R585" t="s">
        <v>74</v>
      </c>
      <c r="S585" t="s">
        <v>74</v>
      </c>
      <c r="T585" t="s">
        <v>11160</v>
      </c>
      <c r="U585" t="s">
        <v>11161</v>
      </c>
      <c r="V585" t="s">
        <v>11162</v>
      </c>
      <c r="W585" t="s">
        <v>11163</v>
      </c>
      <c r="X585" t="s">
        <v>11164</v>
      </c>
      <c r="Y585" t="s">
        <v>11165</v>
      </c>
      <c r="Z585" t="s">
        <v>11166</v>
      </c>
      <c r="AA585" t="s">
        <v>11167</v>
      </c>
      <c r="AB585" t="s">
        <v>11168</v>
      </c>
      <c r="AC585" t="s">
        <v>74</v>
      </c>
      <c r="AD585" t="s">
        <v>74</v>
      </c>
      <c r="AE585" t="s">
        <v>74</v>
      </c>
      <c r="AF585" t="s">
        <v>74</v>
      </c>
      <c r="AG585">
        <v>37</v>
      </c>
      <c r="AH585">
        <v>5</v>
      </c>
      <c r="AI585">
        <v>5</v>
      </c>
      <c r="AJ585">
        <v>18</v>
      </c>
      <c r="AK585">
        <v>48</v>
      </c>
      <c r="AL585" t="s">
        <v>4886</v>
      </c>
      <c r="AM585" t="s">
        <v>4887</v>
      </c>
      <c r="AN585" t="s">
        <v>4888</v>
      </c>
      <c r="AO585" t="s">
        <v>74</v>
      </c>
      <c r="AP585" t="s">
        <v>11169</v>
      </c>
      <c r="AQ585" t="s">
        <v>74</v>
      </c>
      <c r="AR585" t="s">
        <v>11159</v>
      </c>
      <c r="AS585" t="s">
        <v>11170</v>
      </c>
      <c r="AT585" t="s">
        <v>9001</v>
      </c>
      <c r="AU585">
        <v>2022</v>
      </c>
      <c r="AV585">
        <v>11</v>
      </c>
      <c r="AW585">
        <v>23</v>
      </c>
      <c r="AX585" t="s">
        <v>74</v>
      </c>
      <c r="AY585" t="s">
        <v>74</v>
      </c>
      <c r="AZ585" t="s">
        <v>74</v>
      </c>
      <c r="BA585" t="s">
        <v>74</v>
      </c>
      <c r="BB585" t="s">
        <v>74</v>
      </c>
      <c r="BC585" t="s">
        <v>74</v>
      </c>
      <c r="BD585">
        <v>3768</v>
      </c>
      <c r="BE585" t="s">
        <v>11171</v>
      </c>
      <c r="BF585" t="str">
        <f>HYPERLINK("http://dx.doi.org/10.3390/foods11233768","http://dx.doi.org/10.3390/foods11233768")</f>
        <v>http://dx.doi.org/10.3390/foods11233768</v>
      </c>
      <c r="BG585" t="s">
        <v>74</v>
      </c>
      <c r="BH585" t="s">
        <v>74</v>
      </c>
      <c r="BI585">
        <v>13</v>
      </c>
      <c r="BJ585" t="s">
        <v>8056</v>
      </c>
      <c r="BK585" t="s">
        <v>104</v>
      </c>
      <c r="BL585" t="s">
        <v>8056</v>
      </c>
      <c r="BM585" t="s">
        <v>11172</v>
      </c>
      <c r="BN585">
        <v>36496576</v>
      </c>
      <c r="BO585" t="s">
        <v>192</v>
      </c>
      <c r="BP585" t="s">
        <v>74</v>
      </c>
      <c r="BQ585" t="s">
        <v>74</v>
      </c>
      <c r="BR585" t="s">
        <v>108</v>
      </c>
      <c r="BS585" t="s">
        <v>11173</v>
      </c>
      <c r="BT585" t="str">
        <f>HYPERLINK("https%3A%2F%2Fwww.webofscience.com%2Fwos%2Fwoscc%2Ffull-record%2FWOS:000896487400001","View Full Record in Web of Science")</f>
        <v>View Full Record in Web of Science</v>
      </c>
    </row>
    <row r="586" spans="1:72" x14ac:dyDescent="0.15">
      <c r="A586" t="s">
        <v>72</v>
      </c>
      <c r="B586" t="s">
        <v>11174</v>
      </c>
      <c r="C586" t="s">
        <v>74</v>
      </c>
      <c r="D586" t="s">
        <v>74</v>
      </c>
      <c r="E586" t="s">
        <v>74</v>
      </c>
      <c r="F586" t="s">
        <v>11175</v>
      </c>
      <c r="G586" t="s">
        <v>74</v>
      </c>
      <c r="H586" t="s">
        <v>74</v>
      </c>
      <c r="I586" t="s">
        <v>11176</v>
      </c>
      <c r="J586" t="s">
        <v>10649</v>
      </c>
      <c r="K586" t="s">
        <v>74</v>
      </c>
      <c r="L586" t="s">
        <v>74</v>
      </c>
      <c r="M586" t="s">
        <v>78</v>
      </c>
      <c r="N586" t="s">
        <v>79</v>
      </c>
      <c r="O586" t="s">
        <v>74</v>
      </c>
      <c r="P586" t="s">
        <v>74</v>
      </c>
      <c r="Q586" t="s">
        <v>74</v>
      </c>
      <c r="R586" t="s">
        <v>74</v>
      </c>
      <c r="S586" t="s">
        <v>74</v>
      </c>
      <c r="T586" t="s">
        <v>11177</v>
      </c>
      <c r="U586" t="s">
        <v>11178</v>
      </c>
      <c r="V586" t="s">
        <v>11179</v>
      </c>
      <c r="W586" t="s">
        <v>11180</v>
      </c>
      <c r="X586" t="s">
        <v>11181</v>
      </c>
      <c r="Y586" t="s">
        <v>11182</v>
      </c>
      <c r="Z586" t="s">
        <v>11183</v>
      </c>
      <c r="AA586" t="s">
        <v>11184</v>
      </c>
      <c r="AB586" t="s">
        <v>11185</v>
      </c>
      <c r="AC586" t="s">
        <v>74</v>
      </c>
      <c r="AD586" t="s">
        <v>74</v>
      </c>
      <c r="AE586" t="s">
        <v>74</v>
      </c>
      <c r="AF586" t="s">
        <v>74</v>
      </c>
      <c r="AG586">
        <v>93</v>
      </c>
      <c r="AH586">
        <v>9</v>
      </c>
      <c r="AI586">
        <v>9</v>
      </c>
      <c r="AJ586">
        <v>2</v>
      </c>
      <c r="AK586">
        <v>8</v>
      </c>
      <c r="AL586" t="s">
        <v>4886</v>
      </c>
      <c r="AM586" t="s">
        <v>4887</v>
      </c>
      <c r="AN586" t="s">
        <v>4888</v>
      </c>
      <c r="AO586" t="s">
        <v>74</v>
      </c>
      <c r="AP586" t="s">
        <v>10658</v>
      </c>
      <c r="AQ586" t="s">
        <v>74</v>
      </c>
      <c r="AR586" t="s">
        <v>10659</v>
      </c>
      <c r="AS586" t="s">
        <v>10660</v>
      </c>
      <c r="AT586" t="s">
        <v>9001</v>
      </c>
      <c r="AU586">
        <v>2022</v>
      </c>
      <c r="AV586">
        <v>14</v>
      </c>
      <c r="AW586">
        <v>23</v>
      </c>
      <c r="AX586" t="s">
        <v>74</v>
      </c>
      <c r="AY586" t="s">
        <v>74</v>
      </c>
      <c r="AZ586" t="s">
        <v>74</v>
      </c>
      <c r="BA586" t="s">
        <v>74</v>
      </c>
      <c r="BB586" t="s">
        <v>74</v>
      </c>
      <c r="BC586" t="s">
        <v>74</v>
      </c>
      <c r="BD586">
        <v>3812</v>
      </c>
      <c r="BE586" t="s">
        <v>11186</v>
      </c>
      <c r="BF586" t="str">
        <f>HYPERLINK("http://dx.doi.org/10.3390/w14233812","http://dx.doi.org/10.3390/w14233812")</f>
        <v>http://dx.doi.org/10.3390/w14233812</v>
      </c>
      <c r="BG586" t="s">
        <v>74</v>
      </c>
      <c r="BH586" t="s">
        <v>74</v>
      </c>
      <c r="BI586">
        <v>21</v>
      </c>
      <c r="BJ586" t="s">
        <v>10662</v>
      </c>
      <c r="BK586" t="s">
        <v>104</v>
      </c>
      <c r="BL586" t="s">
        <v>10663</v>
      </c>
      <c r="BM586" t="s">
        <v>11187</v>
      </c>
      <c r="BN586" t="s">
        <v>74</v>
      </c>
      <c r="BO586" t="s">
        <v>165</v>
      </c>
      <c r="BP586" t="s">
        <v>74</v>
      </c>
      <c r="BQ586" t="s">
        <v>74</v>
      </c>
      <c r="BR586" t="s">
        <v>108</v>
      </c>
      <c r="BS586" t="s">
        <v>11188</v>
      </c>
      <c r="BT586" t="str">
        <f>HYPERLINK("https%3A%2F%2Fwww.webofscience.com%2Fwos%2Fwoscc%2Ffull-record%2FWOS:000896497400001","View Full Record in Web of Science")</f>
        <v>View Full Record in Web of Science</v>
      </c>
    </row>
    <row r="587" spans="1:72" x14ac:dyDescent="0.15">
      <c r="A587" t="s">
        <v>72</v>
      </c>
      <c r="B587" t="s">
        <v>11189</v>
      </c>
      <c r="C587" t="s">
        <v>74</v>
      </c>
      <c r="D587" t="s">
        <v>74</v>
      </c>
      <c r="E587" t="s">
        <v>74</v>
      </c>
      <c r="F587" t="s">
        <v>11190</v>
      </c>
      <c r="G587" t="s">
        <v>74</v>
      </c>
      <c r="H587" t="s">
        <v>74</v>
      </c>
      <c r="I587" t="s">
        <v>11191</v>
      </c>
      <c r="J587" t="s">
        <v>4941</v>
      </c>
      <c r="K587" t="s">
        <v>74</v>
      </c>
      <c r="L587" t="s">
        <v>74</v>
      </c>
      <c r="M587" t="s">
        <v>78</v>
      </c>
      <c r="N587" t="s">
        <v>79</v>
      </c>
      <c r="O587" t="s">
        <v>74</v>
      </c>
      <c r="P587" t="s">
        <v>74</v>
      </c>
      <c r="Q587" t="s">
        <v>74</v>
      </c>
      <c r="R587" t="s">
        <v>74</v>
      </c>
      <c r="S587" t="s">
        <v>74</v>
      </c>
      <c r="T587" t="s">
        <v>11192</v>
      </c>
      <c r="U587" t="s">
        <v>11193</v>
      </c>
      <c r="V587" t="s">
        <v>11194</v>
      </c>
      <c r="W587" t="s">
        <v>11195</v>
      </c>
      <c r="X587" t="s">
        <v>11196</v>
      </c>
      <c r="Y587" t="s">
        <v>11197</v>
      </c>
      <c r="Z587" t="s">
        <v>11198</v>
      </c>
      <c r="AA587" t="s">
        <v>74</v>
      </c>
      <c r="AB587" t="s">
        <v>74</v>
      </c>
      <c r="AC587" t="s">
        <v>74</v>
      </c>
      <c r="AD587" t="s">
        <v>74</v>
      </c>
      <c r="AE587" t="s">
        <v>74</v>
      </c>
      <c r="AF587" t="s">
        <v>74</v>
      </c>
      <c r="AG587">
        <v>47</v>
      </c>
      <c r="AH587">
        <v>3</v>
      </c>
      <c r="AI587">
        <v>3</v>
      </c>
      <c r="AJ587">
        <v>2</v>
      </c>
      <c r="AK587">
        <v>4</v>
      </c>
      <c r="AL587" t="s">
        <v>4886</v>
      </c>
      <c r="AM587" t="s">
        <v>4887</v>
      </c>
      <c r="AN587" t="s">
        <v>4888</v>
      </c>
      <c r="AO587" t="s">
        <v>74</v>
      </c>
      <c r="AP587" t="s">
        <v>4954</v>
      </c>
      <c r="AQ587" t="s">
        <v>74</v>
      </c>
      <c r="AR587" t="s">
        <v>4955</v>
      </c>
      <c r="AS587" t="s">
        <v>4956</v>
      </c>
      <c r="AT587" t="s">
        <v>9001</v>
      </c>
      <c r="AU587">
        <v>2022</v>
      </c>
      <c r="AV587">
        <v>14</v>
      </c>
      <c r="AW587">
        <v>23</v>
      </c>
      <c r="AX587" t="s">
        <v>74</v>
      </c>
      <c r="AY587" t="s">
        <v>74</v>
      </c>
      <c r="AZ587" t="s">
        <v>74</v>
      </c>
      <c r="BA587" t="s">
        <v>74</v>
      </c>
      <c r="BB587" t="s">
        <v>74</v>
      </c>
      <c r="BC587" t="s">
        <v>74</v>
      </c>
      <c r="BD587">
        <v>5927</v>
      </c>
      <c r="BE587" t="s">
        <v>11199</v>
      </c>
      <c r="BF587" t="str">
        <f>HYPERLINK("http://dx.doi.org/10.3390/rs14235927","http://dx.doi.org/10.3390/rs14235927")</f>
        <v>http://dx.doi.org/10.3390/rs14235927</v>
      </c>
      <c r="BG587" t="s">
        <v>74</v>
      </c>
      <c r="BH587" t="s">
        <v>74</v>
      </c>
      <c r="BI587">
        <v>21</v>
      </c>
      <c r="BJ587" t="s">
        <v>4958</v>
      </c>
      <c r="BK587" t="s">
        <v>104</v>
      </c>
      <c r="BL587" t="s">
        <v>4959</v>
      </c>
      <c r="BM587" t="s">
        <v>11200</v>
      </c>
      <c r="BN587" t="s">
        <v>74</v>
      </c>
      <c r="BO587" t="s">
        <v>165</v>
      </c>
      <c r="BP587" t="s">
        <v>74</v>
      </c>
      <c r="BQ587" t="s">
        <v>74</v>
      </c>
      <c r="BR587" t="s">
        <v>108</v>
      </c>
      <c r="BS587" t="s">
        <v>11201</v>
      </c>
      <c r="BT587" t="str">
        <f>HYPERLINK("https%3A%2F%2Fwww.webofscience.com%2Fwos%2Fwoscc%2Ffull-record%2FWOS:000896040100001","View Full Record in Web of Science")</f>
        <v>View Full Record in Web of Science</v>
      </c>
    </row>
    <row r="588" spans="1:72" x14ac:dyDescent="0.15">
      <c r="A588" t="s">
        <v>72</v>
      </c>
      <c r="B588" t="s">
        <v>11202</v>
      </c>
      <c r="C588" t="s">
        <v>74</v>
      </c>
      <c r="D588" t="s">
        <v>74</v>
      </c>
      <c r="E588" t="s">
        <v>74</v>
      </c>
      <c r="F588" t="s">
        <v>11203</v>
      </c>
      <c r="G588" t="s">
        <v>74</v>
      </c>
      <c r="H588" t="s">
        <v>74</v>
      </c>
      <c r="I588" t="s">
        <v>11204</v>
      </c>
      <c r="J588" t="s">
        <v>11205</v>
      </c>
      <c r="K588" t="s">
        <v>74</v>
      </c>
      <c r="L588" t="s">
        <v>74</v>
      </c>
      <c r="M588" t="s">
        <v>78</v>
      </c>
      <c r="N588" t="s">
        <v>743</v>
      </c>
      <c r="O588" t="s">
        <v>74</v>
      </c>
      <c r="P588" t="s">
        <v>74</v>
      </c>
      <c r="Q588" t="s">
        <v>74</v>
      </c>
      <c r="R588" t="s">
        <v>74</v>
      </c>
      <c r="S588" t="s">
        <v>74</v>
      </c>
      <c r="T588" t="s">
        <v>74</v>
      </c>
      <c r="U588" t="s">
        <v>74</v>
      </c>
      <c r="V588" t="s">
        <v>74</v>
      </c>
      <c r="W588" t="s">
        <v>11206</v>
      </c>
      <c r="X588" t="s">
        <v>791</v>
      </c>
      <c r="Y588" t="s">
        <v>11207</v>
      </c>
      <c r="Z588" t="s">
        <v>74</v>
      </c>
      <c r="AA588" t="s">
        <v>11208</v>
      </c>
      <c r="AB588" t="s">
        <v>11209</v>
      </c>
      <c r="AC588" t="s">
        <v>74</v>
      </c>
      <c r="AD588" t="s">
        <v>74</v>
      </c>
      <c r="AE588" t="s">
        <v>74</v>
      </c>
      <c r="AF588" t="s">
        <v>74</v>
      </c>
      <c r="AG588">
        <v>0</v>
      </c>
      <c r="AH588">
        <v>0</v>
      </c>
      <c r="AI588">
        <v>0</v>
      </c>
      <c r="AJ588">
        <v>0</v>
      </c>
      <c r="AK588">
        <v>2</v>
      </c>
      <c r="AL588" t="s">
        <v>297</v>
      </c>
      <c r="AM588" t="s">
        <v>298</v>
      </c>
      <c r="AN588" t="s">
        <v>299</v>
      </c>
      <c r="AO588" t="s">
        <v>11210</v>
      </c>
      <c r="AP588" t="s">
        <v>11211</v>
      </c>
      <c r="AQ588" t="s">
        <v>74</v>
      </c>
      <c r="AR588" t="s">
        <v>11212</v>
      </c>
      <c r="AS588" t="s">
        <v>11213</v>
      </c>
      <c r="AT588" t="s">
        <v>9001</v>
      </c>
      <c r="AU588">
        <v>2022</v>
      </c>
      <c r="AV588">
        <v>20</v>
      </c>
      <c r="AW588">
        <v>10</v>
      </c>
      <c r="AX588" t="s">
        <v>74</v>
      </c>
      <c r="AY588" t="s">
        <v>74</v>
      </c>
      <c r="AZ588" t="s">
        <v>74</v>
      </c>
      <c r="BA588" t="s">
        <v>74</v>
      </c>
      <c r="BB588">
        <v>563</v>
      </c>
      <c r="BC588">
        <v>563</v>
      </c>
      <c r="BD588" t="s">
        <v>74</v>
      </c>
      <c r="BE588" t="s">
        <v>11214</v>
      </c>
      <c r="BF588" t="str">
        <f>HYPERLINK("http://dx.doi.org/10.1002/fee.2578","http://dx.doi.org/10.1002/fee.2578")</f>
        <v>http://dx.doi.org/10.1002/fee.2578</v>
      </c>
      <c r="BG588" t="s">
        <v>74</v>
      </c>
      <c r="BH588" t="s">
        <v>74</v>
      </c>
      <c r="BI588">
        <v>1</v>
      </c>
      <c r="BJ588" t="s">
        <v>6907</v>
      </c>
      <c r="BK588" t="s">
        <v>104</v>
      </c>
      <c r="BL588" t="s">
        <v>217</v>
      </c>
      <c r="BM588" t="s">
        <v>11215</v>
      </c>
      <c r="BN588" t="s">
        <v>74</v>
      </c>
      <c r="BO588" t="s">
        <v>660</v>
      </c>
      <c r="BP588" t="s">
        <v>74</v>
      </c>
      <c r="BQ588" t="s">
        <v>74</v>
      </c>
      <c r="BR588" t="s">
        <v>108</v>
      </c>
      <c r="BS588" t="s">
        <v>11216</v>
      </c>
      <c r="BT588" t="str">
        <f>HYPERLINK("https%3A%2F%2Fwww.webofscience.com%2Fwos%2Fwoscc%2Ffull-record%2FWOS:000892914600006","View Full Record in Web of Science")</f>
        <v>View Full Record in Web of Science</v>
      </c>
    </row>
    <row r="589" spans="1:72" x14ac:dyDescent="0.15">
      <c r="A589" t="s">
        <v>72</v>
      </c>
      <c r="B589" t="s">
        <v>11217</v>
      </c>
      <c r="C589" t="s">
        <v>74</v>
      </c>
      <c r="D589" t="s">
        <v>74</v>
      </c>
      <c r="E589" t="s">
        <v>74</v>
      </c>
      <c r="F589" t="s">
        <v>11218</v>
      </c>
      <c r="G589" t="s">
        <v>74</v>
      </c>
      <c r="H589" t="s">
        <v>74</v>
      </c>
      <c r="I589" t="s">
        <v>11219</v>
      </c>
      <c r="J589" t="s">
        <v>11220</v>
      </c>
      <c r="K589" t="s">
        <v>74</v>
      </c>
      <c r="L589" t="s">
        <v>74</v>
      </c>
      <c r="M589" t="s">
        <v>78</v>
      </c>
      <c r="N589" t="s">
        <v>79</v>
      </c>
      <c r="O589" t="s">
        <v>74</v>
      </c>
      <c r="P589" t="s">
        <v>74</v>
      </c>
      <c r="Q589" t="s">
        <v>74</v>
      </c>
      <c r="R589" t="s">
        <v>74</v>
      </c>
      <c r="S589" t="s">
        <v>74</v>
      </c>
      <c r="T589" t="s">
        <v>11221</v>
      </c>
      <c r="U589" t="s">
        <v>11222</v>
      </c>
      <c r="V589" t="s">
        <v>11223</v>
      </c>
      <c r="W589" t="s">
        <v>11224</v>
      </c>
      <c r="X589" t="s">
        <v>11225</v>
      </c>
      <c r="Y589" t="s">
        <v>11226</v>
      </c>
      <c r="Z589" t="s">
        <v>11227</v>
      </c>
      <c r="AA589" t="s">
        <v>11228</v>
      </c>
      <c r="AB589" t="s">
        <v>11229</v>
      </c>
      <c r="AC589" t="s">
        <v>74</v>
      </c>
      <c r="AD589" t="s">
        <v>74</v>
      </c>
      <c r="AE589" t="s">
        <v>74</v>
      </c>
      <c r="AF589" t="s">
        <v>74</v>
      </c>
      <c r="AG589">
        <v>78</v>
      </c>
      <c r="AH589">
        <v>2</v>
      </c>
      <c r="AI589">
        <v>2</v>
      </c>
      <c r="AJ589">
        <v>1</v>
      </c>
      <c r="AK589">
        <v>1</v>
      </c>
      <c r="AL589" t="s">
        <v>1791</v>
      </c>
      <c r="AM589" t="s">
        <v>576</v>
      </c>
      <c r="AN589" t="s">
        <v>1792</v>
      </c>
      <c r="AO589" t="s">
        <v>11230</v>
      </c>
      <c r="AP589" t="s">
        <v>11231</v>
      </c>
      <c r="AQ589" t="s">
        <v>74</v>
      </c>
      <c r="AR589" t="s">
        <v>11232</v>
      </c>
      <c r="AS589" t="s">
        <v>11233</v>
      </c>
      <c r="AT589" t="s">
        <v>9001</v>
      </c>
      <c r="AU589">
        <v>2022</v>
      </c>
      <c r="AV589">
        <v>127</v>
      </c>
      <c r="AW589">
        <v>12</v>
      </c>
      <c r="AX589" t="s">
        <v>74</v>
      </c>
      <c r="AY589" t="s">
        <v>74</v>
      </c>
      <c r="AZ589" t="s">
        <v>74</v>
      </c>
      <c r="BA589" t="s">
        <v>74</v>
      </c>
      <c r="BB589" t="s">
        <v>74</v>
      </c>
      <c r="BC589" t="s">
        <v>74</v>
      </c>
      <c r="BD589" t="s">
        <v>11234</v>
      </c>
      <c r="BE589" t="s">
        <v>11235</v>
      </c>
      <c r="BF589" t="str">
        <f>HYPERLINK("http://dx.doi.org/10.1029/2022JA030750","http://dx.doi.org/10.1029/2022JA030750")</f>
        <v>http://dx.doi.org/10.1029/2022JA030750</v>
      </c>
      <c r="BG589" t="s">
        <v>74</v>
      </c>
      <c r="BH589" t="s">
        <v>74</v>
      </c>
      <c r="BI589">
        <v>24</v>
      </c>
      <c r="BJ589" t="s">
        <v>5631</v>
      </c>
      <c r="BK589" t="s">
        <v>104</v>
      </c>
      <c r="BL589" t="s">
        <v>5631</v>
      </c>
      <c r="BM589" t="s">
        <v>11236</v>
      </c>
      <c r="BN589" t="s">
        <v>74</v>
      </c>
      <c r="BO589" t="s">
        <v>8017</v>
      </c>
      <c r="BP589" t="s">
        <v>74</v>
      </c>
      <c r="BQ589" t="s">
        <v>74</v>
      </c>
      <c r="BR589" t="s">
        <v>108</v>
      </c>
      <c r="BS589" t="s">
        <v>11237</v>
      </c>
      <c r="BT589" t="str">
        <f>HYPERLINK("https%3A%2F%2Fwww.webofscience.com%2Fwos%2Fwoscc%2Ffull-record%2FWOS:000925036400001","View Full Record in Web of Science")</f>
        <v>View Full Record in Web of Science</v>
      </c>
    </row>
    <row r="590" spans="1:72" x14ac:dyDescent="0.15">
      <c r="A590" t="s">
        <v>72</v>
      </c>
      <c r="B590" t="s">
        <v>11238</v>
      </c>
      <c r="C590" t="s">
        <v>74</v>
      </c>
      <c r="D590" t="s">
        <v>74</v>
      </c>
      <c r="E590" t="s">
        <v>74</v>
      </c>
      <c r="F590" t="s">
        <v>11239</v>
      </c>
      <c r="G590" t="s">
        <v>74</v>
      </c>
      <c r="H590" t="s">
        <v>74</v>
      </c>
      <c r="I590" t="s">
        <v>11240</v>
      </c>
      <c r="J590" t="s">
        <v>11220</v>
      </c>
      <c r="K590" t="s">
        <v>74</v>
      </c>
      <c r="L590" t="s">
        <v>74</v>
      </c>
      <c r="M590" t="s">
        <v>78</v>
      </c>
      <c r="N590" t="s">
        <v>79</v>
      </c>
      <c r="O590" t="s">
        <v>74</v>
      </c>
      <c r="P590" t="s">
        <v>74</v>
      </c>
      <c r="Q590" t="s">
        <v>74</v>
      </c>
      <c r="R590" t="s">
        <v>74</v>
      </c>
      <c r="S590" t="s">
        <v>74</v>
      </c>
      <c r="T590" t="s">
        <v>11241</v>
      </c>
      <c r="U590" t="s">
        <v>11242</v>
      </c>
      <c r="V590" t="s">
        <v>11243</v>
      </c>
      <c r="W590" t="s">
        <v>11244</v>
      </c>
      <c r="X590" t="s">
        <v>11245</v>
      </c>
      <c r="Y590" t="s">
        <v>11246</v>
      </c>
      <c r="Z590" t="s">
        <v>11247</v>
      </c>
      <c r="AA590" t="s">
        <v>11248</v>
      </c>
      <c r="AB590" t="s">
        <v>11249</v>
      </c>
      <c r="AC590" t="s">
        <v>11250</v>
      </c>
      <c r="AD590" t="s">
        <v>11251</v>
      </c>
      <c r="AE590" t="s">
        <v>11252</v>
      </c>
      <c r="AF590" t="s">
        <v>74</v>
      </c>
      <c r="AG590">
        <v>69</v>
      </c>
      <c r="AH590">
        <v>4</v>
      </c>
      <c r="AI590">
        <v>4</v>
      </c>
      <c r="AJ590">
        <v>2</v>
      </c>
      <c r="AK590">
        <v>2</v>
      </c>
      <c r="AL590" t="s">
        <v>1791</v>
      </c>
      <c r="AM590" t="s">
        <v>576</v>
      </c>
      <c r="AN590" t="s">
        <v>1792</v>
      </c>
      <c r="AO590" t="s">
        <v>11230</v>
      </c>
      <c r="AP590" t="s">
        <v>11231</v>
      </c>
      <c r="AQ590" t="s">
        <v>74</v>
      </c>
      <c r="AR590" t="s">
        <v>11232</v>
      </c>
      <c r="AS590" t="s">
        <v>11233</v>
      </c>
      <c r="AT590" t="s">
        <v>9001</v>
      </c>
      <c r="AU590">
        <v>2022</v>
      </c>
      <c r="AV590">
        <v>127</v>
      </c>
      <c r="AW590">
        <v>12</v>
      </c>
      <c r="AX590" t="s">
        <v>74</v>
      </c>
      <c r="AY590" t="s">
        <v>74</v>
      </c>
      <c r="AZ590" t="s">
        <v>74</v>
      </c>
      <c r="BA590" t="s">
        <v>74</v>
      </c>
      <c r="BB590" t="s">
        <v>74</v>
      </c>
      <c r="BC590" t="s">
        <v>74</v>
      </c>
      <c r="BD590" t="s">
        <v>11253</v>
      </c>
      <c r="BE590" t="s">
        <v>11254</v>
      </c>
      <c r="BF590" t="str">
        <f>HYPERLINK("http://dx.doi.org/10.1029/2022JA030678","http://dx.doi.org/10.1029/2022JA030678")</f>
        <v>http://dx.doi.org/10.1029/2022JA030678</v>
      </c>
      <c r="BG590" t="s">
        <v>74</v>
      </c>
      <c r="BH590" t="s">
        <v>74</v>
      </c>
      <c r="BI590">
        <v>17</v>
      </c>
      <c r="BJ590" t="s">
        <v>5631</v>
      </c>
      <c r="BK590" t="s">
        <v>104</v>
      </c>
      <c r="BL590" t="s">
        <v>5631</v>
      </c>
      <c r="BM590" t="s">
        <v>11255</v>
      </c>
      <c r="BN590" t="s">
        <v>74</v>
      </c>
      <c r="BO590" t="s">
        <v>6731</v>
      </c>
      <c r="BP590" t="s">
        <v>74</v>
      </c>
      <c r="BQ590" t="s">
        <v>74</v>
      </c>
      <c r="BR590" t="s">
        <v>108</v>
      </c>
      <c r="BS590" t="s">
        <v>11256</v>
      </c>
      <c r="BT590" t="str">
        <f>HYPERLINK("https%3A%2F%2Fwww.webofscience.com%2Fwos%2Fwoscc%2Ffull-record%2FWOS:000924529100001","View Full Record in Web of Science")</f>
        <v>View Full Record in Web of Science</v>
      </c>
    </row>
    <row r="591" spans="1:72" x14ac:dyDescent="0.15">
      <c r="A591" t="s">
        <v>72</v>
      </c>
      <c r="B591" t="s">
        <v>9943</v>
      </c>
      <c r="C591" t="s">
        <v>74</v>
      </c>
      <c r="D591" t="s">
        <v>74</v>
      </c>
      <c r="E591" t="s">
        <v>74</v>
      </c>
      <c r="F591" t="s">
        <v>9944</v>
      </c>
      <c r="G591" t="s">
        <v>74</v>
      </c>
      <c r="H591" t="s">
        <v>74</v>
      </c>
      <c r="I591" t="s">
        <v>9945</v>
      </c>
      <c r="J591" t="s">
        <v>9946</v>
      </c>
      <c r="K591" t="s">
        <v>74</v>
      </c>
      <c r="L591" t="s">
        <v>74</v>
      </c>
      <c r="M591" t="s">
        <v>78</v>
      </c>
      <c r="N591" t="s">
        <v>9947</v>
      </c>
      <c r="O591" t="s">
        <v>74</v>
      </c>
      <c r="P591" t="s">
        <v>74</v>
      </c>
      <c r="Q591" t="s">
        <v>74</v>
      </c>
      <c r="R591" t="s">
        <v>74</v>
      </c>
      <c r="S591" t="s">
        <v>74</v>
      </c>
      <c r="T591" t="s">
        <v>74</v>
      </c>
      <c r="U591" t="s">
        <v>74</v>
      </c>
      <c r="V591" t="s">
        <v>74</v>
      </c>
      <c r="W591" t="s">
        <v>9948</v>
      </c>
      <c r="X591" t="s">
        <v>9949</v>
      </c>
      <c r="Y591" t="s">
        <v>9950</v>
      </c>
      <c r="Z591" t="s">
        <v>74</v>
      </c>
      <c r="AA591" t="s">
        <v>74</v>
      </c>
      <c r="AB591" t="s">
        <v>74</v>
      </c>
      <c r="AC591" t="s">
        <v>74</v>
      </c>
      <c r="AD591" t="s">
        <v>74</v>
      </c>
      <c r="AE591" t="s">
        <v>74</v>
      </c>
      <c r="AF591" t="s">
        <v>74</v>
      </c>
      <c r="AG591">
        <v>0</v>
      </c>
      <c r="AH591">
        <v>0</v>
      </c>
      <c r="AI591">
        <v>0</v>
      </c>
      <c r="AJ591">
        <v>0</v>
      </c>
      <c r="AK591">
        <v>0</v>
      </c>
      <c r="AL591" t="s">
        <v>297</v>
      </c>
      <c r="AM591" t="s">
        <v>298</v>
      </c>
      <c r="AN591" t="s">
        <v>299</v>
      </c>
      <c r="AO591" t="s">
        <v>9951</v>
      </c>
      <c r="AP591" t="s">
        <v>9952</v>
      </c>
      <c r="AQ591" t="s">
        <v>74</v>
      </c>
      <c r="AR591" t="s">
        <v>9946</v>
      </c>
      <c r="AS591" t="s">
        <v>9953</v>
      </c>
      <c r="AT591" t="s">
        <v>9001</v>
      </c>
      <c r="AU591">
        <v>2022</v>
      </c>
      <c r="AV591">
        <v>77</v>
      </c>
      <c r="AW591">
        <v>12</v>
      </c>
      <c r="AX591" t="s">
        <v>74</v>
      </c>
      <c r="AY591" t="s">
        <v>74</v>
      </c>
      <c r="AZ591" t="s">
        <v>74</v>
      </c>
      <c r="BA591" t="s">
        <v>74</v>
      </c>
      <c r="BB591">
        <v>402</v>
      </c>
      <c r="BC591">
        <v>402</v>
      </c>
      <c r="BD591" t="s">
        <v>74</v>
      </c>
      <c r="BE591" t="s">
        <v>74</v>
      </c>
      <c r="BF591" t="s">
        <v>74</v>
      </c>
      <c r="BG591" t="s">
        <v>74</v>
      </c>
      <c r="BH591" t="s">
        <v>74</v>
      </c>
      <c r="BI591">
        <v>1</v>
      </c>
      <c r="BJ591" t="s">
        <v>532</v>
      </c>
      <c r="BK591" t="s">
        <v>104</v>
      </c>
      <c r="BL591" t="s">
        <v>532</v>
      </c>
      <c r="BM591" t="s">
        <v>11257</v>
      </c>
      <c r="BN591" t="s">
        <v>74</v>
      </c>
      <c r="BO591" t="s">
        <v>74</v>
      </c>
      <c r="BP591" t="s">
        <v>74</v>
      </c>
      <c r="BQ591" t="s">
        <v>74</v>
      </c>
      <c r="BR591" t="s">
        <v>108</v>
      </c>
      <c r="BS591" t="s">
        <v>11258</v>
      </c>
      <c r="BT591" t="str">
        <f>HYPERLINK("https%3A%2F%2Fwww.webofscience.com%2Fwos%2Fwoscc%2Ffull-record%2FWOS:001151273900003","View Full Record in Web of Science")</f>
        <v>View Full Record in Web of Science</v>
      </c>
    </row>
    <row r="592" spans="1:72" x14ac:dyDescent="0.15">
      <c r="A592" t="s">
        <v>72</v>
      </c>
      <c r="B592" t="s">
        <v>11259</v>
      </c>
      <c r="C592" t="s">
        <v>74</v>
      </c>
      <c r="D592" t="s">
        <v>74</v>
      </c>
      <c r="E592" t="s">
        <v>74</v>
      </c>
      <c r="F592" t="s">
        <v>11260</v>
      </c>
      <c r="G592" t="s">
        <v>74</v>
      </c>
      <c r="H592" t="s">
        <v>74</v>
      </c>
      <c r="I592" t="s">
        <v>11261</v>
      </c>
      <c r="J592" t="s">
        <v>11262</v>
      </c>
      <c r="K592" t="s">
        <v>74</v>
      </c>
      <c r="L592" t="s">
        <v>74</v>
      </c>
      <c r="M592" t="s">
        <v>78</v>
      </c>
      <c r="N592" t="s">
        <v>79</v>
      </c>
      <c r="O592" t="s">
        <v>74</v>
      </c>
      <c r="P592" t="s">
        <v>74</v>
      </c>
      <c r="Q592" t="s">
        <v>74</v>
      </c>
      <c r="R592" t="s">
        <v>74</v>
      </c>
      <c r="S592" t="s">
        <v>74</v>
      </c>
      <c r="T592" t="s">
        <v>11263</v>
      </c>
      <c r="U592" t="s">
        <v>11264</v>
      </c>
      <c r="V592" t="s">
        <v>11265</v>
      </c>
      <c r="W592" t="s">
        <v>11266</v>
      </c>
      <c r="X592" t="s">
        <v>11267</v>
      </c>
      <c r="Y592" t="s">
        <v>11268</v>
      </c>
      <c r="Z592" t="s">
        <v>11269</v>
      </c>
      <c r="AA592" t="s">
        <v>11270</v>
      </c>
      <c r="AB592" t="s">
        <v>11271</v>
      </c>
      <c r="AC592" t="s">
        <v>11272</v>
      </c>
      <c r="AD592" t="s">
        <v>11273</v>
      </c>
      <c r="AE592" t="s">
        <v>11274</v>
      </c>
      <c r="AF592" t="s">
        <v>74</v>
      </c>
      <c r="AG592">
        <v>43</v>
      </c>
      <c r="AH592">
        <v>0</v>
      </c>
      <c r="AI592">
        <v>0</v>
      </c>
      <c r="AJ592">
        <v>1</v>
      </c>
      <c r="AK592">
        <v>2</v>
      </c>
      <c r="AL592" t="s">
        <v>269</v>
      </c>
      <c r="AM592" t="s">
        <v>93</v>
      </c>
      <c r="AN592" t="s">
        <v>397</v>
      </c>
      <c r="AO592" t="s">
        <v>11275</v>
      </c>
      <c r="AP592" t="s">
        <v>11276</v>
      </c>
      <c r="AQ592" t="s">
        <v>74</v>
      </c>
      <c r="AR592" t="s">
        <v>11277</v>
      </c>
      <c r="AS592" t="s">
        <v>11278</v>
      </c>
      <c r="AT592" t="s">
        <v>9001</v>
      </c>
      <c r="AU592">
        <v>2022</v>
      </c>
      <c r="AV592">
        <v>204</v>
      </c>
      <c r="AW592">
        <v>12</v>
      </c>
      <c r="AX592" t="s">
        <v>74</v>
      </c>
      <c r="AY592" t="s">
        <v>74</v>
      </c>
      <c r="AZ592" t="s">
        <v>74</v>
      </c>
      <c r="BA592" t="s">
        <v>74</v>
      </c>
      <c r="BB592" t="s">
        <v>74</v>
      </c>
      <c r="BC592" t="s">
        <v>74</v>
      </c>
      <c r="BD592">
        <v>698</v>
      </c>
      <c r="BE592" t="s">
        <v>11279</v>
      </c>
      <c r="BF592" t="str">
        <f>HYPERLINK("http://dx.doi.org/10.1007/s00203-022-03310-0","http://dx.doi.org/10.1007/s00203-022-03310-0")</f>
        <v>http://dx.doi.org/10.1007/s00203-022-03310-0</v>
      </c>
      <c r="BG592" t="s">
        <v>74</v>
      </c>
      <c r="BH592" t="s">
        <v>74</v>
      </c>
      <c r="BI592">
        <v>13</v>
      </c>
      <c r="BJ592" t="s">
        <v>1699</v>
      </c>
      <c r="BK592" t="s">
        <v>104</v>
      </c>
      <c r="BL592" t="s">
        <v>1699</v>
      </c>
      <c r="BM592" t="s">
        <v>11280</v>
      </c>
      <c r="BN592">
        <v>36355213</v>
      </c>
      <c r="BO592" t="s">
        <v>74</v>
      </c>
      <c r="BP592" t="s">
        <v>74</v>
      </c>
      <c r="BQ592" t="s">
        <v>74</v>
      </c>
      <c r="BR592" t="s">
        <v>108</v>
      </c>
      <c r="BS592" t="s">
        <v>11281</v>
      </c>
      <c r="BT592" t="str">
        <f>HYPERLINK("https%3A%2F%2Fwww.webofscience.com%2Fwos%2Fwoscc%2Ffull-record%2FWOS:000881611700001","View Full Record in Web of Science")</f>
        <v>View Full Record in Web of Science</v>
      </c>
    </row>
    <row r="593" spans="1:72" x14ac:dyDescent="0.15">
      <c r="A593" t="s">
        <v>72</v>
      </c>
      <c r="B593" t="s">
        <v>11282</v>
      </c>
      <c r="C593" t="s">
        <v>74</v>
      </c>
      <c r="D593" t="s">
        <v>74</v>
      </c>
      <c r="E593" t="s">
        <v>74</v>
      </c>
      <c r="F593" t="s">
        <v>11283</v>
      </c>
      <c r="G593" t="s">
        <v>74</v>
      </c>
      <c r="H593" t="s">
        <v>74</v>
      </c>
      <c r="I593" t="s">
        <v>11284</v>
      </c>
      <c r="J593" t="s">
        <v>11285</v>
      </c>
      <c r="K593" t="s">
        <v>74</v>
      </c>
      <c r="L593" t="s">
        <v>74</v>
      </c>
      <c r="M593" t="s">
        <v>78</v>
      </c>
      <c r="N593" t="s">
        <v>79</v>
      </c>
      <c r="O593" t="s">
        <v>74</v>
      </c>
      <c r="P593" t="s">
        <v>74</v>
      </c>
      <c r="Q593" t="s">
        <v>74</v>
      </c>
      <c r="R593" t="s">
        <v>74</v>
      </c>
      <c r="S593" t="s">
        <v>74</v>
      </c>
      <c r="T593" t="s">
        <v>11286</v>
      </c>
      <c r="U593" t="s">
        <v>11287</v>
      </c>
      <c r="V593" t="s">
        <v>11288</v>
      </c>
      <c r="W593" t="s">
        <v>11289</v>
      </c>
      <c r="X593" t="s">
        <v>11290</v>
      </c>
      <c r="Y593" t="s">
        <v>11291</v>
      </c>
      <c r="Z593" t="s">
        <v>11292</v>
      </c>
      <c r="AA593" t="s">
        <v>11293</v>
      </c>
      <c r="AB593" t="s">
        <v>11294</v>
      </c>
      <c r="AC593" t="s">
        <v>11295</v>
      </c>
      <c r="AD593" t="s">
        <v>11296</v>
      </c>
      <c r="AE593" t="s">
        <v>11297</v>
      </c>
      <c r="AF593" t="s">
        <v>74</v>
      </c>
      <c r="AG593">
        <v>114</v>
      </c>
      <c r="AH593">
        <v>7</v>
      </c>
      <c r="AI593">
        <v>7</v>
      </c>
      <c r="AJ593">
        <v>66</v>
      </c>
      <c r="AK593">
        <v>208</v>
      </c>
      <c r="AL593" t="s">
        <v>269</v>
      </c>
      <c r="AM593" t="s">
        <v>270</v>
      </c>
      <c r="AN593" t="s">
        <v>271</v>
      </c>
      <c r="AO593" t="s">
        <v>11298</v>
      </c>
      <c r="AP593" t="s">
        <v>11299</v>
      </c>
      <c r="AQ593" t="s">
        <v>74</v>
      </c>
      <c r="AR593" t="s">
        <v>11300</v>
      </c>
      <c r="AS593" t="s">
        <v>11301</v>
      </c>
      <c r="AT593" t="s">
        <v>9001</v>
      </c>
      <c r="AU593">
        <v>2022</v>
      </c>
      <c r="AV593">
        <v>194</v>
      </c>
      <c r="AW593">
        <v>12</v>
      </c>
      <c r="AX593" t="s">
        <v>74</v>
      </c>
      <c r="AY593" t="s">
        <v>74</v>
      </c>
      <c r="AZ593" t="s">
        <v>74</v>
      </c>
      <c r="BA593" t="s">
        <v>74</v>
      </c>
      <c r="BB593" t="s">
        <v>74</v>
      </c>
      <c r="BC593" t="s">
        <v>74</v>
      </c>
      <c r="BD593">
        <v>898</v>
      </c>
      <c r="BE593" t="s">
        <v>11302</v>
      </c>
      <c r="BF593" t="str">
        <f>HYPERLINK("http://dx.doi.org/10.1007/s10661-022-10539-1","http://dx.doi.org/10.1007/s10661-022-10539-1")</f>
        <v>http://dx.doi.org/10.1007/s10661-022-10539-1</v>
      </c>
      <c r="BG593" t="s">
        <v>74</v>
      </c>
      <c r="BH593" t="s">
        <v>74</v>
      </c>
      <c r="BI593">
        <v>17</v>
      </c>
      <c r="BJ593" t="s">
        <v>216</v>
      </c>
      <c r="BK593" t="s">
        <v>104</v>
      </c>
      <c r="BL593" t="s">
        <v>217</v>
      </c>
      <c r="BM593" t="s">
        <v>11303</v>
      </c>
      <c r="BN593">
        <v>36251091</v>
      </c>
      <c r="BO593" t="s">
        <v>74</v>
      </c>
      <c r="BP593" t="s">
        <v>74</v>
      </c>
      <c r="BQ593" t="s">
        <v>74</v>
      </c>
      <c r="BR593" t="s">
        <v>108</v>
      </c>
      <c r="BS593" t="s">
        <v>11304</v>
      </c>
      <c r="BT593" t="str">
        <f>HYPERLINK("https%3A%2F%2Fwww.webofscience.com%2Fwos%2Fwoscc%2Ffull-record%2FWOS:000869294200004","View Full Record in Web of Science")</f>
        <v>View Full Record in Web of Science</v>
      </c>
    </row>
    <row r="594" spans="1:72" x14ac:dyDescent="0.15">
      <c r="A594" t="s">
        <v>72</v>
      </c>
      <c r="B594" t="s">
        <v>11305</v>
      </c>
      <c r="C594" t="s">
        <v>74</v>
      </c>
      <c r="D594" t="s">
        <v>74</v>
      </c>
      <c r="E594" t="s">
        <v>74</v>
      </c>
      <c r="F594" t="s">
        <v>11306</v>
      </c>
      <c r="G594" t="s">
        <v>74</v>
      </c>
      <c r="H594" t="s">
        <v>74</v>
      </c>
      <c r="I594" t="s">
        <v>11307</v>
      </c>
      <c r="J594" t="s">
        <v>11308</v>
      </c>
      <c r="K594" t="s">
        <v>74</v>
      </c>
      <c r="L594" t="s">
        <v>74</v>
      </c>
      <c r="M594" t="s">
        <v>78</v>
      </c>
      <c r="N594" t="s">
        <v>79</v>
      </c>
      <c r="O594" t="s">
        <v>74</v>
      </c>
      <c r="P594" t="s">
        <v>74</v>
      </c>
      <c r="Q594" t="s">
        <v>74</v>
      </c>
      <c r="R594" t="s">
        <v>74</v>
      </c>
      <c r="S594" t="s">
        <v>74</v>
      </c>
      <c r="T594" t="s">
        <v>11309</v>
      </c>
      <c r="U594" t="s">
        <v>11310</v>
      </c>
      <c r="V594" t="s">
        <v>11311</v>
      </c>
      <c r="W594" t="s">
        <v>11312</v>
      </c>
      <c r="X594" t="s">
        <v>11313</v>
      </c>
      <c r="Y594" t="s">
        <v>11314</v>
      </c>
      <c r="Z594" t="s">
        <v>10192</v>
      </c>
      <c r="AA594" t="s">
        <v>11315</v>
      </c>
      <c r="AB594" t="s">
        <v>11316</v>
      </c>
      <c r="AC594" t="s">
        <v>11317</v>
      </c>
      <c r="AD594" t="s">
        <v>11318</v>
      </c>
      <c r="AE594" t="s">
        <v>11319</v>
      </c>
      <c r="AF594" t="s">
        <v>74</v>
      </c>
      <c r="AG594">
        <v>127</v>
      </c>
      <c r="AH594">
        <v>2</v>
      </c>
      <c r="AI594">
        <v>2</v>
      </c>
      <c r="AJ594">
        <v>1</v>
      </c>
      <c r="AK594">
        <v>14</v>
      </c>
      <c r="AL594" t="s">
        <v>5103</v>
      </c>
      <c r="AM594" t="s">
        <v>5104</v>
      </c>
      <c r="AN594" t="s">
        <v>5105</v>
      </c>
      <c r="AO594" t="s">
        <v>11320</v>
      </c>
      <c r="AP594" t="s">
        <v>11321</v>
      </c>
      <c r="AQ594" t="s">
        <v>74</v>
      </c>
      <c r="AR594" t="s">
        <v>11322</v>
      </c>
      <c r="AS594" t="s">
        <v>11323</v>
      </c>
      <c r="AT594" t="s">
        <v>9839</v>
      </c>
      <c r="AU594">
        <v>2022</v>
      </c>
      <c r="AV594">
        <v>200</v>
      </c>
      <c r="AW594">
        <v>6</v>
      </c>
      <c r="AX594" t="s">
        <v>74</v>
      </c>
      <c r="AY594" t="s">
        <v>74</v>
      </c>
      <c r="AZ594" t="s">
        <v>74</v>
      </c>
      <c r="BA594" t="s">
        <v>74</v>
      </c>
      <c r="BB594" t="s">
        <v>11324</v>
      </c>
      <c r="BC594" t="s">
        <v>11325</v>
      </c>
      <c r="BD594" t="s">
        <v>74</v>
      </c>
      <c r="BE594" t="s">
        <v>11326</v>
      </c>
      <c r="BF594" t="str">
        <f>HYPERLINK("http://dx.doi.org/10.1086/721373","http://dx.doi.org/10.1086/721373")</f>
        <v>http://dx.doi.org/10.1086/721373</v>
      </c>
      <c r="BG594" t="s">
        <v>74</v>
      </c>
      <c r="BH594" t="s">
        <v>5796</v>
      </c>
      <c r="BI594">
        <v>16</v>
      </c>
      <c r="BJ594" t="s">
        <v>5694</v>
      </c>
      <c r="BK594" t="s">
        <v>104</v>
      </c>
      <c r="BL594" t="s">
        <v>5695</v>
      </c>
      <c r="BM594" t="s">
        <v>11327</v>
      </c>
      <c r="BN594">
        <v>36409987</v>
      </c>
      <c r="BO594" t="s">
        <v>9294</v>
      </c>
      <c r="BP594" t="s">
        <v>74</v>
      </c>
      <c r="BQ594" t="s">
        <v>74</v>
      </c>
      <c r="BR594" t="s">
        <v>108</v>
      </c>
      <c r="BS594" t="s">
        <v>11328</v>
      </c>
      <c r="BT594" t="str">
        <f>HYPERLINK("https%3A%2F%2Fwww.webofscience.com%2Fwos%2Fwoscc%2Ffull-record%2FWOS:000869514600001","View Full Record in Web of Science")</f>
        <v>View Full Record in Web of Science</v>
      </c>
    </row>
    <row r="595" spans="1:72" x14ac:dyDescent="0.15">
      <c r="A595" t="s">
        <v>72</v>
      </c>
      <c r="B595" t="s">
        <v>11329</v>
      </c>
      <c r="C595" t="s">
        <v>74</v>
      </c>
      <c r="D595" t="s">
        <v>74</v>
      </c>
      <c r="E595" t="s">
        <v>74</v>
      </c>
      <c r="F595" t="s">
        <v>11330</v>
      </c>
      <c r="G595" t="s">
        <v>74</v>
      </c>
      <c r="H595" t="s">
        <v>74</v>
      </c>
      <c r="I595" t="s">
        <v>11331</v>
      </c>
      <c r="J595" t="s">
        <v>11332</v>
      </c>
      <c r="K595" t="s">
        <v>74</v>
      </c>
      <c r="L595" t="s">
        <v>74</v>
      </c>
      <c r="M595" t="s">
        <v>78</v>
      </c>
      <c r="N595" t="s">
        <v>79</v>
      </c>
      <c r="O595" t="s">
        <v>74</v>
      </c>
      <c r="P595" t="s">
        <v>74</v>
      </c>
      <c r="Q595" t="s">
        <v>74</v>
      </c>
      <c r="R595" t="s">
        <v>74</v>
      </c>
      <c r="S595" t="s">
        <v>74</v>
      </c>
      <c r="T595" t="s">
        <v>74</v>
      </c>
      <c r="U595" t="s">
        <v>11333</v>
      </c>
      <c r="V595" t="s">
        <v>11334</v>
      </c>
      <c r="W595" t="s">
        <v>11335</v>
      </c>
      <c r="X595" t="s">
        <v>11336</v>
      </c>
      <c r="Y595" t="s">
        <v>11337</v>
      </c>
      <c r="Z595" t="s">
        <v>11338</v>
      </c>
      <c r="AA595" t="s">
        <v>11339</v>
      </c>
      <c r="AB595" t="s">
        <v>11340</v>
      </c>
      <c r="AC595" t="s">
        <v>11341</v>
      </c>
      <c r="AD595" t="s">
        <v>11342</v>
      </c>
      <c r="AE595" t="s">
        <v>11343</v>
      </c>
      <c r="AF595" t="s">
        <v>74</v>
      </c>
      <c r="AG595">
        <v>68</v>
      </c>
      <c r="AH595">
        <v>3</v>
      </c>
      <c r="AI595">
        <v>3</v>
      </c>
      <c r="AJ595">
        <v>0</v>
      </c>
      <c r="AK595">
        <v>15</v>
      </c>
      <c r="AL595" t="s">
        <v>11344</v>
      </c>
      <c r="AM595" t="s">
        <v>11345</v>
      </c>
      <c r="AN595" t="s">
        <v>11346</v>
      </c>
      <c r="AO595" t="s">
        <v>11347</v>
      </c>
      <c r="AP595" t="s">
        <v>74</v>
      </c>
      <c r="AQ595" t="s">
        <v>74</v>
      </c>
      <c r="AR595" t="s">
        <v>11332</v>
      </c>
      <c r="AS595" t="s">
        <v>403</v>
      </c>
      <c r="AT595" t="s">
        <v>9001</v>
      </c>
      <c r="AU595">
        <v>2022</v>
      </c>
      <c r="AV595">
        <v>35</v>
      </c>
      <c r="AW595" t="s">
        <v>11348</v>
      </c>
      <c r="AX595" t="s">
        <v>74</v>
      </c>
      <c r="AY595" t="s">
        <v>74</v>
      </c>
      <c r="AZ595" t="s">
        <v>754</v>
      </c>
      <c r="BA595" t="s">
        <v>74</v>
      </c>
      <c r="BB595">
        <v>1</v>
      </c>
      <c r="BC595">
        <v>12</v>
      </c>
      <c r="BD595" t="s">
        <v>74</v>
      </c>
      <c r="BE595" t="s">
        <v>11349</v>
      </c>
      <c r="BF595" t="str">
        <f>HYPERLINK("http://dx.doi.org/10.5670/oceanog.2022.127","http://dx.doi.org/10.5670/oceanog.2022.127")</f>
        <v>http://dx.doi.org/10.5670/oceanog.2022.127</v>
      </c>
      <c r="BG595" t="s">
        <v>74</v>
      </c>
      <c r="BH595" t="s">
        <v>74</v>
      </c>
      <c r="BI595">
        <v>12</v>
      </c>
      <c r="BJ595" t="s">
        <v>403</v>
      </c>
      <c r="BK595" t="s">
        <v>104</v>
      </c>
      <c r="BL595" t="s">
        <v>403</v>
      </c>
      <c r="BM595" t="s">
        <v>11350</v>
      </c>
      <c r="BN595" t="s">
        <v>74</v>
      </c>
      <c r="BO595" t="s">
        <v>5503</v>
      </c>
      <c r="BP595" t="s">
        <v>74</v>
      </c>
      <c r="BQ595" t="s">
        <v>74</v>
      </c>
      <c r="BR595" t="s">
        <v>108</v>
      </c>
      <c r="BS595" t="s">
        <v>11351</v>
      </c>
      <c r="BT595" t="str">
        <f>HYPERLINK("https%3A%2F%2Fwww.webofscience.com%2Fwos%2Fwoscc%2Ffull-record%2FWOS:000854044700001","View Full Record in Web of Science")</f>
        <v>View Full Record in Web of Science</v>
      </c>
    </row>
    <row r="596" spans="1:72" x14ac:dyDescent="0.15">
      <c r="A596" t="s">
        <v>72</v>
      </c>
      <c r="B596" t="s">
        <v>11352</v>
      </c>
      <c r="C596" t="s">
        <v>74</v>
      </c>
      <c r="D596" t="s">
        <v>74</v>
      </c>
      <c r="E596" t="s">
        <v>74</v>
      </c>
      <c r="F596" t="s">
        <v>11353</v>
      </c>
      <c r="G596" t="s">
        <v>74</v>
      </c>
      <c r="H596" t="s">
        <v>74</v>
      </c>
      <c r="I596" t="s">
        <v>11354</v>
      </c>
      <c r="J596" t="s">
        <v>11355</v>
      </c>
      <c r="K596" t="s">
        <v>74</v>
      </c>
      <c r="L596" t="s">
        <v>74</v>
      </c>
      <c r="M596" t="s">
        <v>78</v>
      </c>
      <c r="N596" t="s">
        <v>79</v>
      </c>
      <c r="O596" t="s">
        <v>74</v>
      </c>
      <c r="P596" t="s">
        <v>74</v>
      </c>
      <c r="Q596" t="s">
        <v>74</v>
      </c>
      <c r="R596" t="s">
        <v>74</v>
      </c>
      <c r="S596" t="s">
        <v>74</v>
      </c>
      <c r="T596" t="s">
        <v>11356</v>
      </c>
      <c r="U596" t="s">
        <v>11357</v>
      </c>
      <c r="V596" t="s">
        <v>11358</v>
      </c>
      <c r="W596" t="s">
        <v>11359</v>
      </c>
      <c r="X596" t="s">
        <v>11360</v>
      </c>
      <c r="Y596" t="s">
        <v>11361</v>
      </c>
      <c r="Z596" t="s">
        <v>11362</v>
      </c>
      <c r="AA596" t="s">
        <v>11363</v>
      </c>
      <c r="AB596" t="s">
        <v>11364</v>
      </c>
      <c r="AC596" t="s">
        <v>11365</v>
      </c>
      <c r="AD596" t="s">
        <v>11366</v>
      </c>
      <c r="AE596" t="s">
        <v>11367</v>
      </c>
      <c r="AF596" t="s">
        <v>74</v>
      </c>
      <c r="AG596">
        <v>31</v>
      </c>
      <c r="AH596">
        <v>2</v>
      </c>
      <c r="AI596">
        <v>2</v>
      </c>
      <c r="AJ596">
        <v>1</v>
      </c>
      <c r="AK596">
        <v>11</v>
      </c>
      <c r="AL596" t="s">
        <v>374</v>
      </c>
      <c r="AM596" t="s">
        <v>375</v>
      </c>
      <c r="AN596" t="s">
        <v>376</v>
      </c>
      <c r="AO596" t="s">
        <v>11368</v>
      </c>
      <c r="AP596" t="s">
        <v>11369</v>
      </c>
      <c r="AQ596" t="s">
        <v>74</v>
      </c>
      <c r="AR596" t="s">
        <v>11370</v>
      </c>
      <c r="AS596" t="s">
        <v>11371</v>
      </c>
      <c r="AT596" t="s">
        <v>9001</v>
      </c>
      <c r="AU596">
        <v>2022</v>
      </c>
      <c r="AV596">
        <v>12</v>
      </c>
      <c r="AW596">
        <v>1</v>
      </c>
      <c r="AX596" t="s">
        <v>74</v>
      </c>
      <c r="AY596" t="s">
        <v>74</v>
      </c>
      <c r="AZ596" t="s">
        <v>74</v>
      </c>
      <c r="BA596" t="s">
        <v>74</v>
      </c>
      <c r="BB596" t="s">
        <v>74</v>
      </c>
      <c r="BC596" t="s">
        <v>74</v>
      </c>
      <c r="BD596">
        <v>26</v>
      </c>
      <c r="BE596" t="s">
        <v>11372</v>
      </c>
      <c r="BF596" t="str">
        <f>HYPERLINK("http://dx.doi.org/10.1007/s13659-022-00348-x","http://dx.doi.org/10.1007/s13659-022-00348-x")</f>
        <v>http://dx.doi.org/10.1007/s13659-022-00348-x</v>
      </c>
      <c r="BG596" t="s">
        <v>74</v>
      </c>
      <c r="BH596" t="s">
        <v>74</v>
      </c>
      <c r="BI596">
        <v>10</v>
      </c>
      <c r="BJ596" t="s">
        <v>11373</v>
      </c>
      <c r="BK596" t="s">
        <v>757</v>
      </c>
      <c r="BL596" t="s">
        <v>5580</v>
      </c>
      <c r="BM596" t="s">
        <v>11374</v>
      </c>
      <c r="BN596">
        <v>35831516</v>
      </c>
      <c r="BO596" t="s">
        <v>192</v>
      </c>
      <c r="BP596" t="s">
        <v>74</v>
      </c>
      <c r="BQ596" t="s">
        <v>74</v>
      </c>
      <c r="BR596" t="s">
        <v>108</v>
      </c>
      <c r="BS596" t="s">
        <v>11375</v>
      </c>
      <c r="BT596" t="str">
        <f>HYPERLINK("https%3A%2F%2Fwww.webofscience.com%2Fwos%2Fwoscc%2Ffull-record%2FWOS:000824652100001","View Full Record in Web of Science")</f>
        <v>View Full Record in Web of Science</v>
      </c>
    </row>
    <row r="597" spans="1:72" x14ac:dyDescent="0.15">
      <c r="A597" t="s">
        <v>72</v>
      </c>
      <c r="B597" t="s">
        <v>11376</v>
      </c>
      <c r="C597" t="s">
        <v>74</v>
      </c>
      <c r="D597" t="s">
        <v>74</v>
      </c>
      <c r="E597" t="s">
        <v>74</v>
      </c>
      <c r="F597" t="s">
        <v>11377</v>
      </c>
      <c r="G597" t="s">
        <v>74</v>
      </c>
      <c r="H597" t="s">
        <v>74</v>
      </c>
      <c r="I597" t="s">
        <v>11378</v>
      </c>
      <c r="J597" t="s">
        <v>11379</v>
      </c>
      <c r="K597" t="s">
        <v>74</v>
      </c>
      <c r="L597" t="s">
        <v>74</v>
      </c>
      <c r="M597" t="s">
        <v>78</v>
      </c>
      <c r="N597" t="s">
        <v>79</v>
      </c>
      <c r="O597" t="s">
        <v>74</v>
      </c>
      <c r="P597" t="s">
        <v>74</v>
      </c>
      <c r="Q597" t="s">
        <v>74</v>
      </c>
      <c r="R597" t="s">
        <v>74</v>
      </c>
      <c r="S597" t="s">
        <v>74</v>
      </c>
      <c r="T597" t="s">
        <v>11380</v>
      </c>
      <c r="U597" t="s">
        <v>11381</v>
      </c>
      <c r="V597" t="s">
        <v>11382</v>
      </c>
      <c r="W597" t="s">
        <v>11383</v>
      </c>
      <c r="X597" t="s">
        <v>11384</v>
      </c>
      <c r="Y597" t="s">
        <v>11385</v>
      </c>
      <c r="Z597" t="s">
        <v>11386</v>
      </c>
      <c r="AA597" t="s">
        <v>11387</v>
      </c>
      <c r="AB597" t="s">
        <v>11388</v>
      </c>
      <c r="AC597" t="s">
        <v>11389</v>
      </c>
      <c r="AD597" t="s">
        <v>11390</v>
      </c>
      <c r="AE597" t="s">
        <v>11391</v>
      </c>
      <c r="AF597" t="s">
        <v>74</v>
      </c>
      <c r="AG597">
        <v>91</v>
      </c>
      <c r="AH597">
        <v>1</v>
      </c>
      <c r="AI597">
        <v>1</v>
      </c>
      <c r="AJ597">
        <v>1</v>
      </c>
      <c r="AK597">
        <v>1</v>
      </c>
      <c r="AL597" t="s">
        <v>237</v>
      </c>
      <c r="AM597" t="s">
        <v>238</v>
      </c>
      <c r="AN597" t="s">
        <v>239</v>
      </c>
      <c r="AO597" t="s">
        <v>74</v>
      </c>
      <c r="AP597" t="s">
        <v>11392</v>
      </c>
      <c r="AQ597" t="s">
        <v>74</v>
      </c>
      <c r="AR597" t="s">
        <v>11393</v>
      </c>
      <c r="AS597" t="s">
        <v>11394</v>
      </c>
      <c r="AT597" t="s">
        <v>276</v>
      </c>
      <c r="AU597">
        <v>2023</v>
      </c>
      <c r="AV597">
        <v>47</v>
      </c>
      <c r="AW597" t="s">
        <v>74</v>
      </c>
      <c r="AX597" t="s">
        <v>74</v>
      </c>
      <c r="AY597" t="s">
        <v>74</v>
      </c>
      <c r="AZ597" t="s">
        <v>74</v>
      </c>
      <c r="BA597" t="s">
        <v>74</v>
      </c>
      <c r="BB597" t="s">
        <v>74</v>
      </c>
      <c r="BC597" t="s">
        <v>74</v>
      </c>
      <c r="BD597">
        <v>102544</v>
      </c>
      <c r="BE597" t="s">
        <v>11395</v>
      </c>
      <c r="BF597" t="str">
        <f>HYPERLINK("http://dx.doi.org/10.1016/j.bcab.2022.102544","http://dx.doi.org/10.1016/j.bcab.2022.102544")</f>
        <v>http://dx.doi.org/10.1016/j.bcab.2022.102544</v>
      </c>
      <c r="BG597" t="s">
        <v>74</v>
      </c>
      <c r="BH597" t="s">
        <v>11396</v>
      </c>
      <c r="BI597">
        <v>15</v>
      </c>
      <c r="BJ597" t="s">
        <v>8185</v>
      </c>
      <c r="BK597" t="s">
        <v>757</v>
      </c>
      <c r="BL597" t="s">
        <v>8185</v>
      </c>
      <c r="BM597" t="s">
        <v>11397</v>
      </c>
      <c r="BN597" t="s">
        <v>74</v>
      </c>
      <c r="BO597" t="s">
        <v>74</v>
      </c>
      <c r="BP597" t="s">
        <v>74</v>
      </c>
      <c r="BQ597" t="s">
        <v>74</v>
      </c>
      <c r="BR597" t="s">
        <v>108</v>
      </c>
      <c r="BS597" t="s">
        <v>11398</v>
      </c>
      <c r="BT597" t="str">
        <f>HYPERLINK("https%3A%2F%2Fwww.webofscience.com%2Fwos%2Fwoscc%2Ffull-record%2FWOS:000926978400003","View Full Record in Web of Science")</f>
        <v>View Full Record in Web of Science</v>
      </c>
    </row>
    <row r="598" spans="1:72" x14ac:dyDescent="0.15">
      <c r="A598" t="s">
        <v>72</v>
      </c>
      <c r="B598" t="s">
        <v>11399</v>
      </c>
      <c r="C598" t="s">
        <v>74</v>
      </c>
      <c r="D598" t="s">
        <v>74</v>
      </c>
      <c r="E598" t="s">
        <v>74</v>
      </c>
      <c r="F598" t="s">
        <v>11400</v>
      </c>
      <c r="G598" t="s">
        <v>74</v>
      </c>
      <c r="H598" t="s">
        <v>74</v>
      </c>
      <c r="I598" t="s">
        <v>11401</v>
      </c>
      <c r="J598" t="s">
        <v>11402</v>
      </c>
      <c r="K598" t="s">
        <v>74</v>
      </c>
      <c r="L598" t="s">
        <v>74</v>
      </c>
      <c r="M598" t="s">
        <v>78</v>
      </c>
      <c r="N598" t="s">
        <v>79</v>
      </c>
      <c r="O598" t="s">
        <v>74</v>
      </c>
      <c r="P598" t="s">
        <v>74</v>
      </c>
      <c r="Q598" t="s">
        <v>74</v>
      </c>
      <c r="R598" t="s">
        <v>74</v>
      </c>
      <c r="S598" t="s">
        <v>74</v>
      </c>
      <c r="T598" t="s">
        <v>11403</v>
      </c>
      <c r="U598" t="s">
        <v>11404</v>
      </c>
      <c r="V598" t="s">
        <v>11405</v>
      </c>
      <c r="W598" t="s">
        <v>11406</v>
      </c>
      <c r="X598" t="s">
        <v>11407</v>
      </c>
      <c r="Y598" t="s">
        <v>11408</v>
      </c>
      <c r="Z598" t="s">
        <v>11409</v>
      </c>
      <c r="AA598" t="s">
        <v>11410</v>
      </c>
      <c r="AB598" t="s">
        <v>11411</v>
      </c>
      <c r="AC598" t="s">
        <v>11412</v>
      </c>
      <c r="AD598" t="s">
        <v>11413</v>
      </c>
      <c r="AE598" t="s">
        <v>11414</v>
      </c>
      <c r="AF598" t="s">
        <v>74</v>
      </c>
      <c r="AG598">
        <v>24</v>
      </c>
      <c r="AH598">
        <v>2</v>
      </c>
      <c r="AI598">
        <v>2</v>
      </c>
      <c r="AJ598">
        <v>0</v>
      </c>
      <c r="AK598">
        <v>2</v>
      </c>
      <c r="AL598" t="s">
        <v>8179</v>
      </c>
      <c r="AM598" t="s">
        <v>375</v>
      </c>
      <c r="AN598" t="s">
        <v>8180</v>
      </c>
      <c r="AO598" t="s">
        <v>11415</v>
      </c>
      <c r="AP598" t="s">
        <v>74</v>
      </c>
      <c r="AQ598" t="s">
        <v>74</v>
      </c>
      <c r="AR598" t="s">
        <v>11402</v>
      </c>
      <c r="AS598" t="s">
        <v>11416</v>
      </c>
      <c r="AT598" t="s">
        <v>11417</v>
      </c>
      <c r="AU598">
        <v>2022</v>
      </c>
      <c r="AV598">
        <v>23</v>
      </c>
      <c r="AW598">
        <v>1</v>
      </c>
      <c r="AX598" t="s">
        <v>74</v>
      </c>
      <c r="AY598" t="s">
        <v>74</v>
      </c>
      <c r="AZ598" t="s">
        <v>74</v>
      </c>
      <c r="BA598" t="s">
        <v>74</v>
      </c>
      <c r="BB598" t="s">
        <v>74</v>
      </c>
      <c r="BC598" t="s">
        <v>74</v>
      </c>
      <c r="BD598">
        <v>513</v>
      </c>
      <c r="BE598" t="s">
        <v>11418</v>
      </c>
      <c r="BF598" t="str">
        <f>HYPERLINK("http://dx.doi.org/10.1186/s12859-022-05052-8","http://dx.doi.org/10.1186/s12859-022-05052-8")</f>
        <v>http://dx.doi.org/10.1186/s12859-022-05052-8</v>
      </c>
      <c r="BG598" t="s">
        <v>74</v>
      </c>
      <c r="BH598" t="s">
        <v>74</v>
      </c>
      <c r="BI598">
        <v>9</v>
      </c>
      <c r="BJ598" t="s">
        <v>11419</v>
      </c>
      <c r="BK598" t="s">
        <v>104</v>
      </c>
      <c r="BL598" t="s">
        <v>11420</v>
      </c>
      <c r="BM598" t="s">
        <v>11421</v>
      </c>
      <c r="BN598">
        <v>36451083</v>
      </c>
      <c r="BO598" t="s">
        <v>11422</v>
      </c>
      <c r="BP598" t="s">
        <v>74</v>
      </c>
      <c r="BQ598" t="s">
        <v>74</v>
      </c>
      <c r="BR598" t="s">
        <v>108</v>
      </c>
      <c r="BS598" t="s">
        <v>11423</v>
      </c>
      <c r="BT598" t="str">
        <f>HYPERLINK("https%3A%2F%2Fwww.webofscience.com%2Fwos%2Fwoscc%2Ffull-record%2FWOS:000892992700004","View Full Record in Web of Science")</f>
        <v>View Full Record in Web of Science</v>
      </c>
    </row>
    <row r="599" spans="1:72" x14ac:dyDescent="0.15">
      <c r="A599" t="s">
        <v>72</v>
      </c>
      <c r="B599" t="s">
        <v>11424</v>
      </c>
      <c r="C599" t="s">
        <v>74</v>
      </c>
      <c r="D599" t="s">
        <v>74</v>
      </c>
      <c r="E599" t="s">
        <v>74</v>
      </c>
      <c r="F599" t="s">
        <v>11425</v>
      </c>
      <c r="G599" t="s">
        <v>74</v>
      </c>
      <c r="H599" t="s">
        <v>74</v>
      </c>
      <c r="I599" t="s">
        <v>11426</v>
      </c>
      <c r="J599" t="s">
        <v>362</v>
      </c>
      <c r="K599" t="s">
        <v>74</v>
      </c>
      <c r="L599" t="s">
        <v>74</v>
      </c>
      <c r="M599" t="s">
        <v>78</v>
      </c>
      <c r="N599" t="s">
        <v>79</v>
      </c>
      <c r="O599" t="s">
        <v>74</v>
      </c>
      <c r="P599" t="s">
        <v>74</v>
      </c>
      <c r="Q599" t="s">
        <v>74</v>
      </c>
      <c r="R599" t="s">
        <v>74</v>
      </c>
      <c r="S599" t="s">
        <v>74</v>
      </c>
      <c r="T599" t="s">
        <v>74</v>
      </c>
      <c r="U599" t="s">
        <v>11427</v>
      </c>
      <c r="V599" t="s">
        <v>11428</v>
      </c>
      <c r="W599" t="s">
        <v>11429</v>
      </c>
      <c r="X599" t="s">
        <v>11430</v>
      </c>
      <c r="Y599" t="s">
        <v>11431</v>
      </c>
      <c r="Z599" t="s">
        <v>11432</v>
      </c>
      <c r="AA599" t="s">
        <v>11433</v>
      </c>
      <c r="AB599" t="s">
        <v>11434</v>
      </c>
      <c r="AC599" t="s">
        <v>11435</v>
      </c>
      <c r="AD599" t="s">
        <v>11436</v>
      </c>
      <c r="AE599" t="s">
        <v>11437</v>
      </c>
      <c r="AF599" t="s">
        <v>74</v>
      </c>
      <c r="AG599">
        <v>61</v>
      </c>
      <c r="AH599">
        <v>15</v>
      </c>
      <c r="AI599">
        <v>15</v>
      </c>
      <c r="AJ599">
        <v>11</v>
      </c>
      <c r="AK599">
        <v>21</v>
      </c>
      <c r="AL599" t="s">
        <v>374</v>
      </c>
      <c r="AM599" t="s">
        <v>375</v>
      </c>
      <c r="AN599" t="s">
        <v>376</v>
      </c>
      <c r="AO599" t="s">
        <v>74</v>
      </c>
      <c r="AP599" t="s">
        <v>377</v>
      </c>
      <c r="AQ599" t="s">
        <v>74</v>
      </c>
      <c r="AR599" t="s">
        <v>378</v>
      </c>
      <c r="AS599" t="s">
        <v>379</v>
      </c>
      <c r="AT599" t="s">
        <v>11417</v>
      </c>
      <c r="AU599">
        <v>2022</v>
      </c>
      <c r="AV599">
        <v>3</v>
      </c>
      <c r="AW599">
        <v>1</v>
      </c>
      <c r="AX599" t="s">
        <v>74</v>
      </c>
      <c r="AY599" t="s">
        <v>74</v>
      </c>
      <c r="AZ599" t="s">
        <v>74</v>
      </c>
      <c r="BA599" t="s">
        <v>74</v>
      </c>
      <c r="BB599" t="s">
        <v>74</v>
      </c>
      <c r="BC599" t="s">
        <v>74</v>
      </c>
      <c r="BD599">
        <v>302</v>
      </c>
      <c r="BE599" t="s">
        <v>11438</v>
      </c>
      <c r="BF599" t="str">
        <f>HYPERLINK("http://dx.doi.org/10.1038/s43247-022-00624-1","http://dx.doi.org/10.1038/s43247-022-00624-1")</f>
        <v>http://dx.doi.org/10.1038/s43247-022-00624-1</v>
      </c>
      <c r="BG599" t="s">
        <v>74</v>
      </c>
      <c r="BH599" t="s">
        <v>74</v>
      </c>
      <c r="BI599">
        <v>9</v>
      </c>
      <c r="BJ599" t="s">
        <v>381</v>
      </c>
      <c r="BK599" t="s">
        <v>104</v>
      </c>
      <c r="BL599" t="s">
        <v>382</v>
      </c>
      <c r="BM599" t="s">
        <v>11439</v>
      </c>
      <c r="BN599" t="s">
        <v>74</v>
      </c>
      <c r="BO599" t="s">
        <v>165</v>
      </c>
      <c r="BP599" t="s">
        <v>74</v>
      </c>
      <c r="BQ599" t="s">
        <v>74</v>
      </c>
      <c r="BR599" t="s">
        <v>108</v>
      </c>
      <c r="BS599" t="s">
        <v>11440</v>
      </c>
      <c r="BT599" t="str">
        <f>HYPERLINK("https%3A%2F%2Fwww.webofscience.com%2Fwos%2Fwoscc%2Ffull-record%2FWOS:000892990700001","View Full Record in Web of Science")</f>
        <v>View Full Record in Web of Science</v>
      </c>
    </row>
    <row r="600" spans="1:72" x14ac:dyDescent="0.15">
      <c r="A600" t="s">
        <v>72</v>
      </c>
      <c r="B600" t="s">
        <v>11441</v>
      </c>
      <c r="C600" t="s">
        <v>74</v>
      </c>
      <c r="D600" t="s">
        <v>74</v>
      </c>
      <c r="E600" t="s">
        <v>74</v>
      </c>
      <c r="F600" t="s">
        <v>11442</v>
      </c>
      <c r="G600" t="s">
        <v>74</v>
      </c>
      <c r="H600" t="s">
        <v>74</v>
      </c>
      <c r="I600" t="s">
        <v>11443</v>
      </c>
      <c r="J600" t="s">
        <v>7392</v>
      </c>
      <c r="K600" t="s">
        <v>74</v>
      </c>
      <c r="L600" t="s">
        <v>74</v>
      </c>
      <c r="M600" t="s">
        <v>78</v>
      </c>
      <c r="N600" t="s">
        <v>79</v>
      </c>
      <c r="O600" t="s">
        <v>74</v>
      </c>
      <c r="P600" t="s">
        <v>74</v>
      </c>
      <c r="Q600" t="s">
        <v>74</v>
      </c>
      <c r="R600" t="s">
        <v>74</v>
      </c>
      <c r="S600" t="s">
        <v>74</v>
      </c>
      <c r="T600" t="s">
        <v>74</v>
      </c>
      <c r="U600" t="s">
        <v>11444</v>
      </c>
      <c r="V600" t="s">
        <v>11445</v>
      </c>
      <c r="W600" t="s">
        <v>11446</v>
      </c>
      <c r="X600" t="s">
        <v>11447</v>
      </c>
      <c r="Y600" t="s">
        <v>11448</v>
      </c>
      <c r="Z600" t="s">
        <v>11449</v>
      </c>
      <c r="AA600" t="s">
        <v>74</v>
      </c>
      <c r="AB600" t="s">
        <v>11450</v>
      </c>
      <c r="AC600" t="s">
        <v>11451</v>
      </c>
      <c r="AD600" t="s">
        <v>11452</v>
      </c>
      <c r="AE600" t="s">
        <v>11453</v>
      </c>
      <c r="AF600" t="s">
        <v>74</v>
      </c>
      <c r="AG600">
        <v>54</v>
      </c>
      <c r="AH600">
        <v>2</v>
      </c>
      <c r="AI600">
        <v>2</v>
      </c>
      <c r="AJ600">
        <v>1</v>
      </c>
      <c r="AK600">
        <v>10</v>
      </c>
      <c r="AL600" t="s">
        <v>126</v>
      </c>
      <c r="AM600" t="s">
        <v>127</v>
      </c>
      <c r="AN600" t="s">
        <v>128</v>
      </c>
      <c r="AO600" t="s">
        <v>7401</v>
      </c>
      <c r="AP600" t="s">
        <v>7402</v>
      </c>
      <c r="AQ600" t="s">
        <v>74</v>
      </c>
      <c r="AR600" t="s">
        <v>7392</v>
      </c>
      <c r="AS600" t="s">
        <v>7403</v>
      </c>
      <c r="AT600" t="s">
        <v>11417</v>
      </c>
      <c r="AU600">
        <v>2022</v>
      </c>
      <c r="AV600">
        <v>16</v>
      </c>
      <c r="AW600">
        <v>12</v>
      </c>
      <c r="AX600" t="s">
        <v>74</v>
      </c>
      <c r="AY600" t="s">
        <v>74</v>
      </c>
      <c r="AZ600" t="s">
        <v>74</v>
      </c>
      <c r="BA600" t="s">
        <v>74</v>
      </c>
      <c r="BB600">
        <v>4797</v>
      </c>
      <c r="BC600">
        <v>4809</v>
      </c>
      <c r="BD600" t="s">
        <v>74</v>
      </c>
      <c r="BE600" t="s">
        <v>11454</v>
      </c>
      <c r="BF600" t="str">
        <f>HYPERLINK("http://dx.doi.org/10.5194/tc-16-4797-2022","http://dx.doi.org/10.5194/tc-16-4797-2022")</f>
        <v>http://dx.doi.org/10.5194/tc-16-4797-2022</v>
      </c>
      <c r="BG600" t="s">
        <v>74</v>
      </c>
      <c r="BH600" t="s">
        <v>74</v>
      </c>
      <c r="BI600">
        <v>13</v>
      </c>
      <c r="BJ600" t="s">
        <v>611</v>
      </c>
      <c r="BK600" t="s">
        <v>104</v>
      </c>
      <c r="BL600" t="s">
        <v>612</v>
      </c>
      <c r="BM600" t="s">
        <v>11455</v>
      </c>
      <c r="BN600" t="s">
        <v>74</v>
      </c>
      <c r="BO600" t="s">
        <v>11456</v>
      </c>
      <c r="BP600" t="s">
        <v>74</v>
      </c>
      <c r="BQ600" t="s">
        <v>74</v>
      </c>
      <c r="BR600" t="s">
        <v>108</v>
      </c>
      <c r="BS600" t="s">
        <v>11457</v>
      </c>
      <c r="BT600" t="str">
        <f>HYPERLINK("https%3A%2F%2Fwww.webofscience.com%2Fwos%2Fwoscc%2Ffull-record%2FWOS:000892315800001","View Full Record in Web of Science")</f>
        <v>View Full Record in Web of Science</v>
      </c>
    </row>
    <row r="601" spans="1:72" x14ac:dyDescent="0.15">
      <c r="A601" t="s">
        <v>72</v>
      </c>
      <c r="B601" t="s">
        <v>11458</v>
      </c>
      <c r="C601" t="s">
        <v>74</v>
      </c>
      <c r="D601" t="s">
        <v>74</v>
      </c>
      <c r="E601" t="s">
        <v>74</v>
      </c>
      <c r="F601" t="s">
        <v>11459</v>
      </c>
      <c r="G601" t="s">
        <v>74</v>
      </c>
      <c r="H601" t="s">
        <v>74</v>
      </c>
      <c r="I601" t="s">
        <v>11460</v>
      </c>
      <c r="J601" t="s">
        <v>6674</v>
      </c>
      <c r="K601" t="s">
        <v>74</v>
      </c>
      <c r="L601" t="s">
        <v>74</v>
      </c>
      <c r="M601" t="s">
        <v>78</v>
      </c>
      <c r="N601" t="s">
        <v>79</v>
      </c>
      <c r="O601" t="s">
        <v>74</v>
      </c>
      <c r="P601" t="s">
        <v>74</v>
      </c>
      <c r="Q601" t="s">
        <v>74</v>
      </c>
      <c r="R601" t="s">
        <v>74</v>
      </c>
      <c r="S601" t="s">
        <v>74</v>
      </c>
      <c r="T601" t="s">
        <v>11461</v>
      </c>
      <c r="U601" t="s">
        <v>11462</v>
      </c>
      <c r="V601" t="s">
        <v>11463</v>
      </c>
      <c r="W601" t="s">
        <v>11464</v>
      </c>
      <c r="X601" t="s">
        <v>11465</v>
      </c>
      <c r="Y601" t="s">
        <v>11466</v>
      </c>
      <c r="Z601" t="s">
        <v>11467</v>
      </c>
      <c r="AA601" t="s">
        <v>11468</v>
      </c>
      <c r="AB601" t="s">
        <v>11469</v>
      </c>
      <c r="AC601" t="s">
        <v>11470</v>
      </c>
      <c r="AD601" t="s">
        <v>11471</v>
      </c>
      <c r="AE601" t="s">
        <v>11472</v>
      </c>
      <c r="AF601" t="s">
        <v>74</v>
      </c>
      <c r="AG601">
        <v>148</v>
      </c>
      <c r="AH601">
        <v>8</v>
      </c>
      <c r="AI601">
        <v>8</v>
      </c>
      <c r="AJ601">
        <v>1</v>
      </c>
      <c r="AK601">
        <v>3</v>
      </c>
      <c r="AL601" t="s">
        <v>603</v>
      </c>
      <c r="AM601" t="s">
        <v>208</v>
      </c>
      <c r="AN601" t="s">
        <v>604</v>
      </c>
      <c r="AO601" t="s">
        <v>6687</v>
      </c>
      <c r="AP601" t="s">
        <v>6688</v>
      </c>
      <c r="AQ601" t="s">
        <v>74</v>
      </c>
      <c r="AR601" t="s">
        <v>6689</v>
      </c>
      <c r="AS601" t="s">
        <v>6690</v>
      </c>
      <c r="AT601" t="s">
        <v>2592</v>
      </c>
      <c r="AU601">
        <v>2023</v>
      </c>
      <c r="AV601">
        <v>340</v>
      </c>
      <c r="AW601" t="s">
        <v>74</v>
      </c>
      <c r="AX601" t="s">
        <v>74</v>
      </c>
      <c r="AY601" t="s">
        <v>74</v>
      </c>
      <c r="AZ601" t="s">
        <v>74</v>
      </c>
      <c r="BA601" t="s">
        <v>74</v>
      </c>
      <c r="BB601">
        <v>141</v>
      </c>
      <c r="BC601">
        <v>157</v>
      </c>
      <c r="BD601" t="s">
        <v>74</v>
      </c>
      <c r="BE601" t="s">
        <v>11473</v>
      </c>
      <c r="BF601" t="str">
        <f>HYPERLINK("http://dx.doi.org/10.1016/j.gca.2022.10.036","http://dx.doi.org/10.1016/j.gca.2022.10.036")</f>
        <v>http://dx.doi.org/10.1016/j.gca.2022.10.036</v>
      </c>
      <c r="BG601" t="s">
        <v>74</v>
      </c>
      <c r="BH601" t="s">
        <v>11396</v>
      </c>
      <c r="BI601">
        <v>17</v>
      </c>
      <c r="BJ601" t="s">
        <v>430</v>
      </c>
      <c r="BK601" t="s">
        <v>104</v>
      </c>
      <c r="BL601" t="s">
        <v>430</v>
      </c>
      <c r="BM601" t="s">
        <v>11474</v>
      </c>
      <c r="BN601" t="s">
        <v>74</v>
      </c>
      <c r="BO601" t="s">
        <v>219</v>
      </c>
      <c r="BP601" t="s">
        <v>74</v>
      </c>
      <c r="BQ601" t="s">
        <v>74</v>
      </c>
      <c r="BR601" t="s">
        <v>108</v>
      </c>
      <c r="BS601" t="s">
        <v>11475</v>
      </c>
      <c r="BT601" t="str">
        <f>HYPERLINK("https%3A%2F%2Fwww.webofscience.com%2Fwos%2Fwoscc%2Ffull-record%2FWOS:001029050100001","View Full Record in Web of Science")</f>
        <v>View Full Record in Web of Science</v>
      </c>
    </row>
    <row r="602" spans="1:72" x14ac:dyDescent="0.15">
      <c r="A602" t="s">
        <v>72</v>
      </c>
      <c r="B602" t="s">
        <v>11476</v>
      </c>
      <c r="C602" t="s">
        <v>74</v>
      </c>
      <c r="D602" t="s">
        <v>74</v>
      </c>
      <c r="E602" t="s">
        <v>74</v>
      </c>
      <c r="F602" t="s">
        <v>11477</v>
      </c>
      <c r="G602" t="s">
        <v>74</v>
      </c>
      <c r="H602" t="s">
        <v>74</v>
      </c>
      <c r="I602" t="s">
        <v>11478</v>
      </c>
      <c r="J602" t="s">
        <v>11479</v>
      </c>
      <c r="K602" t="s">
        <v>74</v>
      </c>
      <c r="L602" t="s">
        <v>74</v>
      </c>
      <c r="M602" t="s">
        <v>78</v>
      </c>
      <c r="N602" t="s">
        <v>79</v>
      </c>
      <c r="O602" t="s">
        <v>74</v>
      </c>
      <c r="P602" t="s">
        <v>74</v>
      </c>
      <c r="Q602" t="s">
        <v>74</v>
      </c>
      <c r="R602" t="s">
        <v>74</v>
      </c>
      <c r="S602" t="s">
        <v>74</v>
      </c>
      <c r="T602" t="s">
        <v>11480</v>
      </c>
      <c r="U602" t="s">
        <v>11481</v>
      </c>
      <c r="V602" t="s">
        <v>11482</v>
      </c>
      <c r="W602" t="s">
        <v>11483</v>
      </c>
      <c r="X602" t="s">
        <v>11484</v>
      </c>
      <c r="Y602" t="s">
        <v>11485</v>
      </c>
      <c r="Z602" t="s">
        <v>11486</v>
      </c>
      <c r="AA602" t="s">
        <v>11487</v>
      </c>
      <c r="AB602" t="s">
        <v>11488</v>
      </c>
      <c r="AC602" t="s">
        <v>11489</v>
      </c>
      <c r="AD602" t="s">
        <v>11490</v>
      </c>
      <c r="AE602" t="s">
        <v>11491</v>
      </c>
      <c r="AF602" t="s">
        <v>74</v>
      </c>
      <c r="AG602">
        <v>33</v>
      </c>
      <c r="AH602">
        <v>0</v>
      </c>
      <c r="AI602">
        <v>0</v>
      </c>
      <c r="AJ602">
        <v>3</v>
      </c>
      <c r="AK602">
        <v>14</v>
      </c>
      <c r="AL602" t="s">
        <v>237</v>
      </c>
      <c r="AM602" t="s">
        <v>238</v>
      </c>
      <c r="AN602" t="s">
        <v>239</v>
      </c>
      <c r="AO602" t="s">
        <v>11492</v>
      </c>
      <c r="AP602" t="s">
        <v>11493</v>
      </c>
      <c r="AQ602" t="s">
        <v>74</v>
      </c>
      <c r="AR602" t="s">
        <v>11494</v>
      </c>
      <c r="AS602" t="s">
        <v>11495</v>
      </c>
      <c r="AT602" t="s">
        <v>11496</v>
      </c>
      <c r="AU602">
        <v>2023</v>
      </c>
      <c r="AV602">
        <v>307</v>
      </c>
      <c r="AW602" t="s">
        <v>74</v>
      </c>
      <c r="AX602" t="s">
        <v>74</v>
      </c>
      <c r="AY602" t="s">
        <v>74</v>
      </c>
      <c r="AZ602" t="s">
        <v>74</v>
      </c>
      <c r="BA602" t="s">
        <v>74</v>
      </c>
      <c r="BB602" t="s">
        <v>74</v>
      </c>
      <c r="BC602" t="s">
        <v>74</v>
      </c>
      <c r="BD602">
        <v>122639</v>
      </c>
      <c r="BE602" t="s">
        <v>11497</v>
      </c>
      <c r="BF602" t="str">
        <f>HYPERLINK("http://dx.doi.org/10.1016/j.seppur.2022.122639","http://dx.doi.org/10.1016/j.seppur.2022.122639")</f>
        <v>http://dx.doi.org/10.1016/j.seppur.2022.122639</v>
      </c>
      <c r="BG602" t="s">
        <v>74</v>
      </c>
      <c r="BH602" t="s">
        <v>11396</v>
      </c>
      <c r="BI602">
        <v>8</v>
      </c>
      <c r="BJ602" t="s">
        <v>11498</v>
      </c>
      <c r="BK602" t="s">
        <v>104</v>
      </c>
      <c r="BL602" t="s">
        <v>2342</v>
      </c>
      <c r="BM602" t="s">
        <v>11499</v>
      </c>
      <c r="BN602" t="s">
        <v>74</v>
      </c>
      <c r="BO602" t="s">
        <v>219</v>
      </c>
      <c r="BP602" t="s">
        <v>74</v>
      </c>
      <c r="BQ602" t="s">
        <v>74</v>
      </c>
      <c r="BR602" t="s">
        <v>108</v>
      </c>
      <c r="BS602" t="s">
        <v>11500</v>
      </c>
      <c r="BT602" t="str">
        <f>HYPERLINK("https%3A%2F%2Fwww.webofscience.com%2Fwos%2Fwoscc%2Ffull-record%2FWOS:000903549000004","View Full Record in Web of Science")</f>
        <v>View Full Record in Web of Science</v>
      </c>
    </row>
    <row r="603" spans="1:72" x14ac:dyDescent="0.15">
      <c r="A603" t="s">
        <v>72</v>
      </c>
      <c r="B603" t="s">
        <v>11501</v>
      </c>
      <c r="C603" t="s">
        <v>74</v>
      </c>
      <c r="D603" t="s">
        <v>74</v>
      </c>
      <c r="E603" t="s">
        <v>74</v>
      </c>
      <c r="F603" t="s">
        <v>11502</v>
      </c>
      <c r="G603" t="s">
        <v>74</v>
      </c>
      <c r="H603" t="s">
        <v>74</v>
      </c>
      <c r="I603" t="s">
        <v>11503</v>
      </c>
      <c r="J603" t="s">
        <v>11504</v>
      </c>
      <c r="K603" t="s">
        <v>74</v>
      </c>
      <c r="L603" t="s">
        <v>74</v>
      </c>
      <c r="M603" t="s">
        <v>78</v>
      </c>
      <c r="N603" t="s">
        <v>79</v>
      </c>
      <c r="O603" t="s">
        <v>74</v>
      </c>
      <c r="P603" t="s">
        <v>74</v>
      </c>
      <c r="Q603" t="s">
        <v>74</v>
      </c>
      <c r="R603" t="s">
        <v>74</v>
      </c>
      <c r="S603" t="s">
        <v>74</v>
      </c>
      <c r="T603" t="s">
        <v>11505</v>
      </c>
      <c r="U603" t="s">
        <v>11506</v>
      </c>
      <c r="V603" t="s">
        <v>11507</v>
      </c>
      <c r="W603" t="s">
        <v>11508</v>
      </c>
      <c r="X603" t="s">
        <v>11509</v>
      </c>
      <c r="Y603" t="s">
        <v>11510</v>
      </c>
      <c r="Z603" t="s">
        <v>11511</v>
      </c>
      <c r="AA603" t="s">
        <v>11512</v>
      </c>
      <c r="AB603" t="s">
        <v>11513</v>
      </c>
      <c r="AC603" t="s">
        <v>11514</v>
      </c>
      <c r="AD603" t="s">
        <v>11515</v>
      </c>
      <c r="AE603" t="s">
        <v>11516</v>
      </c>
      <c r="AF603" t="s">
        <v>74</v>
      </c>
      <c r="AG603">
        <v>57</v>
      </c>
      <c r="AH603">
        <v>2</v>
      </c>
      <c r="AI603">
        <v>2</v>
      </c>
      <c r="AJ603">
        <v>9</v>
      </c>
      <c r="AK603">
        <v>22</v>
      </c>
      <c r="AL603" t="s">
        <v>237</v>
      </c>
      <c r="AM603" t="s">
        <v>238</v>
      </c>
      <c r="AN603" t="s">
        <v>239</v>
      </c>
      <c r="AO603" t="s">
        <v>74</v>
      </c>
      <c r="AP603" t="s">
        <v>11517</v>
      </c>
      <c r="AQ603" t="s">
        <v>74</v>
      </c>
      <c r="AR603" t="s">
        <v>11518</v>
      </c>
      <c r="AS603" t="s">
        <v>11519</v>
      </c>
      <c r="AT603" t="s">
        <v>9001</v>
      </c>
      <c r="AU603">
        <v>2022</v>
      </c>
      <c r="AV603">
        <v>44</v>
      </c>
      <c r="AW603" t="s">
        <v>74</v>
      </c>
      <c r="AX603" t="s">
        <v>74</v>
      </c>
      <c r="AY603" t="s">
        <v>74</v>
      </c>
      <c r="AZ603" t="s">
        <v>74</v>
      </c>
      <c r="BA603" t="s">
        <v>74</v>
      </c>
      <c r="BB603" t="s">
        <v>74</v>
      </c>
      <c r="BC603" t="s">
        <v>74</v>
      </c>
      <c r="BD603">
        <v>101246</v>
      </c>
      <c r="BE603" t="s">
        <v>11520</v>
      </c>
      <c r="BF603" t="str">
        <f>HYPERLINK("http://dx.doi.org/10.1016/j.ejrh.2022.101246","http://dx.doi.org/10.1016/j.ejrh.2022.101246")</f>
        <v>http://dx.doi.org/10.1016/j.ejrh.2022.101246</v>
      </c>
      <c r="BG603" t="s">
        <v>74</v>
      </c>
      <c r="BH603" t="s">
        <v>11396</v>
      </c>
      <c r="BI603">
        <v>14</v>
      </c>
      <c r="BJ603" t="s">
        <v>10229</v>
      </c>
      <c r="BK603" t="s">
        <v>104</v>
      </c>
      <c r="BL603" t="s">
        <v>10229</v>
      </c>
      <c r="BM603" t="s">
        <v>11521</v>
      </c>
      <c r="BN603" t="s">
        <v>74</v>
      </c>
      <c r="BO603" t="s">
        <v>165</v>
      </c>
      <c r="BP603" t="s">
        <v>74</v>
      </c>
      <c r="BQ603" t="s">
        <v>74</v>
      </c>
      <c r="BR603" t="s">
        <v>108</v>
      </c>
      <c r="BS603" t="s">
        <v>11522</v>
      </c>
      <c r="BT603" t="str">
        <f>HYPERLINK("https%3A%2F%2Fwww.webofscience.com%2Fwos%2Fwoscc%2Ffull-record%2FWOS:000902181000001","View Full Record in Web of Science")</f>
        <v>View Full Record in Web of Science</v>
      </c>
    </row>
    <row r="604" spans="1:72" x14ac:dyDescent="0.15">
      <c r="A604" t="s">
        <v>72</v>
      </c>
      <c r="B604" t="s">
        <v>11523</v>
      </c>
      <c r="C604" t="s">
        <v>74</v>
      </c>
      <c r="D604" t="s">
        <v>74</v>
      </c>
      <c r="E604" t="s">
        <v>74</v>
      </c>
      <c r="F604" t="s">
        <v>11524</v>
      </c>
      <c r="G604" t="s">
        <v>74</v>
      </c>
      <c r="H604" t="s">
        <v>74</v>
      </c>
      <c r="I604" t="s">
        <v>11525</v>
      </c>
      <c r="J604" t="s">
        <v>11526</v>
      </c>
      <c r="K604" t="s">
        <v>74</v>
      </c>
      <c r="L604" t="s">
        <v>74</v>
      </c>
      <c r="M604" t="s">
        <v>78</v>
      </c>
      <c r="N604" t="s">
        <v>79</v>
      </c>
      <c r="O604" t="s">
        <v>74</v>
      </c>
      <c r="P604" t="s">
        <v>74</v>
      </c>
      <c r="Q604" t="s">
        <v>74</v>
      </c>
      <c r="R604" t="s">
        <v>74</v>
      </c>
      <c r="S604" t="s">
        <v>74</v>
      </c>
      <c r="T604" t="s">
        <v>11527</v>
      </c>
      <c r="U604" t="s">
        <v>11528</v>
      </c>
      <c r="V604" t="s">
        <v>11529</v>
      </c>
      <c r="W604" t="s">
        <v>11530</v>
      </c>
      <c r="X604" t="s">
        <v>11531</v>
      </c>
      <c r="Y604" t="s">
        <v>11532</v>
      </c>
      <c r="Z604" t="s">
        <v>11533</v>
      </c>
      <c r="AA604" t="s">
        <v>11534</v>
      </c>
      <c r="AB604" t="s">
        <v>11535</v>
      </c>
      <c r="AC604" t="s">
        <v>11536</v>
      </c>
      <c r="AD604" t="s">
        <v>11537</v>
      </c>
      <c r="AE604" t="s">
        <v>11538</v>
      </c>
      <c r="AF604" t="s">
        <v>74</v>
      </c>
      <c r="AG604">
        <v>85</v>
      </c>
      <c r="AH604">
        <v>1</v>
      </c>
      <c r="AI604">
        <v>1</v>
      </c>
      <c r="AJ604">
        <v>0</v>
      </c>
      <c r="AK604">
        <v>3</v>
      </c>
      <c r="AL604" t="s">
        <v>11539</v>
      </c>
      <c r="AM604" t="s">
        <v>375</v>
      </c>
      <c r="AN604" t="s">
        <v>11540</v>
      </c>
      <c r="AO604" t="s">
        <v>11541</v>
      </c>
      <c r="AP604" t="s">
        <v>74</v>
      </c>
      <c r="AQ604" t="s">
        <v>74</v>
      </c>
      <c r="AR604" t="s">
        <v>11526</v>
      </c>
      <c r="AS604" t="s">
        <v>11542</v>
      </c>
      <c r="AT604" t="s">
        <v>11543</v>
      </c>
      <c r="AU604">
        <v>2022</v>
      </c>
      <c r="AV604">
        <v>10</v>
      </c>
      <c r="AW604" t="s">
        <v>74</v>
      </c>
      <c r="AX604" t="s">
        <v>74</v>
      </c>
      <c r="AY604" t="s">
        <v>74</v>
      </c>
      <c r="AZ604" t="s">
        <v>74</v>
      </c>
      <c r="BA604" t="s">
        <v>74</v>
      </c>
      <c r="BB604" t="s">
        <v>74</v>
      </c>
      <c r="BC604" t="s">
        <v>74</v>
      </c>
      <c r="BD604" t="s">
        <v>11544</v>
      </c>
      <c r="BE604" t="s">
        <v>11545</v>
      </c>
      <c r="BF604" t="str">
        <f>HYPERLINK("http://dx.doi.org/10.7717/peerj.14380","http://dx.doi.org/10.7717/peerj.14380")</f>
        <v>http://dx.doi.org/10.7717/peerj.14380</v>
      </c>
      <c r="BG604" t="s">
        <v>74</v>
      </c>
      <c r="BH604" t="s">
        <v>74</v>
      </c>
      <c r="BI604">
        <v>29</v>
      </c>
      <c r="BJ604" t="s">
        <v>189</v>
      </c>
      <c r="BK604" t="s">
        <v>104</v>
      </c>
      <c r="BL604" t="s">
        <v>190</v>
      </c>
      <c r="BM604" t="s">
        <v>11546</v>
      </c>
      <c r="BN604">
        <v>36523477</v>
      </c>
      <c r="BO604" t="s">
        <v>8139</v>
      </c>
      <c r="BP604" t="s">
        <v>74</v>
      </c>
      <c r="BQ604" t="s">
        <v>74</v>
      </c>
      <c r="BR604" t="s">
        <v>108</v>
      </c>
      <c r="BS604" t="s">
        <v>11547</v>
      </c>
      <c r="BT604" t="str">
        <f>HYPERLINK("https%3A%2F%2Fwww.webofscience.com%2Fwos%2Fwoscc%2Ffull-record%2FWOS:000892585700001","View Full Record in Web of Science")</f>
        <v>View Full Record in Web of Science</v>
      </c>
    </row>
    <row r="605" spans="1:72" x14ac:dyDescent="0.15">
      <c r="A605" t="s">
        <v>72</v>
      </c>
      <c r="B605" t="s">
        <v>11548</v>
      </c>
      <c r="C605" t="s">
        <v>74</v>
      </c>
      <c r="D605" t="s">
        <v>74</v>
      </c>
      <c r="E605" t="s">
        <v>74</v>
      </c>
      <c r="F605" t="s">
        <v>11549</v>
      </c>
      <c r="G605" t="s">
        <v>74</v>
      </c>
      <c r="H605" t="s">
        <v>74</v>
      </c>
      <c r="I605" t="s">
        <v>11550</v>
      </c>
      <c r="J605" t="s">
        <v>9138</v>
      </c>
      <c r="K605" t="s">
        <v>74</v>
      </c>
      <c r="L605" t="s">
        <v>74</v>
      </c>
      <c r="M605" t="s">
        <v>78</v>
      </c>
      <c r="N605" t="s">
        <v>79</v>
      </c>
      <c r="O605" t="s">
        <v>74</v>
      </c>
      <c r="P605" t="s">
        <v>74</v>
      </c>
      <c r="Q605" t="s">
        <v>74</v>
      </c>
      <c r="R605" t="s">
        <v>74</v>
      </c>
      <c r="S605" t="s">
        <v>74</v>
      </c>
      <c r="T605" t="s">
        <v>11551</v>
      </c>
      <c r="U605" t="s">
        <v>11552</v>
      </c>
      <c r="V605" t="s">
        <v>11553</v>
      </c>
      <c r="W605" t="s">
        <v>11554</v>
      </c>
      <c r="X605" t="s">
        <v>11555</v>
      </c>
      <c r="Y605" t="s">
        <v>11556</v>
      </c>
      <c r="Z605" t="s">
        <v>11557</v>
      </c>
      <c r="AA605" t="s">
        <v>74</v>
      </c>
      <c r="AB605" t="s">
        <v>74</v>
      </c>
      <c r="AC605" t="s">
        <v>11558</v>
      </c>
      <c r="AD605" t="s">
        <v>11559</v>
      </c>
      <c r="AE605" t="s">
        <v>11560</v>
      </c>
      <c r="AF605" t="s">
        <v>74</v>
      </c>
      <c r="AG605">
        <v>83</v>
      </c>
      <c r="AH605">
        <v>5</v>
      </c>
      <c r="AI605">
        <v>5</v>
      </c>
      <c r="AJ605">
        <v>7</v>
      </c>
      <c r="AK605">
        <v>13</v>
      </c>
      <c r="AL605" t="s">
        <v>448</v>
      </c>
      <c r="AM605" t="s">
        <v>449</v>
      </c>
      <c r="AN605" t="s">
        <v>450</v>
      </c>
      <c r="AO605" t="s">
        <v>74</v>
      </c>
      <c r="AP605" t="s">
        <v>9145</v>
      </c>
      <c r="AQ605" t="s">
        <v>74</v>
      </c>
      <c r="AR605" t="s">
        <v>9146</v>
      </c>
      <c r="AS605" t="s">
        <v>9147</v>
      </c>
      <c r="AT605" t="s">
        <v>11543</v>
      </c>
      <c r="AU605">
        <v>2022</v>
      </c>
      <c r="AV605">
        <v>13</v>
      </c>
      <c r="AW605" t="s">
        <v>74</v>
      </c>
      <c r="AX605" t="s">
        <v>74</v>
      </c>
      <c r="AY605" t="s">
        <v>74</v>
      </c>
      <c r="AZ605" t="s">
        <v>74</v>
      </c>
      <c r="BA605" t="s">
        <v>74</v>
      </c>
      <c r="BB605" t="s">
        <v>74</v>
      </c>
      <c r="BC605" t="s">
        <v>74</v>
      </c>
      <c r="BD605">
        <v>992077</v>
      </c>
      <c r="BE605" t="s">
        <v>11561</v>
      </c>
      <c r="BF605" t="str">
        <f>HYPERLINK("http://dx.doi.org/10.3389/fmicb.2022.992077","http://dx.doi.org/10.3389/fmicb.2022.992077")</f>
        <v>http://dx.doi.org/10.3389/fmicb.2022.992077</v>
      </c>
      <c r="BG605" t="s">
        <v>74</v>
      </c>
      <c r="BH605" t="s">
        <v>74</v>
      </c>
      <c r="BI605">
        <v>13</v>
      </c>
      <c r="BJ605" t="s">
        <v>1699</v>
      </c>
      <c r="BK605" t="s">
        <v>104</v>
      </c>
      <c r="BL605" t="s">
        <v>1699</v>
      </c>
      <c r="BM605" t="s">
        <v>11562</v>
      </c>
      <c r="BN605">
        <v>36523839</v>
      </c>
      <c r="BO605" t="s">
        <v>3181</v>
      </c>
      <c r="BP605" t="s">
        <v>74</v>
      </c>
      <c r="BQ605" t="s">
        <v>74</v>
      </c>
      <c r="BR605" t="s">
        <v>108</v>
      </c>
      <c r="BS605" t="s">
        <v>11563</v>
      </c>
      <c r="BT605" t="str">
        <f>HYPERLINK("https%3A%2F%2Fwww.webofscience.com%2Fwos%2Fwoscc%2Ffull-record%2FWOS:000897786900001","View Full Record in Web of Science")</f>
        <v>View Full Record in Web of Science</v>
      </c>
    </row>
    <row r="606" spans="1:72" x14ac:dyDescent="0.15">
      <c r="A606" t="s">
        <v>72</v>
      </c>
      <c r="B606" t="s">
        <v>11564</v>
      </c>
      <c r="C606" t="s">
        <v>74</v>
      </c>
      <c r="D606" t="s">
        <v>74</v>
      </c>
      <c r="E606" t="s">
        <v>74</v>
      </c>
      <c r="F606" t="s">
        <v>11565</v>
      </c>
      <c r="G606" t="s">
        <v>74</v>
      </c>
      <c r="H606" t="s">
        <v>74</v>
      </c>
      <c r="I606" t="s">
        <v>11566</v>
      </c>
      <c r="J606" t="s">
        <v>11567</v>
      </c>
      <c r="K606" t="s">
        <v>74</v>
      </c>
      <c r="L606" t="s">
        <v>74</v>
      </c>
      <c r="M606" t="s">
        <v>78</v>
      </c>
      <c r="N606" t="s">
        <v>79</v>
      </c>
      <c r="O606" t="s">
        <v>74</v>
      </c>
      <c r="P606" t="s">
        <v>74</v>
      </c>
      <c r="Q606" t="s">
        <v>74</v>
      </c>
      <c r="R606" t="s">
        <v>74</v>
      </c>
      <c r="S606" t="s">
        <v>74</v>
      </c>
      <c r="T606" t="s">
        <v>11568</v>
      </c>
      <c r="U606" t="s">
        <v>11569</v>
      </c>
      <c r="V606" t="s">
        <v>11570</v>
      </c>
      <c r="W606" t="s">
        <v>11571</v>
      </c>
      <c r="X606" t="s">
        <v>11572</v>
      </c>
      <c r="Y606" t="s">
        <v>11573</v>
      </c>
      <c r="Z606" t="s">
        <v>11574</v>
      </c>
      <c r="AA606" t="s">
        <v>11575</v>
      </c>
      <c r="AB606" t="s">
        <v>11576</v>
      </c>
      <c r="AC606" t="s">
        <v>11577</v>
      </c>
      <c r="AD606" t="s">
        <v>11578</v>
      </c>
      <c r="AE606" t="s">
        <v>11579</v>
      </c>
      <c r="AF606" t="s">
        <v>74</v>
      </c>
      <c r="AG606">
        <v>128</v>
      </c>
      <c r="AH606">
        <v>3</v>
      </c>
      <c r="AI606">
        <v>3</v>
      </c>
      <c r="AJ606">
        <v>2</v>
      </c>
      <c r="AK606">
        <v>9</v>
      </c>
      <c r="AL606" t="s">
        <v>9932</v>
      </c>
      <c r="AM606" t="s">
        <v>9933</v>
      </c>
      <c r="AN606" t="s">
        <v>9934</v>
      </c>
      <c r="AO606" t="s">
        <v>11580</v>
      </c>
      <c r="AP606" t="s">
        <v>11581</v>
      </c>
      <c r="AQ606" t="s">
        <v>74</v>
      </c>
      <c r="AR606" t="s">
        <v>11582</v>
      </c>
      <c r="AS606" t="s">
        <v>11583</v>
      </c>
      <c r="AT606" t="s">
        <v>276</v>
      </c>
      <c r="AU606">
        <v>2023</v>
      </c>
      <c r="AV606">
        <v>80</v>
      </c>
      <c r="AW606">
        <v>1</v>
      </c>
      <c r="AX606" t="s">
        <v>74</v>
      </c>
      <c r="AY606" t="s">
        <v>74</v>
      </c>
      <c r="AZ606" t="s">
        <v>74</v>
      </c>
      <c r="BA606" t="s">
        <v>74</v>
      </c>
      <c r="BB606">
        <v>69</v>
      </c>
      <c r="BC606">
        <v>84</v>
      </c>
      <c r="BD606" t="s">
        <v>74</v>
      </c>
      <c r="BE606" t="s">
        <v>11584</v>
      </c>
      <c r="BF606" t="str">
        <f>HYPERLINK("http://dx.doi.org/10.1139/cjfas-2022-0145","http://dx.doi.org/10.1139/cjfas-2022-0145")</f>
        <v>http://dx.doi.org/10.1139/cjfas-2022-0145</v>
      </c>
      <c r="BG606" t="s">
        <v>74</v>
      </c>
      <c r="BH606" t="s">
        <v>11396</v>
      </c>
      <c r="BI606">
        <v>16</v>
      </c>
      <c r="BJ606" t="s">
        <v>5211</v>
      </c>
      <c r="BK606" t="s">
        <v>104</v>
      </c>
      <c r="BL606" t="s">
        <v>5211</v>
      </c>
      <c r="BM606" t="s">
        <v>11585</v>
      </c>
      <c r="BN606" t="s">
        <v>74</v>
      </c>
      <c r="BO606" t="s">
        <v>74</v>
      </c>
      <c r="BP606" t="s">
        <v>74</v>
      </c>
      <c r="BQ606" t="s">
        <v>74</v>
      </c>
      <c r="BR606" t="s">
        <v>108</v>
      </c>
      <c r="BS606" t="s">
        <v>11586</v>
      </c>
      <c r="BT606" t="str">
        <f>HYPERLINK("https%3A%2F%2Fwww.webofscience.com%2Fwos%2Fwoscc%2Ffull-record%2FWOS:000891773200001","View Full Record in Web of Science")</f>
        <v>View Full Record in Web of Science</v>
      </c>
    </row>
    <row r="607" spans="1:72" x14ac:dyDescent="0.15">
      <c r="A607" t="s">
        <v>72</v>
      </c>
      <c r="B607" t="s">
        <v>11587</v>
      </c>
      <c r="C607" t="s">
        <v>74</v>
      </c>
      <c r="D607" t="s">
        <v>74</v>
      </c>
      <c r="E607" t="s">
        <v>74</v>
      </c>
      <c r="F607" t="s">
        <v>11588</v>
      </c>
      <c r="G607" t="s">
        <v>74</v>
      </c>
      <c r="H607" t="s">
        <v>74</v>
      </c>
      <c r="I607" t="s">
        <v>11589</v>
      </c>
      <c r="J607" t="s">
        <v>170</v>
      </c>
      <c r="K607" t="s">
        <v>74</v>
      </c>
      <c r="L607" t="s">
        <v>74</v>
      </c>
      <c r="M607" t="s">
        <v>78</v>
      </c>
      <c r="N607" t="s">
        <v>79</v>
      </c>
      <c r="O607" t="s">
        <v>74</v>
      </c>
      <c r="P607" t="s">
        <v>74</v>
      </c>
      <c r="Q607" t="s">
        <v>74</v>
      </c>
      <c r="R607" t="s">
        <v>74</v>
      </c>
      <c r="S607" t="s">
        <v>74</v>
      </c>
      <c r="T607" t="s">
        <v>74</v>
      </c>
      <c r="U607" t="s">
        <v>11590</v>
      </c>
      <c r="V607" t="s">
        <v>11591</v>
      </c>
      <c r="W607" t="s">
        <v>11592</v>
      </c>
      <c r="X607" t="s">
        <v>11593</v>
      </c>
      <c r="Y607" t="s">
        <v>11594</v>
      </c>
      <c r="Z607" t="s">
        <v>11595</v>
      </c>
      <c r="AA607" t="s">
        <v>11596</v>
      </c>
      <c r="AB607" t="s">
        <v>11597</v>
      </c>
      <c r="AC607" t="s">
        <v>11598</v>
      </c>
      <c r="AD607" t="s">
        <v>11599</v>
      </c>
      <c r="AE607" t="s">
        <v>11600</v>
      </c>
      <c r="AF607" t="s">
        <v>74</v>
      </c>
      <c r="AG607">
        <v>77</v>
      </c>
      <c r="AH607">
        <v>3</v>
      </c>
      <c r="AI607">
        <v>3</v>
      </c>
      <c r="AJ607">
        <v>1</v>
      </c>
      <c r="AK607">
        <v>1</v>
      </c>
      <c r="AL607" t="s">
        <v>182</v>
      </c>
      <c r="AM607" t="s">
        <v>183</v>
      </c>
      <c r="AN607" t="s">
        <v>184</v>
      </c>
      <c r="AO607" t="s">
        <v>185</v>
      </c>
      <c r="AP607" t="s">
        <v>74</v>
      </c>
      <c r="AQ607" t="s">
        <v>74</v>
      </c>
      <c r="AR607" t="s">
        <v>186</v>
      </c>
      <c r="AS607" t="s">
        <v>187</v>
      </c>
      <c r="AT607" t="s">
        <v>11543</v>
      </c>
      <c r="AU607">
        <v>2022</v>
      </c>
      <c r="AV607">
        <v>12</v>
      </c>
      <c r="AW607">
        <v>1</v>
      </c>
      <c r="AX607" t="s">
        <v>74</v>
      </c>
      <c r="AY607" t="s">
        <v>74</v>
      </c>
      <c r="AZ607" t="s">
        <v>74</v>
      </c>
      <c r="BA607" t="s">
        <v>74</v>
      </c>
      <c r="BB607" t="s">
        <v>74</v>
      </c>
      <c r="BC607" t="s">
        <v>74</v>
      </c>
      <c r="BD607" t="s">
        <v>74</v>
      </c>
      <c r="BE607" t="s">
        <v>11601</v>
      </c>
      <c r="BF607" t="str">
        <f>HYPERLINK("http://dx.doi.org/10.1038/s41598-022-24206-5","http://dx.doi.org/10.1038/s41598-022-24206-5")</f>
        <v>http://dx.doi.org/10.1038/s41598-022-24206-5</v>
      </c>
      <c r="BG607" t="s">
        <v>74</v>
      </c>
      <c r="BH607" t="s">
        <v>74</v>
      </c>
      <c r="BI607">
        <v>13</v>
      </c>
      <c r="BJ607" t="s">
        <v>189</v>
      </c>
      <c r="BK607" t="s">
        <v>104</v>
      </c>
      <c r="BL607" t="s">
        <v>190</v>
      </c>
      <c r="BM607" t="s">
        <v>11602</v>
      </c>
      <c r="BN607">
        <v>36446870</v>
      </c>
      <c r="BO607" t="s">
        <v>192</v>
      </c>
      <c r="BP607" t="s">
        <v>74</v>
      </c>
      <c r="BQ607" t="s">
        <v>74</v>
      </c>
      <c r="BR607" t="s">
        <v>108</v>
      </c>
      <c r="BS607" t="s">
        <v>11603</v>
      </c>
      <c r="BT607" t="str">
        <f>HYPERLINK("https%3A%2F%2Fwww.webofscience.com%2Fwos%2Fwoscc%2Ffull-record%2FWOS:000955946400076","View Full Record in Web of Science")</f>
        <v>View Full Record in Web of Science</v>
      </c>
    </row>
    <row r="608" spans="1:72" x14ac:dyDescent="0.15">
      <c r="A608" t="s">
        <v>72</v>
      </c>
      <c r="B608" t="s">
        <v>11604</v>
      </c>
      <c r="C608" t="s">
        <v>74</v>
      </c>
      <c r="D608" t="s">
        <v>74</v>
      </c>
      <c r="E608" t="s">
        <v>74</v>
      </c>
      <c r="F608" t="s">
        <v>11605</v>
      </c>
      <c r="G608" t="s">
        <v>74</v>
      </c>
      <c r="H608" t="s">
        <v>74</v>
      </c>
      <c r="I608" t="s">
        <v>11606</v>
      </c>
      <c r="J608" t="s">
        <v>590</v>
      </c>
      <c r="K608" t="s">
        <v>74</v>
      </c>
      <c r="L608" t="s">
        <v>74</v>
      </c>
      <c r="M608" t="s">
        <v>78</v>
      </c>
      <c r="N608" t="s">
        <v>79</v>
      </c>
      <c r="O608" t="s">
        <v>74</v>
      </c>
      <c r="P608" t="s">
        <v>74</v>
      </c>
      <c r="Q608" t="s">
        <v>74</v>
      </c>
      <c r="R608" t="s">
        <v>74</v>
      </c>
      <c r="S608" t="s">
        <v>74</v>
      </c>
      <c r="T608" t="s">
        <v>74</v>
      </c>
      <c r="U608" t="s">
        <v>11607</v>
      </c>
      <c r="V608" t="s">
        <v>11608</v>
      </c>
      <c r="W608" t="s">
        <v>11609</v>
      </c>
      <c r="X608" t="s">
        <v>11610</v>
      </c>
      <c r="Y608" t="s">
        <v>11611</v>
      </c>
      <c r="Z608" t="s">
        <v>11612</v>
      </c>
      <c r="AA608" t="s">
        <v>11613</v>
      </c>
      <c r="AB608" t="s">
        <v>11614</v>
      </c>
      <c r="AC608" t="s">
        <v>11615</v>
      </c>
      <c r="AD608" t="s">
        <v>11616</v>
      </c>
      <c r="AE608" t="s">
        <v>11617</v>
      </c>
      <c r="AF608" t="s">
        <v>74</v>
      </c>
      <c r="AG608">
        <v>95</v>
      </c>
      <c r="AH608">
        <v>1</v>
      </c>
      <c r="AI608">
        <v>1</v>
      </c>
      <c r="AJ608">
        <v>2</v>
      </c>
      <c r="AK608">
        <v>7</v>
      </c>
      <c r="AL608" t="s">
        <v>603</v>
      </c>
      <c r="AM608" t="s">
        <v>208</v>
      </c>
      <c r="AN608" t="s">
        <v>604</v>
      </c>
      <c r="AO608" t="s">
        <v>605</v>
      </c>
      <c r="AP608" t="s">
        <v>606</v>
      </c>
      <c r="AQ608" t="s">
        <v>74</v>
      </c>
      <c r="AR608" t="s">
        <v>607</v>
      </c>
      <c r="AS608" t="s">
        <v>608</v>
      </c>
      <c r="AT608" t="s">
        <v>2592</v>
      </c>
      <c r="AU608">
        <v>2023</v>
      </c>
      <c r="AV608">
        <v>299</v>
      </c>
      <c r="AW608" t="s">
        <v>74</v>
      </c>
      <c r="AX608" t="s">
        <v>74</v>
      </c>
      <c r="AY608" t="s">
        <v>74</v>
      </c>
      <c r="AZ608" t="s">
        <v>74</v>
      </c>
      <c r="BA608" t="s">
        <v>74</v>
      </c>
      <c r="BB608" t="s">
        <v>74</v>
      </c>
      <c r="BC608" t="s">
        <v>74</v>
      </c>
      <c r="BD608">
        <v>107858</v>
      </c>
      <c r="BE608" t="s">
        <v>11618</v>
      </c>
      <c r="BF608" t="str">
        <f>HYPERLINK("http://dx.doi.org/10.1016/j.quascirev.2022.107858","http://dx.doi.org/10.1016/j.quascirev.2022.107858")</f>
        <v>http://dx.doi.org/10.1016/j.quascirev.2022.107858</v>
      </c>
      <c r="BG608" t="s">
        <v>74</v>
      </c>
      <c r="BH608" t="s">
        <v>11396</v>
      </c>
      <c r="BI608">
        <v>17</v>
      </c>
      <c r="BJ608" t="s">
        <v>611</v>
      </c>
      <c r="BK608" t="s">
        <v>104</v>
      </c>
      <c r="BL608" t="s">
        <v>612</v>
      </c>
      <c r="BM608" t="s">
        <v>11619</v>
      </c>
      <c r="BN608" t="s">
        <v>74</v>
      </c>
      <c r="BO608" t="s">
        <v>74</v>
      </c>
      <c r="BP608" t="s">
        <v>74</v>
      </c>
      <c r="BQ608" t="s">
        <v>74</v>
      </c>
      <c r="BR608" t="s">
        <v>108</v>
      </c>
      <c r="BS608" t="s">
        <v>11620</v>
      </c>
      <c r="BT608" t="str">
        <f>HYPERLINK("https%3A%2F%2Fwww.webofscience.com%2Fwos%2Fwoscc%2Ffull-record%2FWOS:000917017800002","View Full Record in Web of Science")</f>
        <v>View Full Record in Web of Science</v>
      </c>
    </row>
    <row r="609" spans="1:72" x14ac:dyDescent="0.15">
      <c r="A609" t="s">
        <v>72</v>
      </c>
      <c r="B609" t="s">
        <v>11621</v>
      </c>
      <c r="C609" t="s">
        <v>74</v>
      </c>
      <c r="D609" t="s">
        <v>74</v>
      </c>
      <c r="E609" t="s">
        <v>74</v>
      </c>
      <c r="F609" t="s">
        <v>11622</v>
      </c>
      <c r="G609" t="s">
        <v>74</v>
      </c>
      <c r="H609" t="s">
        <v>74</v>
      </c>
      <c r="I609" t="s">
        <v>11623</v>
      </c>
      <c r="J609" t="s">
        <v>224</v>
      </c>
      <c r="K609" t="s">
        <v>74</v>
      </c>
      <c r="L609" t="s">
        <v>74</v>
      </c>
      <c r="M609" t="s">
        <v>78</v>
      </c>
      <c r="N609" t="s">
        <v>79</v>
      </c>
      <c r="O609" t="s">
        <v>74</v>
      </c>
      <c r="P609" t="s">
        <v>74</v>
      </c>
      <c r="Q609" t="s">
        <v>74</v>
      </c>
      <c r="R609" t="s">
        <v>74</v>
      </c>
      <c r="S609" t="s">
        <v>74</v>
      </c>
      <c r="T609" t="s">
        <v>11624</v>
      </c>
      <c r="U609" t="s">
        <v>11625</v>
      </c>
      <c r="V609" t="s">
        <v>11626</v>
      </c>
      <c r="W609" t="s">
        <v>11627</v>
      </c>
      <c r="X609" t="s">
        <v>11628</v>
      </c>
      <c r="Y609" t="s">
        <v>11629</v>
      </c>
      <c r="Z609" t="s">
        <v>11630</v>
      </c>
      <c r="AA609" t="s">
        <v>11631</v>
      </c>
      <c r="AB609" t="s">
        <v>11632</v>
      </c>
      <c r="AC609" t="s">
        <v>11633</v>
      </c>
      <c r="AD609" t="s">
        <v>11634</v>
      </c>
      <c r="AE609" t="s">
        <v>11635</v>
      </c>
      <c r="AF609" t="s">
        <v>74</v>
      </c>
      <c r="AG609">
        <v>82</v>
      </c>
      <c r="AH609">
        <v>1</v>
      </c>
      <c r="AI609">
        <v>1</v>
      </c>
      <c r="AJ609">
        <v>2</v>
      </c>
      <c r="AK609">
        <v>3</v>
      </c>
      <c r="AL609" t="s">
        <v>237</v>
      </c>
      <c r="AM609" t="s">
        <v>238</v>
      </c>
      <c r="AN609" t="s">
        <v>239</v>
      </c>
      <c r="AO609" t="s">
        <v>240</v>
      </c>
      <c r="AP609" t="s">
        <v>241</v>
      </c>
      <c r="AQ609" t="s">
        <v>74</v>
      </c>
      <c r="AR609" t="s">
        <v>242</v>
      </c>
      <c r="AS609" t="s">
        <v>243</v>
      </c>
      <c r="AT609" t="s">
        <v>99</v>
      </c>
      <c r="AU609">
        <v>2023</v>
      </c>
      <c r="AV609">
        <v>258</v>
      </c>
      <c r="AW609" t="s">
        <v>74</v>
      </c>
      <c r="AX609" t="s">
        <v>74</v>
      </c>
      <c r="AY609" t="s">
        <v>74</v>
      </c>
      <c r="AZ609" t="s">
        <v>74</v>
      </c>
      <c r="BA609" t="s">
        <v>74</v>
      </c>
      <c r="BB609" t="s">
        <v>74</v>
      </c>
      <c r="BC609" t="s">
        <v>74</v>
      </c>
      <c r="BD609">
        <v>106534</v>
      </c>
      <c r="BE609" t="s">
        <v>11636</v>
      </c>
      <c r="BF609" t="str">
        <f>HYPERLINK("http://dx.doi.org/10.1016/j.fishres.2022.106534","http://dx.doi.org/10.1016/j.fishres.2022.106534")</f>
        <v>http://dx.doi.org/10.1016/j.fishres.2022.106534</v>
      </c>
      <c r="BG609" t="s">
        <v>74</v>
      </c>
      <c r="BH609" t="s">
        <v>11396</v>
      </c>
      <c r="BI609">
        <v>15</v>
      </c>
      <c r="BJ609" t="s">
        <v>246</v>
      </c>
      <c r="BK609" t="s">
        <v>104</v>
      </c>
      <c r="BL609" t="s">
        <v>246</v>
      </c>
      <c r="BM609" t="s">
        <v>11637</v>
      </c>
      <c r="BN609" t="s">
        <v>74</v>
      </c>
      <c r="BO609" t="s">
        <v>219</v>
      </c>
      <c r="BP609" t="s">
        <v>74</v>
      </c>
      <c r="BQ609" t="s">
        <v>74</v>
      </c>
      <c r="BR609" t="s">
        <v>108</v>
      </c>
      <c r="BS609" t="s">
        <v>11638</v>
      </c>
      <c r="BT609" t="str">
        <f>HYPERLINK("https%3A%2F%2Fwww.webofscience.com%2Fwos%2Fwoscc%2Ffull-record%2FWOS:000895506500005","View Full Record in Web of Science")</f>
        <v>View Full Record in Web of Science</v>
      </c>
    </row>
    <row r="610" spans="1:72" x14ac:dyDescent="0.15">
      <c r="A610" t="s">
        <v>72</v>
      </c>
      <c r="B610" t="s">
        <v>11639</v>
      </c>
      <c r="C610" t="s">
        <v>74</v>
      </c>
      <c r="D610" t="s">
        <v>74</v>
      </c>
      <c r="E610" t="s">
        <v>74</v>
      </c>
      <c r="F610" t="s">
        <v>11640</v>
      </c>
      <c r="G610" t="s">
        <v>74</v>
      </c>
      <c r="H610" t="s">
        <v>74</v>
      </c>
      <c r="I610" t="s">
        <v>11641</v>
      </c>
      <c r="J610" t="s">
        <v>1001</v>
      </c>
      <c r="K610" t="s">
        <v>74</v>
      </c>
      <c r="L610" t="s">
        <v>74</v>
      </c>
      <c r="M610" t="s">
        <v>78</v>
      </c>
      <c r="N610" t="s">
        <v>79</v>
      </c>
      <c r="O610" t="s">
        <v>74</v>
      </c>
      <c r="P610" t="s">
        <v>74</v>
      </c>
      <c r="Q610" t="s">
        <v>74</v>
      </c>
      <c r="R610" t="s">
        <v>74</v>
      </c>
      <c r="S610" t="s">
        <v>74</v>
      </c>
      <c r="T610" t="s">
        <v>11642</v>
      </c>
      <c r="U610" t="s">
        <v>11643</v>
      </c>
      <c r="V610" t="s">
        <v>11644</v>
      </c>
      <c r="W610" t="s">
        <v>11645</v>
      </c>
      <c r="X610" t="s">
        <v>11646</v>
      </c>
      <c r="Y610" t="s">
        <v>11647</v>
      </c>
      <c r="Z610" t="s">
        <v>11648</v>
      </c>
      <c r="AA610" t="s">
        <v>11649</v>
      </c>
      <c r="AB610" t="s">
        <v>11650</v>
      </c>
      <c r="AC610" t="s">
        <v>74</v>
      </c>
      <c r="AD610" t="s">
        <v>74</v>
      </c>
      <c r="AE610" t="s">
        <v>74</v>
      </c>
      <c r="AF610" t="s">
        <v>74</v>
      </c>
      <c r="AG610">
        <v>59</v>
      </c>
      <c r="AH610">
        <v>0</v>
      </c>
      <c r="AI610">
        <v>0</v>
      </c>
      <c r="AJ610">
        <v>13</v>
      </c>
      <c r="AK610">
        <v>22</v>
      </c>
      <c r="AL610" t="s">
        <v>1010</v>
      </c>
      <c r="AM610" t="s">
        <v>1011</v>
      </c>
      <c r="AN610" t="s">
        <v>1012</v>
      </c>
      <c r="AO610" t="s">
        <v>1013</v>
      </c>
      <c r="AP610" t="s">
        <v>1014</v>
      </c>
      <c r="AQ610" t="s">
        <v>74</v>
      </c>
      <c r="AR610" t="s">
        <v>1015</v>
      </c>
      <c r="AS610" t="s">
        <v>1016</v>
      </c>
      <c r="AT610" t="s">
        <v>74</v>
      </c>
      <c r="AU610">
        <v>2023</v>
      </c>
      <c r="AV610">
        <v>74</v>
      </c>
      <c r="AW610">
        <v>1</v>
      </c>
      <c r="AX610" t="s">
        <v>74</v>
      </c>
      <c r="AY610" t="s">
        <v>74</v>
      </c>
      <c r="AZ610" t="s">
        <v>74</v>
      </c>
      <c r="BA610" t="s">
        <v>74</v>
      </c>
      <c r="BB610">
        <v>75</v>
      </c>
      <c r="BC610">
        <v>85</v>
      </c>
      <c r="BD610" t="s">
        <v>74</v>
      </c>
      <c r="BE610" t="s">
        <v>11651</v>
      </c>
      <c r="BF610" t="str">
        <f>HYPERLINK("http://dx.doi.org/10.1071/MF22050","http://dx.doi.org/10.1071/MF22050")</f>
        <v>http://dx.doi.org/10.1071/MF22050</v>
      </c>
      <c r="BG610" t="s">
        <v>74</v>
      </c>
      <c r="BH610" t="s">
        <v>11396</v>
      </c>
      <c r="BI610">
        <v>11</v>
      </c>
      <c r="BJ610" t="s">
        <v>1018</v>
      </c>
      <c r="BK610" t="s">
        <v>104</v>
      </c>
      <c r="BL610" t="s">
        <v>1019</v>
      </c>
      <c r="BM610" t="s">
        <v>11652</v>
      </c>
      <c r="BN610" t="s">
        <v>74</v>
      </c>
      <c r="BO610" t="s">
        <v>219</v>
      </c>
      <c r="BP610" t="s">
        <v>74</v>
      </c>
      <c r="BQ610" t="s">
        <v>74</v>
      </c>
      <c r="BR610" t="s">
        <v>108</v>
      </c>
      <c r="BS610" t="s">
        <v>11653</v>
      </c>
      <c r="BT610" t="str">
        <f>HYPERLINK("https%3A%2F%2Fwww.webofscience.com%2Fwos%2Fwoscc%2Ffull-record%2FWOS:000901751500001","View Full Record in Web of Science")</f>
        <v>View Full Record in Web of Science</v>
      </c>
    </row>
    <row r="611" spans="1:72" x14ac:dyDescent="0.15">
      <c r="A611" t="s">
        <v>72</v>
      </c>
      <c r="B611" t="s">
        <v>11654</v>
      </c>
      <c r="C611" t="s">
        <v>74</v>
      </c>
      <c r="D611" t="s">
        <v>74</v>
      </c>
      <c r="E611" t="s">
        <v>74</v>
      </c>
      <c r="F611" t="s">
        <v>11655</v>
      </c>
      <c r="G611" t="s">
        <v>74</v>
      </c>
      <c r="H611" t="s">
        <v>74</v>
      </c>
      <c r="I611" t="s">
        <v>11656</v>
      </c>
      <c r="J611" t="s">
        <v>11657</v>
      </c>
      <c r="K611" t="s">
        <v>74</v>
      </c>
      <c r="L611" t="s">
        <v>74</v>
      </c>
      <c r="M611" t="s">
        <v>78</v>
      </c>
      <c r="N611" t="s">
        <v>9825</v>
      </c>
      <c r="O611" t="s">
        <v>74</v>
      </c>
      <c r="P611" t="s">
        <v>74</v>
      </c>
      <c r="Q611" t="s">
        <v>74</v>
      </c>
      <c r="R611" t="s">
        <v>74</v>
      </c>
      <c r="S611" t="s">
        <v>74</v>
      </c>
      <c r="T611" t="s">
        <v>11658</v>
      </c>
      <c r="U611" t="s">
        <v>11659</v>
      </c>
      <c r="V611" t="s">
        <v>11660</v>
      </c>
      <c r="W611" t="s">
        <v>11661</v>
      </c>
      <c r="X611" t="s">
        <v>11662</v>
      </c>
      <c r="Y611" t="s">
        <v>11663</v>
      </c>
      <c r="Z611" t="s">
        <v>11664</v>
      </c>
      <c r="AA611" t="s">
        <v>11665</v>
      </c>
      <c r="AB611" t="s">
        <v>11666</v>
      </c>
      <c r="AC611" t="s">
        <v>11667</v>
      </c>
      <c r="AD611" t="s">
        <v>11668</v>
      </c>
      <c r="AE611" t="s">
        <v>11669</v>
      </c>
      <c r="AF611" t="s">
        <v>74</v>
      </c>
      <c r="AG611">
        <v>42</v>
      </c>
      <c r="AH611">
        <v>5</v>
      </c>
      <c r="AI611">
        <v>5</v>
      </c>
      <c r="AJ611">
        <v>6</v>
      </c>
      <c r="AK611">
        <v>14</v>
      </c>
      <c r="AL611" t="s">
        <v>297</v>
      </c>
      <c r="AM611" t="s">
        <v>298</v>
      </c>
      <c r="AN611" t="s">
        <v>299</v>
      </c>
      <c r="AO611" t="s">
        <v>11670</v>
      </c>
      <c r="AP611" t="s">
        <v>74</v>
      </c>
      <c r="AQ611" t="s">
        <v>74</v>
      </c>
      <c r="AR611" t="s">
        <v>11671</v>
      </c>
      <c r="AS611" t="s">
        <v>11672</v>
      </c>
      <c r="AT611" t="s">
        <v>11673</v>
      </c>
      <c r="AU611">
        <v>2023</v>
      </c>
      <c r="AV611">
        <v>16</v>
      </c>
      <c r="AW611">
        <v>1</v>
      </c>
      <c r="AX611" t="s">
        <v>74</v>
      </c>
      <c r="AY611" t="s">
        <v>74</v>
      </c>
      <c r="AZ611" t="s">
        <v>74</v>
      </c>
      <c r="BA611" t="s">
        <v>74</v>
      </c>
      <c r="BB611" t="s">
        <v>74</v>
      </c>
      <c r="BC611" t="s">
        <v>74</v>
      </c>
      <c r="BD611" t="s">
        <v>74</v>
      </c>
      <c r="BE611" t="s">
        <v>11674</v>
      </c>
      <c r="BF611" t="str">
        <f>HYPERLINK("http://dx.doi.org/10.1111/conl.12928","http://dx.doi.org/10.1111/conl.12928")</f>
        <v>http://dx.doi.org/10.1111/conl.12928</v>
      </c>
      <c r="BG611" t="s">
        <v>74</v>
      </c>
      <c r="BH611" t="s">
        <v>11396</v>
      </c>
      <c r="BI611">
        <v>12</v>
      </c>
      <c r="BJ611" t="s">
        <v>6619</v>
      </c>
      <c r="BK611" t="s">
        <v>104</v>
      </c>
      <c r="BL611" t="s">
        <v>6620</v>
      </c>
      <c r="BM611" t="s">
        <v>11675</v>
      </c>
      <c r="BN611" t="s">
        <v>74</v>
      </c>
      <c r="BO611" t="s">
        <v>5719</v>
      </c>
      <c r="BP611" t="s">
        <v>74</v>
      </c>
      <c r="BQ611" t="s">
        <v>74</v>
      </c>
      <c r="BR611" t="s">
        <v>108</v>
      </c>
      <c r="BS611" t="s">
        <v>11676</v>
      </c>
      <c r="BT611" t="str">
        <f>HYPERLINK("https%3A%2F%2Fwww.webofscience.com%2Fwos%2Fwoscc%2Ffull-record%2FWOS:000891230400001","View Full Record in Web of Science")</f>
        <v>View Full Record in Web of Science</v>
      </c>
    </row>
    <row r="612" spans="1:72" x14ac:dyDescent="0.15">
      <c r="A612" t="s">
        <v>72</v>
      </c>
      <c r="B612" t="s">
        <v>11677</v>
      </c>
      <c r="C612" t="s">
        <v>74</v>
      </c>
      <c r="D612" t="s">
        <v>74</v>
      </c>
      <c r="E612" t="s">
        <v>74</v>
      </c>
      <c r="F612" t="s">
        <v>11678</v>
      </c>
      <c r="G612" t="s">
        <v>74</v>
      </c>
      <c r="H612" t="s">
        <v>74</v>
      </c>
      <c r="I612" t="s">
        <v>11679</v>
      </c>
      <c r="J612" t="s">
        <v>6736</v>
      </c>
      <c r="K612" t="s">
        <v>74</v>
      </c>
      <c r="L612" t="s">
        <v>74</v>
      </c>
      <c r="M612" t="s">
        <v>78</v>
      </c>
      <c r="N612" t="s">
        <v>79</v>
      </c>
      <c r="O612" t="s">
        <v>74</v>
      </c>
      <c r="P612" t="s">
        <v>74</v>
      </c>
      <c r="Q612" t="s">
        <v>74</v>
      </c>
      <c r="R612" t="s">
        <v>74</v>
      </c>
      <c r="S612" t="s">
        <v>74</v>
      </c>
      <c r="T612" t="s">
        <v>74</v>
      </c>
      <c r="U612" t="s">
        <v>11680</v>
      </c>
      <c r="V612" t="s">
        <v>11681</v>
      </c>
      <c r="W612" t="s">
        <v>11682</v>
      </c>
      <c r="X612" t="s">
        <v>11683</v>
      </c>
      <c r="Y612" t="s">
        <v>11684</v>
      </c>
      <c r="Z612" t="s">
        <v>11685</v>
      </c>
      <c r="AA612" t="s">
        <v>11686</v>
      </c>
      <c r="AB612" t="s">
        <v>11687</v>
      </c>
      <c r="AC612" t="s">
        <v>74</v>
      </c>
      <c r="AD612" t="s">
        <v>74</v>
      </c>
      <c r="AE612" t="s">
        <v>74</v>
      </c>
      <c r="AF612" t="s">
        <v>74</v>
      </c>
      <c r="AG612">
        <v>53</v>
      </c>
      <c r="AH612">
        <v>1</v>
      </c>
      <c r="AI612">
        <v>1</v>
      </c>
      <c r="AJ612">
        <v>2</v>
      </c>
      <c r="AK612">
        <v>6</v>
      </c>
      <c r="AL612" t="s">
        <v>1791</v>
      </c>
      <c r="AM612" t="s">
        <v>576</v>
      </c>
      <c r="AN612" t="s">
        <v>1792</v>
      </c>
      <c r="AO612" t="s">
        <v>6747</v>
      </c>
      <c r="AP612" t="s">
        <v>6748</v>
      </c>
      <c r="AQ612" t="s">
        <v>74</v>
      </c>
      <c r="AR612" t="s">
        <v>6749</v>
      </c>
      <c r="AS612" t="s">
        <v>6750</v>
      </c>
      <c r="AT612" t="s">
        <v>11688</v>
      </c>
      <c r="AU612">
        <v>2022</v>
      </c>
      <c r="AV612">
        <v>49</v>
      </c>
      <c r="AW612">
        <v>22</v>
      </c>
      <c r="AX612" t="s">
        <v>74</v>
      </c>
      <c r="AY612" t="s">
        <v>74</v>
      </c>
      <c r="AZ612" t="s">
        <v>74</v>
      </c>
      <c r="BA612" t="s">
        <v>74</v>
      </c>
      <c r="BB612" t="s">
        <v>74</v>
      </c>
      <c r="BC612" t="s">
        <v>74</v>
      </c>
      <c r="BD612" t="s">
        <v>11689</v>
      </c>
      <c r="BE612" t="s">
        <v>11690</v>
      </c>
      <c r="BF612" t="str">
        <f>HYPERLINK("http://dx.doi.org/10.1029/2022GL101272","http://dx.doi.org/10.1029/2022GL101272")</f>
        <v>http://dx.doi.org/10.1029/2022GL101272</v>
      </c>
      <c r="BG612" t="s">
        <v>74</v>
      </c>
      <c r="BH612" t="s">
        <v>74</v>
      </c>
      <c r="BI612">
        <v>9</v>
      </c>
      <c r="BJ612" t="s">
        <v>455</v>
      </c>
      <c r="BK612" t="s">
        <v>104</v>
      </c>
      <c r="BL612" t="s">
        <v>456</v>
      </c>
      <c r="BM612" t="s">
        <v>11691</v>
      </c>
      <c r="BN612" t="s">
        <v>74</v>
      </c>
      <c r="BO612" t="s">
        <v>11692</v>
      </c>
      <c r="BP612" t="s">
        <v>74</v>
      </c>
      <c r="BQ612" t="s">
        <v>74</v>
      </c>
      <c r="BR612" t="s">
        <v>108</v>
      </c>
      <c r="BS612" t="s">
        <v>11693</v>
      </c>
      <c r="BT612" t="str">
        <f>HYPERLINK("https%3A%2F%2Fwww.webofscience.com%2Fwos%2Fwoscc%2Ffull-record%2FWOS:000889542700001","View Full Record in Web of Science")</f>
        <v>View Full Record in Web of Science</v>
      </c>
    </row>
    <row r="613" spans="1:72" x14ac:dyDescent="0.15">
      <c r="A613" t="s">
        <v>72</v>
      </c>
      <c r="B613" t="s">
        <v>11694</v>
      </c>
      <c r="C613" t="s">
        <v>74</v>
      </c>
      <c r="D613" t="s">
        <v>74</v>
      </c>
      <c r="E613" t="s">
        <v>74</v>
      </c>
      <c r="F613" t="s">
        <v>11695</v>
      </c>
      <c r="G613" t="s">
        <v>74</v>
      </c>
      <c r="H613" t="s">
        <v>74</v>
      </c>
      <c r="I613" t="s">
        <v>11696</v>
      </c>
      <c r="J613" t="s">
        <v>6736</v>
      </c>
      <c r="K613" t="s">
        <v>74</v>
      </c>
      <c r="L613" t="s">
        <v>74</v>
      </c>
      <c r="M613" t="s">
        <v>78</v>
      </c>
      <c r="N613" t="s">
        <v>79</v>
      </c>
      <c r="O613" t="s">
        <v>74</v>
      </c>
      <c r="P613" t="s">
        <v>74</v>
      </c>
      <c r="Q613" t="s">
        <v>74</v>
      </c>
      <c r="R613" t="s">
        <v>74</v>
      </c>
      <c r="S613" t="s">
        <v>74</v>
      </c>
      <c r="T613" t="s">
        <v>11697</v>
      </c>
      <c r="U613" t="s">
        <v>11698</v>
      </c>
      <c r="V613" t="s">
        <v>11699</v>
      </c>
      <c r="W613" t="s">
        <v>11700</v>
      </c>
      <c r="X613" t="s">
        <v>11701</v>
      </c>
      <c r="Y613" t="s">
        <v>11702</v>
      </c>
      <c r="Z613" t="s">
        <v>11703</v>
      </c>
      <c r="AA613" t="s">
        <v>11704</v>
      </c>
      <c r="AB613" t="s">
        <v>11705</v>
      </c>
      <c r="AC613" t="s">
        <v>74</v>
      </c>
      <c r="AD613" t="s">
        <v>74</v>
      </c>
      <c r="AE613" t="s">
        <v>74</v>
      </c>
      <c r="AF613" t="s">
        <v>74</v>
      </c>
      <c r="AG613">
        <v>27</v>
      </c>
      <c r="AH613">
        <v>3</v>
      </c>
      <c r="AI613">
        <v>3</v>
      </c>
      <c r="AJ613">
        <v>0</v>
      </c>
      <c r="AK613">
        <v>1</v>
      </c>
      <c r="AL613" t="s">
        <v>1791</v>
      </c>
      <c r="AM613" t="s">
        <v>576</v>
      </c>
      <c r="AN613" t="s">
        <v>1792</v>
      </c>
      <c r="AO613" t="s">
        <v>6747</v>
      </c>
      <c r="AP613" t="s">
        <v>6748</v>
      </c>
      <c r="AQ613" t="s">
        <v>74</v>
      </c>
      <c r="AR613" t="s">
        <v>6749</v>
      </c>
      <c r="AS613" t="s">
        <v>6750</v>
      </c>
      <c r="AT613" t="s">
        <v>11688</v>
      </c>
      <c r="AU613">
        <v>2022</v>
      </c>
      <c r="AV613">
        <v>49</v>
      </c>
      <c r="AW613">
        <v>22</v>
      </c>
      <c r="AX613" t="s">
        <v>74</v>
      </c>
      <c r="AY613" t="s">
        <v>74</v>
      </c>
      <c r="AZ613" t="s">
        <v>74</v>
      </c>
      <c r="BA613" t="s">
        <v>74</v>
      </c>
      <c r="BB613" t="s">
        <v>74</v>
      </c>
      <c r="BC613" t="s">
        <v>74</v>
      </c>
      <c r="BD613" t="s">
        <v>11706</v>
      </c>
      <c r="BE613" t="s">
        <v>11707</v>
      </c>
      <c r="BF613" t="str">
        <f>HYPERLINK("http://dx.doi.org/10.1029/2022GL100121","http://dx.doi.org/10.1029/2022GL100121")</f>
        <v>http://dx.doi.org/10.1029/2022GL100121</v>
      </c>
      <c r="BG613" t="s">
        <v>74</v>
      </c>
      <c r="BH613" t="s">
        <v>74</v>
      </c>
      <c r="BI613">
        <v>9</v>
      </c>
      <c r="BJ613" t="s">
        <v>455</v>
      </c>
      <c r="BK613" t="s">
        <v>104</v>
      </c>
      <c r="BL613" t="s">
        <v>456</v>
      </c>
      <c r="BM613" t="s">
        <v>11708</v>
      </c>
      <c r="BN613" t="s">
        <v>74</v>
      </c>
      <c r="BO613" t="s">
        <v>660</v>
      </c>
      <c r="BP613" t="s">
        <v>74</v>
      </c>
      <c r="BQ613" t="s">
        <v>74</v>
      </c>
      <c r="BR613" t="s">
        <v>108</v>
      </c>
      <c r="BS613" t="s">
        <v>11709</v>
      </c>
      <c r="BT613" t="str">
        <f>HYPERLINK("https%3A%2F%2Fwww.webofscience.com%2Fwos%2Fwoscc%2Ffull-record%2FWOS:000889477300001","View Full Record in Web of Science")</f>
        <v>View Full Record in Web of Science</v>
      </c>
    </row>
    <row r="614" spans="1:72" x14ac:dyDescent="0.15">
      <c r="A614" t="s">
        <v>72</v>
      </c>
      <c r="B614" t="s">
        <v>11710</v>
      </c>
      <c r="C614" t="s">
        <v>74</v>
      </c>
      <c r="D614" t="s">
        <v>74</v>
      </c>
      <c r="E614" t="s">
        <v>74</v>
      </c>
      <c r="F614" t="s">
        <v>11711</v>
      </c>
      <c r="G614" t="s">
        <v>74</v>
      </c>
      <c r="H614" t="s">
        <v>74</v>
      </c>
      <c r="I614" t="s">
        <v>11712</v>
      </c>
      <c r="J614" t="s">
        <v>6736</v>
      </c>
      <c r="K614" t="s">
        <v>74</v>
      </c>
      <c r="L614" t="s">
        <v>74</v>
      </c>
      <c r="M614" t="s">
        <v>78</v>
      </c>
      <c r="N614" t="s">
        <v>79</v>
      </c>
      <c r="O614" t="s">
        <v>74</v>
      </c>
      <c r="P614" t="s">
        <v>74</v>
      </c>
      <c r="Q614" t="s">
        <v>74</v>
      </c>
      <c r="R614" t="s">
        <v>74</v>
      </c>
      <c r="S614" t="s">
        <v>74</v>
      </c>
      <c r="T614" t="s">
        <v>11713</v>
      </c>
      <c r="U614" t="s">
        <v>11714</v>
      </c>
      <c r="V614" t="s">
        <v>11715</v>
      </c>
      <c r="W614" t="s">
        <v>11716</v>
      </c>
      <c r="X614" t="s">
        <v>11717</v>
      </c>
      <c r="Y614" t="s">
        <v>11718</v>
      </c>
      <c r="Z614" t="s">
        <v>11719</v>
      </c>
      <c r="AA614" t="s">
        <v>11720</v>
      </c>
      <c r="AB614" t="s">
        <v>11721</v>
      </c>
      <c r="AC614" t="s">
        <v>74</v>
      </c>
      <c r="AD614" t="s">
        <v>74</v>
      </c>
      <c r="AE614" t="s">
        <v>74</v>
      </c>
      <c r="AF614" t="s">
        <v>74</v>
      </c>
      <c r="AG614">
        <v>74</v>
      </c>
      <c r="AH614">
        <v>8</v>
      </c>
      <c r="AI614">
        <v>8</v>
      </c>
      <c r="AJ614">
        <v>1</v>
      </c>
      <c r="AK614">
        <v>10</v>
      </c>
      <c r="AL614" t="s">
        <v>1791</v>
      </c>
      <c r="AM614" t="s">
        <v>576</v>
      </c>
      <c r="AN614" t="s">
        <v>1792</v>
      </c>
      <c r="AO614" t="s">
        <v>6747</v>
      </c>
      <c r="AP614" t="s">
        <v>6748</v>
      </c>
      <c r="AQ614" t="s">
        <v>74</v>
      </c>
      <c r="AR614" t="s">
        <v>6749</v>
      </c>
      <c r="AS614" t="s">
        <v>6750</v>
      </c>
      <c r="AT614" t="s">
        <v>11688</v>
      </c>
      <c r="AU614">
        <v>2022</v>
      </c>
      <c r="AV614">
        <v>49</v>
      </c>
      <c r="AW614">
        <v>22</v>
      </c>
      <c r="AX614" t="s">
        <v>74</v>
      </c>
      <c r="AY614" t="s">
        <v>74</v>
      </c>
      <c r="AZ614" t="s">
        <v>74</v>
      </c>
      <c r="BA614" t="s">
        <v>74</v>
      </c>
      <c r="BB614" t="s">
        <v>74</v>
      </c>
      <c r="BC614" t="s">
        <v>74</v>
      </c>
      <c r="BD614" t="s">
        <v>11722</v>
      </c>
      <c r="BE614" t="s">
        <v>11723</v>
      </c>
      <c r="BF614" t="str">
        <f>HYPERLINK("http://dx.doi.org/10.1029/2022GL100629","http://dx.doi.org/10.1029/2022GL100629")</f>
        <v>http://dx.doi.org/10.1029/2022GL100629</v>
      </c>
      <c r="BG614" t="s">
        <v>74</v>
      </c>
      <c r="BH614" t="s">
        <v>74</v>
      </c>
      <c r="BI614">
        <v>12</v>
      </c>
      <c r="BJ614" t="s">
        <v>455</v>
      </c>
      <c r="BK614" t="s">
        <v>104</v>
      </c>
      <c r="BL614" t="s">
        <v>456</v>
      </c>
      <c r="BM614" t="s">
        <v>11724</v>
      </c>
      <c r="BN614" t="s">
        <v>74</v>
      </c>
      <c r="BO614" t="s">
        <v>248</v>
      </c>
      <c r="BP614" t="s">
        <v>74</v>
      </c>
      <c r="BQ614" t="s">
        <v>74</v>
      </c>
      <c r="BR614" t="s">
        <v>108</v>
      </c>
      <c r="BS614" t="s">
        <v>11725</v>
      </c>
      <c r="BT614" t="str">
        <f>HYPERLINK("https%3A%2F%2Fwww.webofscience.com%2Fwos%2Fwoscc%2Ffull-record%2FWOS:000889472900001","View Full Record in Web of Science")</f>
        <v>View Full Record in Web of Science</v>
      </c>
    </row>
    <row r="615" spans="1:72" x14ac:dyDescent="0.15">
      <c r="A615" t="s">
        <v>72</v>
      </c>
      <c r="B615" t="s">
        <v>11726</v>
      </c>
      <c r="C615" t="s">
        <v>74</v>
      </c>
      <c r="D615" t="s">
        <v>74</v>
      </c>
      <c r="E615" t="s">
        <v>74</v>
      </c>
      <c r="F615" t="s">
        <v>11727</v>
      </c>
      <c r="G615" t="s">
        <v>74</v>
      </c>
      <c r="H615" t="s">
        <v>74</v>
      </c>
      <c r="I615" t="s">
        <v>11728</v>
      </c>
      <c r="J615" t="s">
        <v>11729</v>
      </c>
      <c r="K615" t="s">
        <v>74</v>
      </c>
      <c r="L615" t="s">
        <v>74</v>
      </c>
      <c r="M615" t="s">
        <v>78</v>
      </c>
      <c r="N615" t="s">
        <v>5094</v>
      </c>
      <c r="O615" t="s">
        <v>74</v>
      </c>
      <c r="P615" t="s">
        <v>74</v>
      </c>
      <c r="Q615" t="s">
        <v>74</v>
      </c>
      <c r="R615" t="s">
        <v>74</v>
      </c>
      <c r="S615" t="s">
        <v>74</v>
      </c>
      <c r="T615" t="s">
        <v>74</v>
      </c>
      <c r="U615" t="s">
        <v>11730</v>
      </c>
      <c r="V615" t="s">
        <v>11731</v>
      </c>
      <c r="W615" t="s">
        <v>11732</v>
      </c>
      <c r="X615" t="s">
        <v>11733</v>
      </c>
      <c r="Y615" t="s">
        <v>11734</v>
      </c>
      <c r="Z615" t="s">
        <v>11735</v>
      </c>
      <c r="AA615" t="s">
        <v>11736</v>
      </c>
      <c r="AB615" t="s">
        <v>11737</v>
      </c>
      <c r="AC615" t="s">
        <v>11738</v>
      </c>
      <c r="AD615" t="s">
        <v>11738</v>
      </c>
      <c r="AE615" t="s">
        <v>11739</v>
      </c>
      <c r="AF615" t="s">
        <v>74</v>
      </c>
      <c r="AG615">
        <v>72</v>
      </c>
      <c r="AH615">
        <v>32</v>
      </c>
      <c r="AI615">
        <v>33</v>
      </c>
      <c r="AJ615">
        <v>17</v>
      </c>
      <c r="AK615">
        <v>59</v>
      </c>
      <c r="AL615" t="s">
        <v>182</v>
      </c>
      <c r="AM615" t="s">
        <v>183</v>
      </c>
      <c r="AN615" t="s">
        <v>184</v>
      </c>
      <c r="AO615" t="s">
        <v>11740</v>
      </c>
      <c r="AP615" t="s">
        <v>74</v>
      </c>
      <c r="AQ615" t="s">
        <v>74</v>
      </c>
      <c r="AR615" t="s">
        <v>11741</v>
      </c>
      <c r="AS615" t="s">
        <v>11742</v>
      </c>
      <c r="AT615" t="s">
        <v>11743</v>
      </c>
      <c r="AU615">
        <v>2022</v>
      </c>
      <c r="AV615" t="s">
        <v>74</v>
      </c>
      <c r="AW615" t="s">
        <v>74</v>
      </c>
      <c r="AX615" t="s">
        <v>74</v>
      </c>
      <c r="AY615" t="s">
        <v>74</v>
      </c>
      <c r="AZ615" t="s">
        <v>74</v>
      </c>
      <c r="BA615" t="s">
        <v>74</v>
      </c>
      <c r="BB615" t="s">
        <v>74</v>
      </c>
      <c r="BC615" t="s">
        <v>74</v>
      </c>
      <c r="BD615" t="s">
        <v>74</v>
      </c>
      <c r="BE615" t="s">
        <v>11744</v>
      </c>
      <c r="BF615" t="str">
        <f>HYPERLINK("http://dx.doi.org/10.1038/s41559-022-01934-5","http://dx.doi.org/10.1038/s41559-022-01934-5")</f>
        <v>http://dx.doi.org/10.1038/s41559-022-01934-5</v>
      </c>
      <c r="BG615" t="s">
        <v>74</v>
      </c>
      <c r="BH615" t="s">
        <v>11396</v>
      </c>
      <c r="BI615">
        <v>18</v>
      </c>
      <c r="BJ615" t="s">
        <v>5694</v>
      </c>
      <c r="BK615" t="s">
        <v>104</v>
      </c>
      <c r="BL615" t="s">
        <v>5695</v>
      </c>
      <c r="BM615" t="s">
        <v>11745</v>
      </c>
      <c r="BN615">
        <v>36443466</v>
      </c>
      <c r="BO615" t="s">
        <v>357</v>
      </c>
      <c r="BP615" t="s">
        <v>74</v>
      </c>
      <c r="BQ615" t="s">
        <v>74</v>
      </c>
      <c r="BR615" t="s">
        <v>108</v>
      </c>
      <c r="BS615" t="s">
        <v>11746</v>
      </c>
      <c r="BT615" t="str">
        <f>HYPERLINK("https%3A%2F%2Fwww.webofscience.com%2Fwos%2Fwoscc%2Ffull-record%2FWOS:000889419000002","View Full Record in Web of Science")</f>
        <v>View Full Record in Web of Science</v>
      </c>
    </row>
    <row r="616" spans="1:72" x14ac:dyDescent="0.15">
      <c r="A616" t="s">
        <v>72</v>
      </c>
      <c r="B616" t="s">
        <v>11747</v>
      </c>
      <c r="C616" t="s">
        <v>74</v>
      </c>
      <c r="D616" t="s">
        <v>74</v>
      </c>
      <c r="E616" t="s">
        <v>74</v>
      </c>
      <c r="F616" t="s">
        <v>11748</v>
      </c>
      <c r="G616" t="s">
        <v>74</v>
      </c>
      <c r="H616" t="s">
        <v>74</v>
      </c>
      <c r="I616" t="s">
        <v>11749</v>
      </c>
      <c r="J616" t="s">
        <v>362</v>
      </c>
      <c r="K616" t="s">
        <v>74</v>
      </c>
      <c r="L616" t="s">
        <v>74</v>
      </c>
      <c r="M616" t="s">
        <v>78</v>
      </c>
      <c r="N616" t="s">
        <v>79</v>
      </c>
      <c r="O616" t="s">
        <v>74</v>
      </c>
      <c r="P616" t="s">
        <v>74</v>
      </c>
      <c r="Q616" t="s">
        <v>74</v>
      </c>
      <c r="R616" t="s">
        <v>74</v>
      </c>
      <c r="S616" t="s">
        <v>74</v>
      </c>
      <c r="T616" t="s">
        <v>74</v>
      </c>
      <c r="U616" t="s">
        <v>11750</v>
      </c>
      <c r="V616" t="s">
        <v>11751</v>
      </c>
      <c r="W616" t="s">
        <v>11752</v>
      </c>
      <c r="X616" t="s">
        <v>11753</v>
      </c>
      <c r="Y616" t="s">
        <v>11754</v>
      </c>
      <c r="Z616" t="s">
        <v>11755</v>
      </c>
      <c r="AA616" t="s">
        <v>11756</v>
      </c>
      <c r="AB616" t="s">
        <v>11757</v>
      </c>
      <c r="AC616" t="s">
        <v>11758</v>
      </c>
      <c r="AD616" t="s">
        <v>11759</v>
      </c>
      <c r="AE616" t="s">
        <v>11760</v>
      </c>
      <c r="AF616" t="s">
        <v>74</v>
      </c>
      <c r="AG616">
        <v>89</v>
      </c>
      <c r="AH616">
        <v>1</v>
      </c>
      <c r="AI616">
        <v>1</v>
      </c>
      <c r="AJ616">
        <v>4</v>
      </c>
      <c r="AK616">
        <v>14</v>
      </c>
      <c r="AL616" t="s">
        <v>374</v>
      </c>
      <c r="AM616" t="s">
        <v>375</v>
      </c>
      <c r="AN616" t="s">
        <v>376</v>
      </c>
      <c r="AO616" t="s">
        <v>74</v>
      </c>
      <c r="AP616" t="s">
        <v>377</v>
      </c>
      <c r="AQ616" t="s">
        <v>74</v>
      </c>
      <c r="AR616" t="s">
        <v>378</v>
      </c>
      <c r="AS616" t="s">
        <v>379</v>
      </c>
      <c r="AT616" t="s">
        <v>11688</v>
      </c>
      <c r="AU616">
        <v>2022</v>
      </c>
      <c r="AV616">
        <v>3</v>
      </c>
      <c r="AW616">
        <v>1</v>
      </c>
      <c r="AX616" t="s">
        <v>74</v>
      </c>
      <c r="AY616" t="s">
        <v>74</v>
      </c>
      <c r="AZ616" t="s">
        <v>74</v>
      </c>
      <c r="BA616" t="s">
        <v>74</v>
      </c>
      <c r="BB616" t="s">
        <v>74</v>
      </c>
      <c r="BC616" t="s">
        <v>74</v>
      </c>
      <c r="BD616">
        <v>298</v>
      </c>
      <c r="BE616" t="s">
        <v>11761</v>
      </c>
      <c r="BF616" t="str">
        <f>HYPERLINK("http://dx.doi.org/10.1038/s43247-022-00633-0","http://dx.doi.org/10.1038/s43247-022-00633-0")</f>
        <v>http://dx.doi.org/10.1038/s43247-022-00633-0</v>
      </c>
      <c r="BG616" t="s">
        <v>74</v>
      </c>
      <c r="BH616" t="s">
        <v>74</v>
      </c>
      <c r="BI616">
        <v>9</v>
      </c>
      <c r="BJ616" t="s">
        <v>381</v>
      </c>
      <c r="BK616" t="s">
        <v>104</v>
      </c>
      <c r="BL616" t="s">
        <v>382</v>
      </c>
      <c r="BM616" t="s">
        <v>11762</v>
      </c>
      <c r="BN616" t="s">
        <v>74</v>
      </c>
      <c r="BO616" t="s">
        <v>737</v>
      </c>
      <c r="BP616" t="s">
        <v>74</v>
      </c>
      <c r="BQ616" t="s">
        <v>74</v>
      </c>
      <c r="BR616" t="s">
        <v>108</v>
      </c>
      <c r="BS616" t="s">
        <v>11763</v>
      </c>
      <c r="BT616" t="str">
        <f>HYPERLINK("https%3A%2F%2Fwww.webofscience.com%2Fwos%2Fwoscc%2Ffull-record%2FWOS:000889556000003","View Full Record in Web of Science")</f>
        <v>View Full Record in Web of Science</v>
      </c>
    </row>
    <row r="617" spans="1:72" x14ac:dyDescent="0.15">
      <c r="A617" t="s">
        <v>72</v>
      </c>
      <c r="B617" t="s">
        <v>11764</v>
      </c>
      <c r="C617" t="s">
        <v>74</v>
      </c>
      <c r="D617" t="s">
        <v>74</v>
      </c>
      <c r="E617" t="s">
        <v>74</v>
      </c>
      <c r="F617" t="s">
        <v>11765</v>
      </c>
      <c r="G617" t="s">
        <v>74</v>
      </c>
      <c r="H617" t="s">
        <v>74</v>
      </c>
      <c r="I617" t="s">
        <v>11766</v>
      </c>
      <c r="J617" t="s">
        <v>11767</v>
      </c>
      <c r="K617" t="s">
        <v>74</v>
      </c>
      <c r="L617" t="s">
        <v>74</v>
      </c>
      <c r="M617" t="s">
        <v>78</v>
      </c>
      <c r="N617" t="s">
        <v>79</v>
      </c>
      <c r="O617" t="s">
        <v>74</v>
      </c>
      <c r="P617" t="s">
        <v>74</v>
      </c>
      <c r="Q617" t="s">
        <v>74</v>
      </c>
      <c r="R617" t="s">
        <v>74</v>
      </c>
      <c r="S617" t="s">
        <v>74</v>
      </c>
      <c r="T617" t="s">
        <v>11768</v>
      </c>
      <c r="U617" t="s">
        <v>11769</v>
      </c>
      <c r="V617" t="s">
        <v>11770</v>
      </c>
      <c r="W617" t="s">
        <v>11771</v>
      </c>
      <c r="X617" t="s">
        <v>11772</v>
      </c>
      <c r="Y617" t="s">
        <v>11773</v>
      </c>
      <c r="Z617" t="s">
        <v>11774</v>
      </c>
      <c r="AA617" t="s">
        <v>74</v>
      </c>
      <c r="AB617" t="s">
        <v>74</v>
      </c>
      <c r="AC617" t="s">
        <v>11775</v>
      </c>
      <c r="AD617" t="s">
        <v>11776</v>
      </c>
      <c r="AE617" t="s">
        <v>11777</v>
      </c>
      <c r="AF617" t="s">
        <v>74</v>
      </c>
      <c r="AG617">
        <v>97</v>
      </c>
      <c r="AH617">
        <v>3</v>
      </c>
      <c r="AI617">
        <v>3</v>
      </c>
      <c r="AJ617">
        <v>0</v>
      </c>
      <c r="AK617">
        <v>6</v>
      </c>
      <c r="AL617" t="s">
        <v>703</v>
      </c>
      <c r="AM617" t="s">
        <v>704</v>
      </c>
      <c r="AN617" t="s">
        <v>705</v>
      </c>
      <c r="AO617" t="s">
        <v>11778</v>
      </c>
      <c r="AP617" t="s">
        <v>11779</v>
      </c>
      <c r="AQ617" t="s">
        <v>74</v>
      </c>
      <c r="AR617" t="s">
        <v>11780</v>
      </c>
      <c r="AS617" t="s">
        <v>11781</v>
      </c>
      <c r="AT617" t="s">
        <v>710</v>
      </c>
      <c r="AU617">
        <v>2024</v>
      </c>
      <c r="AV617">
        <v>36</v>
      </c>
      <c r="AW617">
        <v>1</v>
      </c>
      <c r="AX617" t="s">
        <v>74</v>
      </c>
      <c r="AY617" t="s">
        <v>74</v>
      </c>
      <c r="AZ617" t="s">
        <v>74</v>
      </c>
      <c r="BA617" t="s">
        <v>74</v>
      </c>
      <c r="BB617">
        <v>136</v>
      </c>
      <c r="BC617">
        <v>146</v>
      </c>
      <c r="BD617" t="s">
        <v>74</v>
      </c>
      <c r="BE617" t="s">
        <v>11782</v>
      </c>
      <c r="BF617" t="str">
        <f>HYPERLINK("http://dx.doi.org/10.1080/08912963.2022.2150549","http://dx.doi.org/10.1080/08912963.2022.2150549")</f>
        <v>http://dx.doi.org/10.1080/08912963.2022.2150549</v>
      </c>
      <c r="BG617" t="s">
        <v>74</v>
      </c>
      <c r="BH617" t="s">
        <v>11396</v>
      </c>
      <c r="BI617">
        <v>11</v>
      </c>
      <c r="BJ617" t="s">
        <v>11783</v>
      </c>
      <c r="BK617" t="s">
        <v>104</v>
      </c>
      <c r="BL617" t="s">
        <v>11784</v>
      </c>
      <c r="BM617" t="s">
        <v>11785</v>
      </c>
      <c r="BN617" t="s">
        <v>74</v>
      </c>
      <c r="BO617" t="s">
        <v>74</v>
      </c>
      <c r="BP617" t="s">
        <v>74</v>
      </c>
      <c r="BQ617" t="s">
        <v>74</v>
      </c>
      <c r="BR617" t="s">
        <v>108</v>
      </c>
      <c r="BS617" t="s">
        <v>11786</v>
      </c>
      <c r="BT617" t="str">
        <f>HYPERLINK("https%3A%2F%2Fwww.webofscience.com%2Fwos%2Fwoscc%2Ffull-record%2FWOS:000891862700001","View Full Record in Web of Science")</f>
        <v>View Full Record in Web of Science</v>
      </c>
    </row>
    <row r="618" spans="1:72" x14ac:dyDescent="0.15">
      <c r="A618" t="s">
        <v>72</v>
      </c>
      <c r="B618" t="s">
        <v>11787</v>
      </c>
      <c r="C618" t="s">
        <v>74</v>
      </c>
      <c r="D618" t="s">
        <v>74</v>
      </c>
      <c r="E618" t="s">
        <v>74</v>
      </c>
      <c r="F618" t="s">
        <v>11788</v>
      </c>
      <c r="G618" t="s">
        <v>74</v>
      </c>
      <c r="H618" t="s">
        <v>74</v>
      </c>
      <c r="I618" t="s">
        <v>11789</v>
      </c>
      <c r="J618" t="s">
        <v>11790</v>
      </c>
      <c r="K618" t="s">
        <v>74</v>
      </c>
      <c r="L618" t="s">
        <v>74</v>
      </c>
      <c r="M618" t="s">
        <v>78</v>
      </c>
      <c r="N618" t="s">
        <v>79</v>
      </c>
      <c r="O618" t="s">
        <v>74</v>
      </c>
      <c r="P618" t="s">
        <v>74</v>
      </c>
      <c r="Q618" t="s">
        <v>74</v>
      </c>
      <c r="R618" t="s">
        <v>74</v>
      </c>
      <c r="S618" t="s">
        <v>74</v>
      </c>
      <c r="T618" t="s">
        <v>11791</v>
      </c>
      <c r="U618" t="s">
        <v>11792</v>
      </c>
      <c r="V618" t="s">
        <v>11793</v>
      </c>
      <c r="W618" t="s">
        <v>11794</v>
      </c>
      <c r="X618" t="s">
        <v>11795</v>
      </c>
      <c r="Y618" t="s">
        <v>11796</v>
      </c>
      <c r="Z618" t="s">
        <v>11797</v>
      </c>
      <c r="AA618" t="s">
        <v>11798</v>
      </c>
      <c r="AB618" t="s">
        <v>11799</v>
      </c>
      <c r="AC618" t="s">
        <v>11800</v>
      </c>
      <c r="AD618" t="s">
        <v>11801</v>
      </c>
      <c r="AE618" t="s">
        <v>11802</v>
      </c>
      <c r="AF618" t="s">
        <v>74</v>
      </c>
      <c r="AG618">
        <v>87</v>
      </c>
      <c r="AH618">
        <v>2</v>
      </c>
      <c r="AI618">
        <v>3</v>
      </c>
      <c r="AJ618">
        <v>4</v>
      </c>
      <c r="AK618">
        <v>12</v>
      </c>
      <c r="AL618" t="s">
        <v>1791</v>
      </c>
      <c r="AM618" t="s">
        <v>576</v>
      </c>
      <c r="AN618" t="s">
        <v>1792</v>
      </c>
      <c r="AO618" t="s">
        <v>11803</v>
      </c>
      <c r="AP618" t="s">
        <v>11804</v>
      </c>
      <c r="AQ618" t="s">
        <v>74</v>
      </c>
      <c r="AR618" t="s">
        <v>11805</v>
      </c>
      <c r="AS618" t="s">
        <v>11806</v>
      </c>
      <c r="AT618" t="s">
        <v>11807</v>
      </c>
      <c r="AU618">
        <v>2022</v>
      </c>
      <c r="AV618">
        <v>127</v>
      </c>
      <c r="AW618">
        <v>22</v>
      </c>
      <c r="AX618" t="s">
        <v>74</v>
      </c>
      <c r="AY618" t="s">
        <v>74</v>
      </c>
      <c r="AZ618" t="s">
        <v>74</v>
      </c>
      <c r="BA618" t="s">
        <v>74</v>
      </c>
      <c r="BB618" t="s">
        <v>74</v>
      </c>
      <c r="BC618" t="s">
        <v>74</v>
      </c>
      <c r="BD618" t="s">
        <v>11808</v>
      </c>
      <c r="BE618" t="s">
        <v>11809</v>
      </c>
      <c r="BF618" t="str">
        <f>HYPERLINK("http://dx.doi.org/10.1029/2022JD037009","http://dx.doi.org/10.1029/2022JD037009")</f>
        <v>http://dx.doi.org/10.1029/2022JD037009</v>
      </c>
      <c r="BG618" t="s">
        <v>74</v>
      </c>
      <c r="BH618" t="s">
        <v>74</v>
      </c>
      <c r="BI618">
        <v>20</v>
      </c>
      <c r="BJ618" t="s">
        <v>532</v>
      </c>
      <c r="BK618" t="s">
        <v>104</v>
      </c>
      <c r="BL618" t="s">
        <v>532</v>
      </c>
      <c r="BM618" t="s">
        <v>11810</v>
      </c>
      <c r="BN618" t="s">
        <v>74</v>
      </c>
      <c r="BO618" t="s">
        <v>219</v>
      </c>
      <c r="BP618" t="s">
        <v>74</v>
      </c>
      <c r="BQ618" t="s">
        <v>74</v>
      </c>
      <c r="BR618" t="s">
        <v>108</v>
      </c>
      <c r="BS618" t="s">
        <v>11811</v>
      </c>
      <c r="BT618" t="str">
        <f>HYPERLINK("https%3A%2F%2Fwww.webofscience.com%2Fwos%2Fwoscc%2Ffull-record%2FWOS:000934023800001","View Full Record in Web of Science")</f>
        <v>View Full Record in Web of Science</v>
      </c>
    </row>
    <row r="619" spans="1:72" x14ac:dyDescent="0.15">
      <c r="A619" t="s">
        <v>72</v>
      </c>
      <c r="B619" t="s">
        <v>11812</v>
      </c>
      <c r="C619" t="s">
        <v>74</v>
      </c>
      <c r="D619" t="s">
        <v>74</v>
      </c>
      <c r="E619" t="s">
        <v>74</v>
      </c>
      <c r="F619" t="s">
        <v>11813</v>
      </c>
      <c r="G619" t="s">
        <v>74</v>
      </c>
      <c r="H619" t="s">
        <v>74</v>
      </c>
      <c r="I619" t="s">
        <v>11814</v>
      </c>
      <c r="J619" t="s">
        <v>9118</v>
      </c>
      <c r="K619" t="s">
        <v>74</v>
      </c>
      <c r="L619" t="s">
        <v>74</v>
      </c>
      <c r="M619" t="s">
        <v>78</v>
      </c>
      <c r="N619" t="s">
        <v>79</v>
      </c>
      <c r="O619" t="s">
        <v>74</v>
      </c>
      <c r="P619" t="s">
        <v>74</v>
      </c>
      <c r="Q619" t="s">
        <v>74</v>
      </c>
      <c r="R619" t="s">
        <v>74</v>
      </c>
      <c r="S619" t="s">
        <v>74</v>
      </c>
      <c r="T619" t="s">
        <v>11815</v>
      </c>
      <c r="U619" t="s">
        <v>11816</v>
      </c>
      <c r="V619" t="s">
        <v>11817</v>
      </c>
      <c r="W619" t="s">
        <v>11818</v>
      </c>
      <c r="X619" t="s">
        <v>11819</v>
      </c>
      <c r="Y619" t="s">
        <v>11820</v>
      </c>
      <c r="Z619" t="s">
        <v>11821</v>
      </c>
      <c r="AA619" t="s">
        <v>11822</v>
      </c>
      <c r="AB619" t="s">
        <v>11823</v>
      </c>
      <c r="AC619" t="s">
        <v>11824</v>
      </c>
      <c r="AD619" t="s">
        <v>11825</v>
      </c>
      <c r="AE619" t="s">
        <v>11826</v>
      </c>
      <c r="AF619" t="s">
        <v>74</v>
      </c>
      <c r="AG619">
        <v>73</v>
      </c>
      <c r="AH619">
        <v>4</v>
      </c>
      <c r="AI619">
        <v>4</v>
      </c>
      <c r="AJ619">
        <v>7</v>
      </c>
      <c r="AK619">
        <v>17</v>
      </c>
      <c r="AL619" t="s">
        <v>703</v>
      </c>
      <c r="AM619" t="s">
        <v>704</v>
      </c>
      <c r="AN619" t="s">
        <v>705</v>
      </c>
      <c r="AO619" t="s">
        <v>9127</v>
      </c>
      <c r="AP619" t="s">
        <v>9128</v>
      </c>
      <c r="AQ619" t="s">
        <v>74</v>
      </c>
      <c r="AR619" t="s">
        <v>9129</v>
      </c>
      <c r="AS619" t="s">
        <v>9130</v>
      </c>
      <c r="AT619" t="s">
        <v>9078</v>
      </c>
      <c r="AU619">
        <v>2022</v>
      </c>
      <c r="AV619">
        <v>15</v>
      </c>
      <c r="AW619" t="s">
        <v>9131</v>
      </c>
      <c r="AX619" t="s">
        <v>74</v>
      </c>
      <c r="AY619" t="s">
        <v>74</v>
      </c>
      <c r="AZ619" t="s">
        <v>754</v>
      </c>
      <c r="BA619" t="s">
        <v>74</v>
      </c>
      <c r="BB619">
        <v>199</v>
      </c>
      <c r="BC619">
        <v>212</v>
      </c>
      <c r="BD619" t="s">
        <v>74</v>
      </c>
      <c r="BE619" t="s">
        <v>11827</v>
      </c>
      <c r="BF619" t="str">
        <f>HYPERLINK("http://dx.doi.org/10.1080/17550874.2022.2145579","http://dx.doi.org/10.1080/17550874.2022.2145579")</f>
        <v>http://dx.doi.org/10.1080/17550874.2022.2145579</v>
      </c>
      <c r="BG619" t="s">
        <v>74</v>
      </c>
      <c r="BH619" t="s">
        <v>11396</v>
      </c>
      <c r="BI619">
        <v>14</v>
      </c>
      <c r="BJ619" t="s">
        <v>507</v>
      </c>
      <c r="BK619" t="s">
        <v>104</v>
      </c>
      <c r="BL619" t="s">
        <v>507</v>
      </c>
      <c r="BM619" t="s">
        <v>9133</v>
      </c>
      <c r="BN619" t="s">
        <v>74</v>
      </c>
      <c r="BO619" t="s">
        <v>74</v>
      </c>
      <c r="BP619" t="s">
        <v>74</v>
      </c>
      <c r="BQ619" t="s">
        <v>74</v>
      </c>
      <c r="BR619" t="s">
        <v>108</v>
      </c>
      <c r="BS619" t="s">
        <v>11828</v>
      </c>
      <c r="BT619" t="str">
        <f>HYPERLINK("https%3A%2F%2Fwww.webofscience.com%2Fwos%2Fwoscc%2Ffull-record%2FWOS:000891085200001","View Full Record in Web of Science")</f>
        <v>View Full Record in Web of Science</v>
      </c>
    </row>
    <row r="620" spans="1:72" x14ac:dyDescent="0.15">
      <c r="A620" t="s">
        <v>72</v>
      </c>
      <c r="B620" t="s">
        <v>11829</v>
      </c>
      <c r="C620" t="s">
        <v>74</v>
      </c>
      <c r="D620" t="s">
        <v>74</v>
      </c>
      <c r="E620" t="s">
        <v>74</v>
      </c>
      <c r="F620" t="s">
        <v>11830</v>
      </c>
      <c r="G620" t="s">
        <v>74</v>
      </c>
      <c r="H620" t="s">
        <v>74</v>
      </c>
      <c r="I620" t="s">
        <v>11831</v>
      </c>
      <c r="J620" t="s">
        <v>11790</v>
      </c>
      <c r="K620" t="s">
        <v>74</v>
      </c>
      <c r="L620" t="s">
        <v>74</v>
      </c>
      <c r="M620" t="s">
        <v>78</v>
      </c>
      <c r="N620" t="s">
        <v>79</v>
      </c>
      <c r="O620" t="s">
        <v>74</v>
      </c>
      <c r="P620" t="s">
        <v>74</v>
      </c>
      <c r="Q620" t="s">
        <v>74</v>
      </c>
      <c r="R620" t="s">
        <v>74</v>
      </c>
      <c r="S620" t="s">
        <v>74</v>
      </c>
      <c r="T620" t="s">
        <v>11832</v>
      </c>
      <c r="U620" t="s">
        <v>11833</v>
      </c>
      <c r="V620" t="s">
        <v>11834</v>
      </c>
      <c r="W620" t="s">
        <v>11835</v>
      </c>
      <c r="X620" t="s">
        <v>11836</v>
      </c>
      <c r="Y620" t="s">
        <v>11837</v>
      </c>
      <c r="Z620" t="s">
        <v>11838</v>
      </c>
      <c r="AA620" t="s">
        <v>11839</v>
      </c>
      <c r="AB620" t="s">
        <v>11840</v>
      </c>
      <c r="AC620" t="s">
        <v>11841</v>
      </c>
      <c r="AD620" t="s">
        <v>10258</v>
      </c>
      <c r="AE620" t="s">
        <v>74</v>
      </c>
      <c r="AF620" t="s">
        <v>74</v>
      </c>
      <c r="AG620">
        <v>75</v>
      </c>
      <c r="AH620">
        <v>1</v>
      </c>
      <c r="AI620">
        <v>1</v>
      </c>
      <c r="AJ620">
        <v>4</v>
      </c>
      <c r="AK620">
        <v>10</v>
      </c>
      <c r="AL620" t="s">
        <v>1791</v>
      </c>
      <c r="AM620" t="s">
        <v>576</v>
      </c>
      <c r="AN620" t="s">
        <v>1792</v>
      </c>
      <c r="AO620" t="s">
        <v>11803</v>
      </c>
      <c r="AP620" t="s">
        <v>11804</v>
      </c>
      <c r="AQ620" t="s">
        <v>74</v>
      </c>
      <c r="AR620" t="s">
        <v>11805</v>
      </c>
      <c r="AS620" t="s">
        <v>11806</v>
      </c>
      <c r="AT620" t="s">
        <v>11807</v>
      </c>
      <c r="AU620">
        <v>2022</v>
      </c>
      <c r="AV620">
        <v>127</v>
      </c>
      <c r="AW620">
        <v>22</v>
      </c>
      <c r="AX620" t="s">
        <v>74</v>
      </c>
      <c r="AY620" t="s">
        <v>74</v>
      </c>
      <c r="AZ620" t="s">
        <v>74</v>
      </c>
      <c r="BA620" t="s">
        <v>74</v>
      </c>
      <c r="BB620" t="s">
        <v>74</v>
      </c>
      <c r="BC620" t="s">
        <v>74</v>
      </c>
      <c r="BD620" t="s">
        <v>11842</v>
      </c>
      <c r="BE620" t="s">
        <v>11843</v>
      </c>
      <c r="BF620" t="str">
        <f>HYPERLINK("http://dx.doi.org/10.1029/2022JD036694","http://dx.doi.org/10.1029/2022JD036694")</f>
        <v>http://dx.doi.org/10.1029/2022JD036694</v>
      </c>
      <c r="BG620" t="s">
        <v>74</v>
      </c>
      <c r="BH620" t="s">
        <v>74</v>
      </c>
      <c r="BI620">
        <v>18</v>
      </c>
      <c r="BJ620" t="s">
        <v>532</v>
      </c>
      <c r="BK620" t="s">
        <v>104</v>
      </c>
      <c r="BL620" t="s">
        <v>532</v>
      </c>
      <c r="BM620" t="s">
        <v>11844</v>
      </c>
      <c r="BN620" t="s">
        <v>74</v>
      </c>
      <c r="BO620" t="s">
        <v>5191</v>
      </c>
      <c r="BP620" t="s">
        <v>74</v>
      </c>
      <c r="BQ620" t="s">
        <v>74</v>
      </c>
      <c r="BR620" t="s">
        <v>108</v>
      </c>
      <c r="BS620" t="s">
        <v>11845</v>
      </c>
      <c r="BT620" t="str">
        <f>HYPERLINK("https%3A%2F%2Fwww.webofscience.com%2Fwos%2Fwoscc%2Ffull-record%2FWOS:000888590200001","View Full Record in Web of Science")</f>
        <v>View Full Record in Web of Science</v>
      </c>
    </row>
    <row r="621" spans="1:72" x14ac:dyDescent="0.15">
      <c r="A621" t="s">
        <v>72</v>
      </c>
      <c r="B621" t="s">
        <v>11846</v>
      </c>
      <c r="C621" t="s">
        <v>74</v>
      </c>
      <c r="D621" t="s">
        <v>74</v>
      </c>
      <c r="E621" t="s">
        <v>74</v>
      </c>
      <c r="F621" t="s">
        <v>11847</v>
      </c>
      <c r="G621" t="s">
        <v>74</v>
      </c>
      <c r="H621" t="s">
        <v>74</v>
      </c>
      <c r="I621" t="s">
        <v>11848</v>
      </c>
      <c r="J621" t="s">
        <v>11849</v>
      </c>
      <c r="K621" t="s">
        <v>74</v>
      </c>
      <c r="L621" t="s">
        <v>74</v>
      </c>
      <c r="M621" t="s">
        <v>78</v>
      </c>
      <c r="N621" t="s">
        <v>79</v>
      </c>
      <c r="O621" t="s">
        <v>74</v>
      </c>
      <c r="P621" t="s">
        <v>74</v>
      </c>
      <c r="Q621" t="s">
        <v>74</v>
      </c>
      <c r="R621" t="s">
        <v>74</v>
      </c>
      <c r="S621" t="s">
        <v>74</v>
      </c>
      <c r="T621" t="s">
        <v>11850</v>
      </c>
      <c r="U621" t="s">
        <v>11851</v>
      </c>
      <c r="V621" t="s">
        <v>11852</v>
      </c>
      <c r="W621" t="s">
        <v>11853</v>
      </c>
      <c r="X621" t="s">
        <v>11854</v>
      </c>
      <c r="Y621" t="s">
        <v>11855</v>
      </c>
      <c r="Z621" t="s">
        <v>11856</v>
      </c>
      <c r="AA621" t="s">
        <v>74</v>
      </c>
      <c r="AB621" t="s">
        <v>11857</v>
      </c>
      <c r="AC621" t="s">
        <v>11858</v>
      </c>
      <c r="AD621" t="s">
        <v>11859</v>
      </c>
      <c r="AE621" t="s">
        <v>11860</v>
      </c>
      <c r="AF621" t="s">
        <v>74</v>
      </c>
      <c r="AG621">
        <v>29</v>
      </c>
      <c r="AH621">
        <v>4</v>
      </c>
      <c r="AI621">
        <v>4</v>
      </c>
      <c r="AJ621">
        <v>6</v>
      </c>
      <c r="AK621">
        <v>16</v>
      </c>
      <c r="AL621" t="s">
        <v>297</v>
      </c>
      <c r="AM621" t="s">
        <v>298</v>
      </c>
      <c r="AN621" t="s">
        <v>299</v>
      </c>
      <c r="AO621" t="s">
        <v>11861</v>
      </c>
      <c r="AP621" t="s">
        <v>11862</v>
      </c>
      <c r="AQ621" t="s">
        <v>74</v>
      </c>
      <c r="AR621" t="s">
        <v>11863</v>
      </c>
      <c r="AS621" t="s">
        <v>11864</v>
      </c>
      <c r="AT621" t="s">
        <v>244</v>
      </c>
      <c r="AU621">
        <v>2023</v>
      </c>
      <c r="AV621">
        <v>30</v>
      </c>
      <c r="AW621">
        <v>2</v>
      </c>
      <c r="AX621" t="s">
        <v>74</v>
      </c>
      <c r="AY621" t="s">
        <v>74</v>
      </c>
      <c r="AZ621" t="s">
        <v>74</v>
      </c>
      <c r="BA621" t="s">
        <v>74</v>
      </c>
      <c r="BB621">
        <v>154</v>
      </c>
      <c r="BC621">
        <v>160</v>
      </c>
      <c r="BD621" t="s">
        <v>74</v>
      </c>
      <c r="BE621" t="s">
        <v>11865</v>
      </c>
      <c r="BF621" t="str">
        <f>HYPERLINK("http://dx.doi.org/10.1111/fme.12607","http://dx.doi.org/10.1111/fme.12607")</f>
        <v>http://dx.doi.org/10.1111/fme.12607</v>
      </c>
      <c r="BG621" t="s">
        <v>74</v>
      </c>
      <c r="BH621" t="s">
        <v>11396</v>
      </c>
      <c r="BI621">
        <v>7</v>
      </c>
      <c r="BJ621" t="s">
        <v>246</v>
      </c>
      <c r="BK621" t="s">
        <v>104</v>
      </c>
      <c r="BL621" t="s">
        <v>246</v>
      </c>
      <c r="BM621" t="s">
        <v>11866</v>
      </c>
      <c r="BN621" t="s">
        <v>74</v>
      </c>
      <c r="BO621" t="s">
        <v>107</v>
      </c>
      <c r="BP621" t="s">
        <v>74</v>
      </c>
      <c r="BQ621" t="s">
        <v>74</v>
      </c>
      <c r="BR621" t="s">
        <v>108</v>
      </c>
      <c r="BS621" t="s">
        <v>11867</v>
      </c>
      <c r="BT621" t="str">
        <f>HYPERLINK("https%3A%2F%2Fwww.webofscience.com%2Fwos%2Fwoscc%2Ffull-record%2FWOS:000891062500001","View Full Record in Web of Science")</f>
        <v>View Full Record in Web of Science</v>
      </c>
    </row>
    <row r="622" spans="1:72" x14ac:dyDescent="0.15">
      <c r="A622" t="s">
        <v>72</v>
      </c>
      <c r="B622" t="s">
        <v>11868</v>
      </c>
      <c r="C622" t="s">
        <v>74</v>
      </c>
      <c r="D622" t="s">
        <v>74</v>
      </c>
      <c r="E622" t="s">
        <v>74</v>
      </c>
      <c r="F622" t="s">
        <v>11869</v>
      </c>
      <c r="G622" t="s">
        <v>74</v>
      </c>
      <c r="H622" t="s">
        <v>74</v>
      </c>
      <c r="I622" t="s">
        <v>11870</v>
      </c>
      <c r="J622" t="s">
        <v>11871</v>
      </c>
      <c r="K622" t="s">
        <v>74</v>
      </c>
      <c r="L622" t="s">
        <v>74</v>
      </c>
      <c r="M622" t="s">
        <v>78</v>
      </c>
      <c r="N622" t="s">
        <v>79</v>
      </c>
      <c r="O622" t="s">
        <v>74</v>
      </c>
      <c r="P622" t="s">
        <v>74</v>
      </c>
      <c r="Q622" t="s">
        <v>74</v>
      </c>
      <c r="R622" t="s">
        <v>74</v>
      </c>
      <c r="S622" t="s">
        <v>74</v>
      </c>
      <c r="T622" t="s">
        <v>11872</v>
      </c>
      <c r="U622" t="s">
        <v>11873</v>
      </c>
      <c r="V622" t="s">
        <v>11874</v>
      </c>
      <c r="W622" t="s">
        <v>11875</v>
      </c>
      <c r="X622" t="s">
        <v>11876</v>
      </c>
      <c r="Y622" t="s">
        <v>11877</v>
      </c>
      <c r="Z622" t="s">
        <v>11878</v>
      </c>
      <c r="AA622" t="s">
        <v>11879</v>
      </c>
      <c r="AB622" t="s">
        <v>11880</v>
      </c>
      <c r="AC622" t="s">
        <v>11881</v>
      </c>
      <c r="AD622" t="s">
        <v>11882</v>
      </c>
      <c r="AE622" t="s">
        <v>11883</v>
      </c>
      <c r="AF622" t="s">
        <v>74</v>
      </c>
      <c r="AG622">
        <v>65</v>
      </c>
      <c r="AH622">
        <v>4</v>
      </c>
      <c r="AI622">
        <v>4</v>
      </c>
      <c r="AJ622">
        <v>9</v>
      </c>
      <c r="AK622">
        <v>21</v>
      </c>
      <c r="AL622" t="s">
        <v>297</v>
      </c>
      <c r="AM622" t="s">
        <v>298</v>
      </c>
      <c r="AN622" t="s">
        <v>299</v>
      </c>
      <c r="AO622" t="s">
        <v>11884</v>
      </c>
      <c r="AP622" t="s">
        <v>11885</v>
      </c>
      <c r="AQ622" t="s">
        <v>74</v>
      </c>
      <c r="AR622" t="s">
        <v>11886</v>
      </c>
      <c r="AS622" t="s">
        <v>11887</v>
      </c>
      <c r="AT622" t="s">
        <v>276</v>
      </c>
      <c r="AU622">
        <v>2023</v>
      </c>
      <c r="AV622">
        <v>32</v>
      </c>
      <c r="AW622">
        <v>1</v>
      </c>
      <c r="AX622" t="s">
        <v>74</v>
      </c>
      <c r="AY622" t="s">
        <v>74</v>
      </c>
      <c r="AZ622" t="s">
        <v>74</v>
      </c>
      <c r="BA622" t="s">
        <v>74</v>
      </c>
      <c r="BB622">
        <v>132</v>
      </c>
      <c r="BC622">
        <v>144</v>
      </c>
      <c r="BD622" t="s">
        <v>74</v>
      </c>
      <c r="BE622" t="s">
        <v>11888</v>
      </c>
      <c r="BF622" t="str">
        <f>HYPERLINK("http://dx.doi.org/10.1111/geb.13607","http://dx.doi.org/10.1111/geb.13607")</f>
        <v>http://dx.doi.org/10.1111/geb.13607</v>
      </c>
      <c r="BG622" t="s">
        <v>74</v>
      </c>
      <c r="BH622" t="s">
        <v>11396</v>
      </c>
      <c r="BI622">
        <v>13</v>
      </c>
      <c r="BJ622" t="s">
        <v>11889</v>
      </c>
      <c r="BK622" t="s">
        <v>104</v>
      </c>
      <c r="BL622" t="s">
        <v>5819</v>
      </c>
      <c r="BM622" t="s">
        <v>11890</v>
      </c>
      <c r="BN622" t="s">
        <v>74</v>
      </c>
      <c r="BO622" t="s">
        <v>107</v>
      </c>
      <c r="BP622" t="s">
        <v>74</v>
      </c>
      <c r="BQ622" t="s">
        <v>74</v>
      </c>
      <c r="BR622" t="s">
        <v>108</v>
      </c>
      <c r="BS622" t="s">
        <v>11891</v>
      </c>
      <c r="BT622" t="str">
        <f>HYPERLINK("https%3A%2F%2Fwww.webofscience.com%2Fwos%2Fwoscc%2Ffull-record%2FWOS:000891070100001","View Full Record in Web of Science")</f>
        <v>View Full Record in Web of Science</v>
      </c>
    </row>
    <row r="623" spans="1:72" x14ac:dyDescent="0.15">
      <c r="A623" t="s">
        <v>72</v>
      </c>
      <c r="B623" t="s">
        <v>11892</v>
      </c>
      <c r="C623" t="s">
        <v>74</v>
      </c>
      <c r="D623" t="s">
        <v>74</v>
      </c>
      <c r="E623" t="s">
        <v>74</v>
      </c>
      <c r="F623" t="s">
        <v>11893</v>
      </c>
      <c r="G623" t="s">
        <v>74</v>
      </c>
      <c r="H623" t="s">
        <v>74</v>
      </c>
      <c r="I623" t="s">
        <v>11894</v>
      </c>
      <c r="J623" t="s">
        <v>11895</v>
      </c>
      <c r="K623" t="s">
        <v>74</v>
      </c>
      <c r="L623" t="s">
        <v>74</v>
      </c>
      <c r="M623" t="s">
        <v>78</v>
      </c>
      <c r="N623" t="s">
        <v>79</v>
      </c>
      <c r="O623" t="s">
        <v>74</v>
      </c>
      <c r="P623" t="s">
        <v>74</v>
      </c>
      <c r="Q623" t="s">
        <v>74</v>
      </c>
      <c r="R623" t="s">
        <v>74</v>
      </c>
      <c r="S623" t="s">
        <v>74</v>
      </c>
      <c r="T623" t="s">
        <v>11896</v>
      </c>
      <c r="U623" t="s">
        <v>11897</v>
      </c>
      <c r="V623" t="s">
        <v>11898</v>
      </c>
      <c r="W623" t="s">
        <v>11899</v>
      </c>
      <c r="X623" t="s">
        <v>11900</v>
      </c>
      <c r="Y623" t="s">
        <v>11901</v>
      </c>
      <c r="Z623" t="s">
        <v>11902</v>
      </c>
      <c r="AA623" t="s">
        <v>11903</v>
      </c>
      <c r="AB623" t="s">
        <v>11904</v>
      </c>
      <c r="AC623" t="s">
        <v>11905</v>
      </c>
      <c r="AD623" t="s">
        <v>11906</v>
      </c>
      <c r="AE623" t="s">
        <v>11907</v>
      </c>
      <c r="AF623" t="s">
        <v>74</v>
      </c>
      <c r="AG623">
        <v>18</v>
      </c>
      <c r="AH623">
        <v>0</v>
      </c>
      <c r="AI623">
        <v>0</v>
      </c>
      <c r="AJ623">
        <v>1</v>
      </c>
      <c r="AK623">
        <v>1</v>
      </c>
      <c r="AL623" t="s">
        <v>207</v>
      </c>
      <c r="AM623" t="s">
        <v>208</v>
      </c>
      <c r="AN623" t="s">
        <v>209</v>
      </c>
      <c r="AO623" t="s">
        <v>11908</v>
      </c>
      <c r="AP623" t="s">
        <v>74</v>
      </c>
      <c r="AQ623" t="s">
        <v>74</v>
      </c>
      <c r="AR623" t="s">
        <v>11909</v>
      </c>
      <c r="AS623" t="s">
        <v>11910</v>
      </c>
      <c r="AT623" t="s">
        <v>9001</v>
      </c>
      <c r="AU623">
        <v>2022</v>
      </c>
      <c r="AV623">
        <v>52</v>
      </c>
      <c r="AW623" t="s">
        <v>74</v>
      </c>
      <c r="AX623" t="s">
        <v>74</v>
      </c>
      <c r="AY623" t="s">
        <v>74</v>
      </c>
      <c r="AZ623" t="s">
        <v>74</v>
      </c>
      <c r="BA623" t="s">
        <v>74</v>
      </c>
      <c r="BB623" t="s">
        <v>74</v>
      </c>
      <c r="BC623" t="s">
        <v>74</v>
      </c>
      <c r="BD623">
        <v>100716</v>
      </c>
      <c r="BE623" t="s">
        <v>11911</v>
      </c>
      <c r="BF623" t="str">
        <f>HYPERLINK("http://dx.doi.org/10.1016/j.spasta.2022.100716","http://dx.doi.org/10.1016/j.spasta.2022.100716")</f>
        <v>http://dx.doi.org/10.1016/j.spasta.2022.100716</v>
      </c>
      <c r="BG623" t="s">
        <v>74</v>
      </c>
      <c r="BH623" t="s">
        <v>11396</v>
      </c>
      <c r="BI623">
        <v>26</v>
      </c>
      <c r="BJ623" t="s">
        <v>11912</v>
      </c>
      <c r="BK623" t="s">
        <v>104</v>
      </c>
      <c r="BL623" t="s">
        <v>11913</v>
      </c>
      <c r="BM623" t="s">
        <v>11914</v>
      </c>
      <c r="BN623" t="s">
        <v>74</v>
      </c>
      <c r="BO623" t="s">
        <v>74</v>
      </c>
      <c r="BP623" t="s">
        <v>74</v>
      </c>
      <c r="BQ623" t="s">
        <v>74</v>
      </c>
      <c r="BR623" t="s">
        <v>108</v>
      </c>
      <c r="BS623" t="s">
        <v>11915</v>
      </c>
      <c r="BT623" t="str">
        <f>HYPERLINK("https%3A%2F%2Fwww.webofscience.com%2Fwos%2Fwoscc%2Ffull-record%2FWOS:000900060500005","View Full Record in Web of Science")</f>
        <v>View Full Record in Web of Science</v>
      </c>
    </row>
    <row r="624" spans="1:72" x14ac:dyDescent="0.15">
      <c r="A624" t="s">
        <v>72</v>
      </c>
      <c r="B624" t="s">
        <v>11916</v>
      </c>
      <c r="C624" t="s">
        <v>74</v>
      </c>
      <c r="D624" t="s">
        <v>74</v>
      </c>
      <c r="E624" t="s">
        <v>74</v>
      </c>
      <c r="F624" t="s">
        <v>11917</v>
      </c>
      <c r="G624" t="s">
        <v>74</v>
      </c>
      <c r="H624" t="s">
        <v>74</v>
      </c>
      <c r="I624" t="s">
        <v>11918</v>
      </c>
      <c r="J624" t="s">
        <v>11919</v>
      </c>
      <c r="K624" t="s">
        <v>74</v>
      </c>
      <c r="L624" t="s">
        <v>74</v>
      </c>
      <c r="M624" t="s">
        <v>78</v>
      </c>
      <c r="N624" t="s">
        <v>79</v>
      </c>
      <c r="O624" t="s">
        <v>74</v>
      </c>
      <c r="P624" t="s">
        <v>74</v>
      </c>
      <c r="Q624" t="s">
        <v>74</v>
      </c>
      <c r="R624" t="s">
        <v>74</v>
      </c>
      <c r="S624" t="s">
        <v>74</v>
      </c>
      <c r="T624" t="s">
        <v>11920</v>
      </c>
      <c r="U624" t="s">
        <v>11921</v>
      </c>
      <c r="V624" t="s">
        <v>11922</v>
      </c>
      <c r="W624" t="s">
        <v>11923</v>
      </c>
      <c r="X624" t="s">
        <v>11924</v>
      </c>
      <c r="Y624" t="s">
        <v>11925</v>
      </c>
      <c r="Z624" t="s">
        <v>9014</v>
      </c>
      <c r="AA624" t="s">
        <v>11926</v>
      </c>
      <c r="AB624" t="s">
        <v>11927</v>
      </c>
      <c r="AC624" t="s">
        <v>11928</v>
      </c>
      <c r="AD624" t="s">
        <v>11929</v>
      </c>
      <c r="AE624" t="s">
        <v>11930</v>
      </c>
      <c r="AF624" t="s">
        <v>74</v>
      </c>
      <c r="AG624">
        <v>55</v>
      </c>
      <c r="AH624">
        <v>0</v>
      </c>
      <c r="AI624">
        <v>0</v>
      </c>
      <c r="AJ624">
        <v>3</v>
      </c>
      <c r="AK624">
        <v>9</v>
      </c>
      <c r="AL624" t="s">
        <v>269</v>
      </c>
      <c r="AM624" t="s">
        <v>93</v>
      </c>
      <c r="AN624" t="s">
        <v>397</v>
      </c>
      <c r="AO624" t="s">
        <v>11931</v>
      </c>
      <c r="AP624" t="s">
        <v>11932</v>
      </c>
      <c r="AQ624" t="s">
        <v>74</v>
      </c>
      <c r="AR624" t="s">
        <v>11933</v>
      </c>
      <c r="AS624" t="s">
        <v>11934</v>
      </c>
      <c r="AT624" t="s">
        <v>214</v>
      </c>
      <c r="AU624">
        <v>2023</v>
      </c>
      <c r="AV624">
        <v>54</v>
      </c>
      <c r="AW624">
        <v>1</v>
      </c>
      <c r="AX624" t="s">
        <v>74</v>
      </c>
      <c r="AY624" t="s">
        <v>74</v>
      </c>
      <c r="AZ624" t="s">
        <v>74</v>
      </c>
      <c r="BA624" t="s">
        <v>74</v>
      </c>
      <c r="BB624">
        <v>213</v>
      </c>
      <c r="BC624">
        <v>222</v>
      </c>
      <c r="BD624" t="s">
        <v>74</v>
      </c>
      <c r="BE624" t="s">
        <v>11935</v>
      </c>
      <c r="BF624" t="str">
        <f>HYPERLINK("http://dx.doi.org/10.1007/s42770-022-00869-0","http://dx.doi.org/10.1007/s42770-022-00869-0")</f>
        <v>http://dx.doi.org/10.1007/s42770-022-00869-0</v>
      </c>
      <c r="BG624" t="s">
        <v>74</v>
      </c>
      <c r="BH624" t="s">
        <v>11396</v>
      </c>
      <c r="BI624">
        <v>10</v>
      </c>
      <c r="BJ624" t="s">
        <v>1699</v>
      </c>
      <c r="BK624" t="s">
        <v>104</v>
      </c>
      <c r="BL624" t="s">
        <v>1699</v>
      </c>
      <c r="BM624" t="s">
        <v>11936</v>
      </c>
      <c r="BN624">
        <v>36435957</v>
      </c>
      <c r="BO624" t="s">
        <v>3561</v>
      </c>
      <c r="BP624" t="s">
        <v>74</v>
      </c>
      <c r="BQ624" t="s">
        <v>74</v>
      </c>
      <c r="BR624" t="s">
        <v>108</v>
      </c>
      <c r="BS624" t="s">
        <v>11937</v>
      </c>
      <c r="BT624" t="str">
        <f>HYPERLINK("https%3A%2F%2Fwww.webofscience.com%2Fwos%2Fwoscc%2Ffull-record%2FWOS:000888789300001","View Full Record in Web of Science")</f>
        <v>View Full Record in Web of Science</v>
      </c>
    </row>
    <row r="625" spans="1:72" x14ac:dyDescent="0.15">
      <c r="A625" t="s">
        <v>72</v>
      </c>
      <c r="B625" t="s">
        <v>11938</v>
      </c>
      <c r="C625" t="s">
        <v>74</v>
      </c>
      <c r="D625" t="s">
        <v>74</v>
      </c>
      <c r="E625" t="s">
        <v>74</v>
      </c>
      <c r="F625" t="s">
        <v>11939</v>
      </c>
      <c r="G625" t="s">
        <v>74</v>
      </c>
      <c r="H625" t="s">
        <v>74</v>
      </c>
      <c r="I625" t="s">
        <v>11940</v>
      </c>
      <c r="J625" t="s">
        <v>11941</v>
      </c>
      <c r="K625" t="s">
        <v>74</v>
      </c>
      <c r="L625" t="s">
        <v>74</v>
      </c>
      <c r="M625" t="s">
        <v>78</v>
      </c>
      <c r="N625" t="s">
        <v>79</v>
      </c>
      <c r="O625" t="s">
        <v>74</v>
      </c>
      <c r="P625" t="s">
        <v>74</v>
      </c>
      <c r="Q625" t="s">
        <v>74</v>
      </c>
      <c r="R625" t="s">
        <v>74</v>
      </c>
      <c r="S625" t="s">
        <v>74</v>
      </c>
      <c r="T625" t="s">
        <v>11942</v>
      </c>
      <c r="U625" t="s">
        <v>11943</v>
      </c>
      <c r="V625" t="s">
        <v>11944</v>
      </c>
      <c r="W625" t="s">
        <v>11945</v>
      </c>
      <c r="X625" t="s">
        <v>11946</v>
      </c>
      <c r="Y625" t="s">
        <v>11947</v>
      </c>
      <c r="Z625" t="s">
        <v>11948</v>
      </c>
      <c r="AA625" t="s">
        <v>11949</v>
      </c>
      <c r="AB625" t="s">
        <v>11950</v>
      </c>
      <c r="AC625" t="s">
        <v>74</v>
      </c>
      <c r="AD625" t="s">
        <v>74</v>
      </c>
      <c r="AE625" t="s">
        <v>74</v>
      </c>
      <c r="AF625" t="s">
        <v>74</v>
      </c>
      <c r="AG625">
        <v>27</v>
      </c>
      <c r="AH625">
        <v>1</v>
      </c>
      <c r="AI625">
        <v>1</v>
      </c>
      <c r="AJ625">
        <v>4</v>
      </c>
      <c r="AK625">
        <v>12</v>
      </c>
      <c r="AL625" t="s">
        <v>297</v>
      </c>
      <c r="AM625" t="s">
        <v>298</v>
      </c>
      <c r="AN625" t="s">
        <v>299</v>
      </c>
      <c r="AO625" t="s">
        <v>11951</v>
      </c>
      <c r="AP625" t="s">
        <v>11952</v>
      </c>
      <c r="AQ625" t="s">
        <v>74</v>
      </c>
      <c r="AR625" t="s">
        <v>11953</v>
      </c>
      <c r="AS625" t="s">
        <v>11954</v>
      </c>
      <c r="AT625" t="s">
        <v>244</v>
      </c>
      <c r="AU625">
        <v>2023</v>
      </c>
      <c r="AV625">
        <v>39</v>
      </c>
      <c r="AW625">
        <v>2</v>
      </c>
      <c r="AX625" t="s">
        <v>74</v>
      </c>
      <c r="AY625" t="s">
        <v>74</v>
      </c>
      <c r="AZ625" t="s">
        <v>74</v>
      </c>
      <c r="BA625" t="s">
        <v>74</v>
      </c>
      <c r="BB625">
        <v>576</v>
      </c>
      <c r="BC625">
        <v>593</v>
      </c>
      <c r="BD625" t="s">
        <v>74</v>
      </c>
      <c r="BE625" t="s">
        <v>11955</v>
      </c>
      <c r="BF625" t="str">
        <f>HYPERLINK("http://dx.doi.org/10.1111/mms.12990","http://dx.doi.org/10.1111/mms.12990")</f>
        <v>http://dx.doi.org/10.1111/mms.12990</v>
      </c>
      <c r="BG625" t="s">
        <v>74</v>
      </c>
      <c r="BH625" t="s">
        <v>11396</v>
      </c>
      <c r="BI625">
        <v>18</v>
      </c>
      <c r="BJ625" t="s">
        <v>11956</v>
      </c>
      <c r="BK625" t="s">
        <v>104</v>
      </c>
      <c r="BL625" t="s">
        <v>11956</v>
      </c>
      <c r="BM625" t="s">
        <v>11957</v>
      </c>
      <c r="BN625" t="s">
        <v>74</v>
      </c>
      <c r="BO625" t="s">
        <v>7036</v>
      </c>
      <c r="BP625" t="s">
        <v>74</v>
      </c>
      <c r="BQ625" t="s">
        <v>74</v>
      </c>
      <c r="BR625" t="s">
        <v>108</v>
      </c>
      <c r="BS625" t="s">
        <v>11958</v>
      </c>
      <c r="BT625" t="str">
        <f>HYPERLINK("https%3A%2F%2Fwww.webofscience.com%2Fwos%2Fwoscc%2Ffull-record%2FWOS:000889710500001","View Full Record in Web of Science")</f>
        <v>View Full Record in Web of Science</v>
      </c>
    </row>
    <row r="626" spans="1:72" x14ac:dyDescent="0.15">
      <c r="A626" t="s">
        <v>72</v>
      </c>
      <c r="B626" t="s">
        <v>11959</v>
      </c>
      <c r="C626" t="s">
        <v>74</v>
      </c>
      <c r="D626" t="s">
        <v>74</v>
      </c>
      <c r="E626" t="s">
        <v>74</v>
      </c>
      <c r="F626" t="s">
        <v>11960</v>
      </c>
      <c r="G626" t="s">
        <v>74</v>
      </c>
      <c r="H626" t="s">
        <v>74</v>
      </c>
      <c r="I626" t="s">
        <v>11961</v>
      </c>
      <c r="J626" t="s">
        <v>11962</v>
      </c>
      <c r="K626" t="s">
        <v>74</v>
      </c>
      <c r="L626" t="s">
        <v>74</v>
      </c>
      <c r="M626" t="s">
        <v>78</v>
      </c>
      <c r="N626" t="s">
        <v>79</v>
      </c>
      <c r="O626" t="s">
        <v>74</v>
      </c>
      <c r="P626" t="s">
        <v>74</v>
      </c>
      <c r="Q626" t="s">
        <v>74</v>
      </c>
      <c r="R626" t="s">
        <v>74</v>
      </c>
      <c r="S626" t="s">
        <v>74</v>
      </c>
      <c r="T626" t="s">
        <v>74</v>
      </c>
      <c r="U626" t="s">
        <v>11963</v>
      </c>
      <c r="V626" t="s">
        <v>11964</v>
      </c>
      <c r="W626" t="s">
        <v>11965</v>
      </c>
      <c r="X626" t="s">
        <v>11966</v>
      </c>
      <c r="Y626" t="s">
        <v>11967</v>
      </c>
      <c r="Z626" t="s">
        <v>11968</v>
      </c>
      <c r="AA626" t="s">
        <v>11969</v>
      </c>
      <c r="AB626" t="s">
        <v>11970</v>
      </c>
      <c r="AC626" t="s">
        <v>11971</v>
      </c>
      <c r="AD626" t="s">
        <v>11972</v>
      </c>
      <c r="AE626" t="s">
        <v>11973</v>
      </c>
      <c r="AF626" t="s">
        <v>74</v>
      </c>
      <c r="AG626">
        <v>75</v>
      </c>
      <c r="AH626">
        <v>5</v>
      </c>
      <c r="AI626">
        <v>5</v>
      </c>
      <c r="AJ626">
        <v>2</v>
      </c>
      <c r="AK626">
        <v>3</v>
      </c>
      <c r="AL626" t="s">
        <v>11974</v>
      </c>
      <c r="AM626" t="s">
        <v>576</v>
      </c>
      <c r="AN626" t="s">
        <v>11975</v>
      </c>
      <c r="AO626" t="s">
        <v>11976</v>
      </c>
      <c r="AP626" t="s">
        <v>74</v>
      </c>
      <c r="AQ626" t="s">
        <v>74</v>
      </c>
      <c r="AR626" t="s">
        <v>11977</v>
      </c>
      <c r="AS626" t="s">
        <v>11978</v>
      </c>
      <c r="AT626" t="s">
        <v>11979</v>
      </c>
      <c r="AU626">
        <v>2022</v>
      </c>
      <c r="AV626">
        <v>8</v>
      </c>
      <c r="AW626">
        <v>47</v>
      </c>
      <c r="AX626" t="s">
        <v>74</v>
      </c>
      <c r="AY626" t="s">
        <v>74</v>
      </c>
      <c r="AZ626" t="s">
        <v>74</v>
      </c>
      <c r="BA626" t="s">
        <v>74</v>
      </c>
      <c r="BB626" t="s">
        <v>74</v>
      </c>
      <c r="BC626" t="s">
        <v>74</v>
      </c>
      <c r="BD626" t="s">
        <v>11980</v>
      </c>
      <c r="BE626" t="s">
        <v>11981</v>
      </c>
      <c r="BF626" t="str">
        <f>HYPERLINK("http://dx.doi.org/10.1126/sciadv.add0720","http://dx.doi.org/10.1126/sciadv.add0720")</f>
        <v>http://dx.doi.org/10.1126/sciadv.add0720</v>
      </c>
      <c r="BG626" t="s">
        <v>74</v>
      </c>
      <c r="BH626" t="s">
        <v>74</v>
      </c>
      <c r="BI626">
        <v>10</v>
      </c>
      <c r="BJ626" t="s">
        <v>189</v>
      </c>
      <c r="BK626" t="s">
        <v>104</v>
      </c>
      <c r="BL626" t="s">
        <v>190</v>
      </c>
      <c r="BM626" t="s">
        <v>11982</v>
      </c>
      <c r="BN626">
        <v>36417533</v>
      </c>
      <c r="BO626" t="s">
        <v>7465</v>
      </c>
      <c r="BP626" t="s">
        <v>74</v>
      </c>
      <c r="BQ626" t="s">
        <v>74</v>
      </c>
      <c r="BR626" t="s">
        <v>108</v>
      </c>
      <c r="BS626" t="s">
        <v>11983</v>
      </c>
      <c r="BT626" t="str">
        <f>HYPERLINK("https%3A%2F%2Fwww.webofscience.com%2Fwos%2Fwoscc%2Ffull-record%2FWOS:000968162100018","View Full Record in Web of Science")</f>
        <v>View Full Record in Web of Science</v>
      </c>
    </row>
    <row r="627" spans="1:72" x14ac:dyDescent="0.15">
      <c r="A627" t="s">
        <v>72</v>
      </c>
      <c r="B627" t="s">
        <v>11984</v>
      </c>
      <c r="C627" t="s">
        <v>74</v>
      </c>
      <c r="D627" t="s">
        <v>74</v>
      </c>
      <c r="E627" t="s">
        <v>74</v>
      </c>
      <c r="F627" t="s">
        <v>11985</v>
      </c>
      <c r="G627" t="s">
        <v>74</v>
      </c>
      <c r="H627" t="s">
        <v>74</v>
      </c>
      <c r="I627" t="s">
        <v>11986</v>
      </c>
      <c r="J627" t="s">
        <v>11987</v>
      </c>
      <c r="K627" t="s">
        <v>74</v>
      </c>
      <c r="L627" t="s">
        <v>74</v>
      </c>
      <c r="M627" t="s">
        <v>78</v>
      </c>
      <c r="N627" t="s">
        <v>79</v>
      </c>
      <c r="O627" t="s">
        <v>74</v>
      </c>
      <c r="P627" t="s">
        <v>74</v>
      </c>
      <c r="Q627" t="s">
        <v>74</v>
      </c>
      <c r="R627" t="s">
        <v>74</v>
      </c>
      <c r="S627" t="s">
        <v>74</v>
      </c>
      <c r="T627" t="s">
        <v>11988</v>
      </c>
      <c r="U627" t="s">
        <v>11989</v>
      </c>
      <c r="V627" t="s">
        <v>11990</v>
      </c>
      <c r="W627" t="s">
        <v>11991</v>
      </c>
      <c r="X627" t="s">
        <v>11992</v>
      </c>
      <c r="Y627" t="s">
        <v>11993</v>
      </c>
      <c r="Z627" t="s">
        <v>11994</v>
      </c>
      <c r="AA627" t="s">
        <v>11995</v>
      </c>
      <c r="AB627" t="s">
        <v>11996</v>
      </c>
      <c r="AC627" t="s">
        <v>11997</v>
      </c>
      <c r="AD627" t="s">
        <v>11998</v>
      </c>
      <c r="AE627" t="s">
        <v>11999</v>
      </c>
      <c r="AF627" t="s">
        <v>74</v>
      </c>
      <c r="AG627">
        <v>64</v>
      </c>
      <c r="AH627">
        <v>16</v>
      </c>
      <c r="AI627">
        <v>16</v>
      </c>
      <c r="AJ627">
        <v>87</v>
      </c>
      <c r="AK627">
        <v>250</v>
      </c>
      <c r="AL627" t="s">
        <v>676</v>
      </c>
      <c r="AM627" t="s">
        <v>375</v>
      </c>
      <c r="AN627" t="s">
        <v>677</v>
      </c>
      <c r="AO627" t="s">
        <v>12000</v>
      </c>
      <c r="AP627" t="s">
        <v>12001</v>
      </c>
      <c r="AQ627" t="s">
        <v>74</v>
      </c>
      <c r="AR627" t="s">
        <v>12002</v>
      </c>
      <c r="AS627" t="s">
        <v>12003</v>
      </c>
      <c r="AT627" t="s">
        <v>12004</v>
      </c>
      <c r="AU627">
        <v>2023</v>
      </c>
      <c r="AV627">
        <v>326</v>
      </c>
      <c r="AW627" t="s">
        <v>74</v>
      </c>
      <c r="AX627" t="s">
        <v>12005</v>
      </c>
      <c r="AY627" t="s">
        <v>74</v>
      </c>
      <c r="AZ627" t="s">
        <v>74</v>
      </c>
      <c r="BA627" t="s">
        <v>74</v>
      </c>
      <c r="BB627" t="s">
        <v>74</v>
      </c>
      <c r="BC627" t="s">
        <v>74</v>
      </c>
      <c r="BD627">
        <v>116851</v>
      </c>
      <c r="BE627" t="s">
        <v>12006</v>
      </c>
      <c r="BF627" t="str">
        <f>HYPERLINK("http://dx.doi.org/10.1016/j.jenvman.2022.116851","http://dx.doi.org/10.1016/j.jenvman.2022.116851")</f>
        <v>http://dx.doi.org/10.1016/j.jenvman.2022.116851</v>
      </c>
      <c r="BG627" t="s">
        <v>74</v>
      </c>
      <c r="BH627" t="s">
        <v>11396</v>
      </c>
      <c r="BI627">
        <v>13</v>
      </c>
      <c r="BJ627" t="s">
        <v>216</v>
      </c>
      <c r="BK627" t="s">
        <v>104</v>
      </c>
      <c r="BL627" t="s">
        <v>217</v>
      </c>
      <c r="BM627" t="s">
        <v>12007</v>
      </c>
      <c r="BN627">
        <v>36442350</v>
      </c>
      <c r="BO627" t="s">
        <v>74</v>
      </c>
      <c r="BP627" t="s">
        <v>74</v>
      </c>
      <c r="BQ627" t="s">
        <v>74</v>
      </c>
      <c r="BR627" t="s">
        <v>108</v>
      </c>
      <c r="BS627" t="s">
        <v>12008</v>
      </c>
      <c r="BT627" t="str">
        <f>HYPERLINK("https%3A%2F%2Fwww.webofscience.com%2Fwos%2Fwoscc%2Ffull-record%2FWOS:000916997700002","View Full Record in Web of Science")</f>
        <v>View Full Record in Web of Science</v>
      </c>
    </row>
    <row r="628" spans="1:72" x14ac:dyDescent="0.15">
      <c r="A628" t="s">
        <v>72</v>
      </c>
      <c r="B628" t="s">
        <v>12009</v>
      </c>
      <c r="C628" t="s">
        <v>74</v>
      </c>
      <c r="D628" t="s">
        <v>74</v>
      </c>
      <c r="E628" t="s">
        <v>74</v>
      </c>
      <c r="F628" t="s">
        <v>12010</v>
      </c>
      <c r="G628" t="s">
        <v>74</v>
      </c>
      <c r="H628" t="s">
        <v>74</v>
      </c>
      <c r="I628" t="s">
        <v>12011</v>
      </c>
      <c r="J628" t="s">
        <v>12012</v>
      </c>
      <c r="K628" t="s">
        <v>74</v>
      </c>
      <c r="L628" t="s">
        <v>74</v>
      </c>
      <c r="M628" t="s">
        <v>78</v>
      </c>
      <c r="N628" t="s">
        <v>79</v>
      </c>
      <c r="O628" t="s">
        <v>74</v>
      </c>
      <c r="P628" t="s">
        <v>74</v>
      </c>
      <c r="Q628" t="s">
        <v>74</v>
      </c>
      <c r="R628" t="s">
        <v>74</v>
      </c>
      <c r="S628" t="s">
        <v>74</v>
      </c>
      <c r="T628" t="s">
        <v>12013</v>
      </c>
      <c r="U628" t="s">
        <v>12014</v>
      </c>
      <c r="V628" t="s">
        <v>12015</v>
      </c>
      <c r="W628" t="s">
        <v>12016</v>
      </c>
      <c r="X628" t="s">
        <v>12017</v>
      </c>
      <c r="Y628" t="s">
        <v>12018</v>
      </c>
      <c r="Z628" t="s">
        <v>12019</v>
      </c>
      <c r="AA628" t="s">
        <v>12020</v>
      </c>
      <c r="AB628" t="s">
        <v>12021</v>
      </c>
      <c r="AC628" t="s">
        <v>12022</v>
      </c>
      <c r="AD628" t="s">
        <v>12023</v>
      </c>
      <c r="AE628" t="s">
        <v>12024</v>
      </c>
      <c r="AF628" t="s">
        <v>74</v>
      </c>
      <c r="AG628">
        <v>65</v>
      </c>
      <c r="AH628">
        <v>5</v>
      </c>
      <c r="AI628">
        <v>5</v>
      </c>
      <c r="AJ628">
        <v>1</v>
      </c>
      <c r="AK628">
        <v>4</v>
      </c>
      <c r="AL628" t="s">
        <v>676</v>
      </c>
      <c r="AM628" t="s">
        <v>375</v>
      </c>
      <c r="AN628" t="s">
        <v>677</v>
      </c>
      <c r="AO628" t="s">
        <v>12025</v>
      </c>
      <c r="AP628" t="s">
        <v>12026</v>
      </c>
      <c r="AQ628" t="s">
        <v>74</v>
      </c>
      <c r="AR628" t="s">
        <v>12027</v>
      </c>
      <c r="AS628" t="s">
        <v>12028</v>
      </c>
      <c r="AT628" t="s">
        <v>99</v>
      </c>
      <c r="AU628">
        <v>2023</v>
      </c>
      <c r="AV628">
        <v>142</v>
      </c>
      <c r="AW628" t="s">
        <v>74</v>
      </c>
      <c r="AX628" t="s">
        <v>74</v>
      </c>
      <c r="AY628" t="s">
        <v>74</v>
      </c>
      <c r="AZ628" t="s">
        <v>74</v>
      </c>
      <c r="BA628" t="s">
        <v>74</v>
      </c>
      <c r="BB628" t="s">
        <v>74</v>
      </c>
      <c r="BC628" t="s">
        <v>74</v>
      </c>
      <c r="BD628">
        <v>105413</v>
      </c>
      <c r="BE628" t="s">
        <v>12029</v>
      </c>
      <c r="BF628" t="str">
        <f>HYPERLINK("http://dx.doi.org/10.1016/j.cretres.2022.105413","http://dx.doi.org/10.1016/j.cretres.2022.105413")</f>
        <v>http://dx.doi.org/10.1016/j.cretres.2022.105413</v>
      </c>
      <c r="BG628" t="s">
        <v>74</v>
      </c>
      <c r="BH628" t="s">
        <v>11396</v>
      </c>
      <c r="BI628">
        <v>11</v>
      </c>
      <c r="BJ628" t="s">
        <v>6955</v>
      </c>
      <c r="BK628" t="s">
        <v>104</v>
      </c>
      <c r="BL628" t="s">
        <v>6955</v>
      </c>
      <c r="BM628" t="s">
        <v>12030</v>
      </c>
      <c r="BN628" t="s">
        <v>74</v>
      </c>
      <c r="BO628" t="s">
        <v>74</v>
      </c>
      <c r="BP628" t="s">
        <v>74</v>
      </c>
      <c r="BQ628" t="s">
        <v>74</v>
      </c>
      <c r="BR628" t="s">
        <v>108</v>
      </c>
      <c r="BS628" t="s">
        <v>12031</v>
      </c>
      <c r="BT628" t="str">
        <f>HYPERLINK("https%3A%2F%2Fwww.webofscience.com%2Fwos%2Fwoscc%2Ffull-record%2FWOS:000895312200004","View Full Record in Web of Science")</f>
        <v>View Full Record in Web of Science</v>
      </c>
    </row>
    <row r="629" spans="1:72" x14ac:dyDescent="0.15">
      <c r="A629" t="s">
        <v>72</v>
      </c>
      <c r="B629" t="s">
        <v>12032</v>
      </c>
      <c r="C629" t="s">
        <v>74</v>
      </c>
      <c r="D629" t="s">
        <v>74</v>
      </c>
      <c r="E629" t="s">
        <v>74</v>
      </c>
      <c r="F629" t="s">
        <v>12033</v>
      </c>
      <c r="G629" t="s">
        <v>74</v>
      </c>
      <c r="H629" t="s">
        <v>74</v>
      </c>
      <c r="I629" t="s">
        <v>12034</v>
      </c>
      <c r="J629" t="s">
        <v>12035</v>
      </c>
      <c r="K629" t="s">
        <v>74</v>
      </c>
      <c r="L629" t="s">
        <v>74</v>
      </c>
      <c r="M629" t="s">
        <v>78</v>
      </c>
      <c r="N629" t="s">
        <v>79</v>
      </c>
      <c r="O629" t="s">
        <v>74</v>
      </c>
      <c r="P629" t="s">
        <v>74</v>
      </c>
      <c r="Q629" t="s">
        <v>74</v>
      </c>
      <c r="R629" t="s">
        <v>74</v>
      </c>
      <c r="S629" t="s">
        <v>74</v>
      </c>
      <c r="T629" t="s">
        <v>12036</v>
      </c>
      <c r="U629" t="s">
        <v>12037</v>
      </c>
      <c r="V629" t="s">
        <v>12038</v>
      </c>
      <c r="W629" t="s">
        <v>12039</v>
      </c>
      <c r="X629" t="s">
        <v>12040</v>
      </c>
      <c r="Y629" t="s">
        <v>12041</v>
      </c>
      <c r="Z629" t="s">
        <v>12042</v>
      </c>
      <c r="AA629" t="s">
        <v>12043</v>
      </c>
      <c r="AB629" t="s">
        <v>12044</v>
      </c>
      <c r="AC629" t="s">
        <v>12045</v>
      </c>
      <c r="AD629" t="s">
        <v>12046</v>
      </c>
      <c r="AE629" t="s">
        <v>12047</v>
      </c>
      <c r="AF629" t="s">
        <v>74</v>
      </c>
      <c r="AG629">
        <v>61</v>
      </c>
      <c r="AH629">
        <v>3</v>
      </c>
      <c r="AI629">
        <v>3</v>
      </c>
      <c r="AJ629">
        <v>2</v>
      </c>
      <c r="AK629">
        <v>12</v>
      </c>
      <c r="AL629" t="s">
        <v>703</v>
      </c>
      <c r="AM629" t="s">
        <v>704</v>
      </c>
      <c r="AN629" t="s">
        <v>705</v>
      </c>
      <c r="AO629" t="s">
        <v>12048</v>
      </c>
      <c r="AP629" t="s">
        <v>12049</v>
      </c>
      <c r="AQ629" t="s">
        <v>74</v>
      </c>
      <c r="AR629" t="s">
        <v>12050</v>
      </c>
      <c r="AS629" t="s">
        <v>12051</v>
      </c>
      <c r="AT629" t="s">
        <v>12052</v>
      </c>
      <c r="AU629">
        <v>2023</v>
      </c>
      <c r="AV629">
        <v>58</v>
      </c>
      <c r="AW629">
        <v>4</v>
      </c>
      <c r="AX629" t="s">
        <v>74</v>
      </c>
      <c r="AY629" t="s">
        <v>74</v>
      </c>
      <c r="AZ629" t="s">
        <v>74</v>
      </c>
      <c r="BA629" t="s">
        <v>74</v>
      </c>
      <c r="BB629">
        <v>377</v>
      </c>
      <c r="BC629">
        <v>389</v>
      </c>
      <c r="BD629" t="s">
        <v>74</v>
      </c>
      <c r="BE629" t="s">
        <v>12053</v>
      </c>
      <c r="BF629" t="str">
        <f>HYPERLINK("http://dx.doi.org/10.1080/09670262.2022.2136405","http://dx.doi.org/10.1080/09670262.2022.2136405")</f>
        <v>http://dx.doi.org/10.1080/09670262.2022.2136405</v>
      </c>
      <c r="BG629" t="s">
        <v>74</v>
      </c>
      <c r="BH629" t="s">
        <v>11396</v>
      </c>
      <c r="BI629">
        <v>13</v>
      </c>
      <c r="BJ629" t="s">
        <v>658</v>
      </c>
      <c r="BK629" t="s">
        <v>104</v>
      </c>
      <c r="BL629" t="s">
        <v>658</v>
      </c>
      <c r="BM629" t="s">
        <v>12054</v>
      </c>
      <c r="BN629" t="s">
        <v>74</v>
      </c>
      <c r="BO629" t="s">
        <v>74</v>
      </c>
      <c r="BP629" t="s">
        <v>74</v>
      </c>
      <c r="BQ629" t="s">
        <v>74</v>
      </c>
      <c r="BR629" t="s">
        <v>108</v>
      </c>
      <c r="BS629" t="s">
        <v>12055</v>
      </c>
      <c r="BT629" t="str">
        <f>HYPERLINK("https%3A%2F%2Fwww.webofscience.com%2Fwos%2Fwoscc%2Ffull-record%2FWOS:000890938600001","View Full Record in Web of Science")</f>
        <v>View Full Record in Web of Science</v>
      </c>
    </row>
    <row r="630" spans="1:72" x14ac:dyDescent="0.15">
      <c r="A630" t="s">
        <v>72</v>
      </c>
      <c r="B630" t="s">
        <v>12056</v>
      </c>
      <c r="C630" t="s">
        <v>74</v>
      </c>
      <c r="D630" t="s">
        <v>74</v>
      </c>
      <c r="E630" t="s">
        <v>74</v>
      </c>
      <c r="F630" t="s">
        <v>12057</v>
      </c>
      <c r="G630" t="s">
        <v>74</v>
      </c>
      <c r="H630" t="s">
        <v>74</v>
      </c>
      <c r="I630" t="s">
        <v>12058</v>
      </c>
      <c r="J630" t="s">
        <v>9138</v>
      </c>
      <c r="K630" t="s">
        <v>74</v>
      </c>
      <c r="L630" t="s">
        <v>74</v>
      </c>
      <c r="M630" t="s">
        <v>78</v>
      </c>
      <c r="N630" t="s">
        <v>79</v>
      </c>
      <c r="O630" t="s">
        <v>74</v>
      </c>
      <c r="P630" t="s">
        <v>74</v>
      </c>
      <c r="Q630" t="s">
        <v>74</v>
      </c>
      <c r="R630" t="s">
        <v>74</v>
      </c>
      <c r="S630" t="s">
        <v>74</v>
      </c>
      <c r="T630" t="s">
        <v>12059</v>
      </c>
      <c r="U630" t="s">
        <v>12060</v>
      </c>
      <c r="V630" t="s">
        <v>12061</v>
      </c>
      <c r="W630" t="s">
        <v>12062</v>
      </c>
      <c r="X630" t="s">
        <v>12063</v>
      </c>
      <c r="Y630" t="s">
        <v>12064</v>
      </c>
      <c r="Z630" t="s">
        <v>12065</v>
      </c>
      <c r="AA630" t="s">
        <v>74</v>
      </c>
      <c r="AB630" t="s">
        <v>74</v>
      </c>
      <c r="AC630" t="s">
        <v>12066</v>
      </c>
      <c r="AD630" t="s">
        <v>12067</v>
      </c>
      <c r="AE630" t="s">
        <v>12068</v>
      </c>
      <c r="AF630" t="s">
        <v>74</v>
      </c>
      <c r="AG630">
        <v>76</v>
      </c>
      <c r="AH630">
        <v>2</v>
      </c>
      <c r="AI630">
        <v>2</v>
      </c>
      <c r="AJ630">
        <v>2</v>
      </c>
      <c r="AK630">
        <v>15</v>
      </c>
      <c r="AL630" t="s">
        <v>448</v>
      </c>
      <c r="AM630" t="s">
        <v>449</v>
      </c>
      <c r="AN630" t="s">
        <v>450</v>
      </c>
      <c r="AO630" t="s">
        <v>74</v>
      </c>
      <c r="AP630" t="s">
        <v>9145</v>
      </c>
      <c r="AQ630" t="s">
        <v>74</v>
      </c>
      <c r="AR630" t="s">
        <v>9146</v>
      </c>
      <c r="AS630" t="s">
        <v>9147</v>
      </c>
      <c r="AT630" t="s">
        <v>11979</v>
      </c>
      <c r="AU630">
        <v>2022</v>
      </c>
      <c r="AV630">
        <v>13</v>
      </c>
      <c r="AW630" t="s">
        <v>74</v>
      </c>
      <c r="AX630" t="s">
        <v>74</v>
      </c>
      <c r="AY630" t="s">
        <v>74</v>
      </c>
      <c r="AZ630" t="s">
        <v>74</v>
      </c>
      <c r="BA630" t="s">
        <v>74</v>
      </c>
      <c r="BB630" t="s">
        <v>74</v>
      </c>
      <c r="BC630" t="s">
        <v>74</v>
      </c>
      <c r="BD630">
        <v>1070601</v>
      </c>
      <c r="BE630" t="s">
        <v>12069</v>
      </c>
      <c r="BF630" t="str">
        <f>HYPERLINK("http://dx.doi.org/10.3389/fmicb.2022.1070601","http://dx.doi.org/10.3389/fmicb.2022.1070601")</f>
        <v>http://dx.doi.org/10.3389/fmicb.2022.1070601</v>
      </c>
      <c r="BG630" t="s">
        <v>74</v>
      </c>
      <c r="BH630" t="s">
        <v>74</v>
      </c>
      <c r="BI630">
        <v>10</v>
      </c>
      <c r="BJ630" t="s">
        <v>1699</v>
      </c>
      <c r="BK630" t="s">
        <v>104</v>
      </c>
      <c r="BL630" t="s">
        <v>1699</v>
      </c>
      <c r="BM630" t="s">
        <v>12070</v>
      </c>
      <c r="BN630">
        <v>36504819</v>
      </c>
      <c r="BO630" t="s">
        <v>3181</v>
      </c>
      <c r="BP630" t="s">
        <v>74</v>
      </c>
      <c r="BQ630" t="s">
        <v>74</v>
      </c>
      <c r="BR630" t="s">
        <v>108</v>
      </c>
      <c r="BS630" t="s">
        <v>12071</v>
      </c>
      <c r="BT630" t="str">
        <f>HYPERLINK("https%3A%2F%2Fwww.webofscience.com%2Fwos%2Fwoscc%2Ffull-record%2FWOS:000894704700001","View Full Record in Web of Science")</f>
        <v>View Full Record in Web of Science</v>
      </c>
    </row>
    <row r="631" spans="1:72" x14ac:dyDescent="0.15">
      <c r="A631" t="s">
        <v>72</v>
      </c>
      <c r="B631" t="s">
        <v>12072</v>
      </c>
      <c r="C631" t="s">
        <v>74</v>
      </c>
      <c r="D631" t="s">
        <v>74</v>
      </c>
      <c r="E631" t="s">
        <v>74</v>
      </c>
      <c r="F631" t="s">
        <v>12073</v>
      </c>
      <c r="G631" t="s">
        <v>74</v>
      </c>
      <c r="H631" t="s">
        <v>74</v>
      </c>
      <c r="I631" t="s">
        <v>12074</v>
      </c>
      <c r="J631" t="s">
        <v>7410</v>
      </c>
      <c r="K631" t="s">
        <v>74</v>
      </c>
      <c r="L631" t="s">
        <v>74</v>
      </c>
      <c r="M631" t="s">
        <v>78</v>
      </c>
      <c r="N631" t="s">
        <v>5927</v>
      </c>
      <c r="O631" t="s">
        <v>74</v>
      </c>
      <c r="P631" t="s">
        <v>74</v>
      </c>
      <c r="Q631" t="s">
        <v>74</v>
      </c>
      <c r="R631" t="s">
        <v>74</v>
      </c>
      <c r="S631" t="s">
        <v>74</v>
      </c>
      <c r="T631" t="s">
        <v>74</v>
      </c>
      <c r="U631" t="s">
        <v>74</v>
      </c>
      <c r="V631" t="s">
        <v>74</v>
      </c>
      <c r="W631" t="s">
        <v>74</v>
      </c>
      <c r="X631" t="s">
        <v>74</v>
      </c>
      <c r="Y631" t="s">
        <v>74</v>
      </c>
      <c r="Z631" t="s">
        <v>12075</v>
      </c>
      <c r="AA631" t="s">
        <v>12076</v>
      </c>
      <c r="AB631" t="s">
        <v>12077</v>
      </c>
      <c r="AC631" t="s">
        <v>74</v>
      </c>
      <c r="AD631" t="s">
        <v>74</v>
      </c>
      <c r="AE631" t="s">
        <v>74</v>
      </c>
      <c r="AF631" t="s">
        <v>74</v>
      </c>
      <c r="AG631">
        <v>1</v>
      </c>
      <c r="AH631">
        <v>0</v>
      </c>
      <c r="AI631">
        <v>0</v>
      </c>
      <c r="AJ631">
        <v>3</v>
      </c>
      <c r="AK631">
        <v>10</v>
      </c>
      <c r="AL631" t="s">
        <v>182</v>
      </c>
      <c r="AM631" t="s">
        <v>183</v>
      </c>
      <c r="AN631" t="s">
        <v>184</v>
      </c>
      <c r="AO631" t="s">
        <v>74</v>
      </c>
      <c r="AP631" t="s">
        <v>7422</v>
      </c>
      <c r="AQ631" t="s">
        <v>74</v>
      </c>
      <c r="AR631" t="s">
        <v>7423</v>
      </c>
      <c r="AS631" t="s">
        <v>7424</v>
      </c>
      <c r="AT631" t="s">
        <v>11979</v>
      </c>
      <c r="AU631">
        <v>2022</v>
      </c>
      <c r="AV631">
        <v>13</v>
      </c>
      <c r="AW631">
        <v>1</v>
      </c>
      <c r="AX631" t="s">
        <v>74</v>
      </c>
      <c r="AY631" t="s">
        <v>74</v>
      </c>
      <c r="AZ631" t="s">
        <v>74</v>
      </c>
      <c r="BA631" t="s">
        <v>74</v>
      </c>
      <c r="BB631" t="s">
        <v>74</v>
      </c>
      <c r="BC631" t="s">
        <v>74</v>
      </c>
      <c r="BD631">
        <v>7257</v>
      </c>
      <c r="BE631" t="s">
        <v>12078</v>
      </c>
      <c r="BF631" t="str">
        <f>HYPERLINK("http://dx.doi.org/10.1038/s41467-022-35107-6","http://dx.doi.org/10.1038/s41467-022-35107-6")</f>
        <v>http://dx.doi.org/10.1038/s41467-022-35107-6</v>
      </c>
      <c r="BG631" t="s">
        <v>74</v>
      </c>
      <c r="BH631" t="s">
        <v>74</v>
      </c>
      <c r="BI631">
        <v>1</v>
      </c>
      <c r="BJ631" t="s">
        <v>189</v>
      </c>
      <c r="BK631" t="s">
        <v>104</v>
      </c>
      <c r="BL631" t="s">
        <v>190</v>
      </c>
      <c r="BM631" t="s">
        <v>12079</v>
      </c>
      <c r="BN631">
        <v>36434019</v>
      </c>
      <c r="BO631" t="s">
        <v>3181</v>
      </c>
      <c r="BP631" t="s">
        <v>74</v>
      </c>
      <c r="BQ631" t="s">
        <v>74</v>
      </c>
      <c r="BR631" t="s">
        <v>108</v>
      </c>
      <c r="BS631" t="s">
        <v>12080</v>
      </c>
      <c r="BT631" t="str">
        <f>HYPERLINK("https%3A%2F%2Fwww.webofscience.com%2Fwos%2Fwoscc%2Ffull-record%2FWOS:000888905100028","View Full Record in Web of Science")</f>
        <v>View Full Record in Web of Science</v>
      </c>
    </row>
    <row r="632" spans="1:72" x14ac:dyDescent="0.15">
      <c r="A632" t="s">
        <v>72</v>
      </c>
      <c r="B632" t="s">
        <v>12081</v>
      </c>
      <c r="C632" t="s">
        <v>74</v>
      </c>
      <c r="D632" t="s">
        <v>74</v>
      </c>
      <c r="E632" t="s">
        <v>74</v>
      </c>
      <c r="F632" t="s">
        <v>12082</v>
      </c>
      <c r="G632" t="s">
        <v>74</v>
      </c>
      <c r="H632" t="s">
        <v>74</v>
      </c>
      <c r="I632" t="s">
        <v>12083</v>
      </c>
      <c r="J632" t="s">
        <v>12084</v>
      </c>
      <c r="K632" t="s">
        <v>74</v>
      </c>
      <c r="L632" t="s">
        <v>74</v>
      </c>
      <c r="M632" t="s">
        <v>78</v>
      </c>
      <c r="N632" t="s">
        <v>79</v>
      </c>
      <c r="O632" t="s">
        <v>74</v>
      </c>
      <c r="P632" t="s">
        <v>74</v>
      </c>
      <c r="Q632" t="s">
        <v>74</v>
      </c>
      <c r="R632" t="s">
        <v>74</v>
      </c>
      <c r="S632" t="s">
        <v>74</v>
      </c>
      <c r="T632" t="s">
        <v>12085</v>
      </c>
      <c r="U632" t="s">
        <v>12086</v>
      </c>
      <c r="V632" t="s">
        <v>12087</v>
      </c>
      <c r="W632" t="s">
        <v>12088</v>
      </c>
      <c r="X632" t="s">
        <v>12089</v>
      </c>
      <c r="Y632" t="s">
        <v>12090</v>
      </c>
      <c r="Z632" t="s">
        <v>12091</v>
      </c>
      <c r="AA632" t="s">
        <v>4765</v>
      </c>
      <c r="AB632" t="s">
        <v>74</v>
      </c>
      <c r="AC632" t="s">
        <v>12092</v>
      </c>
      <c r="AD632" t="s">
        <v>12093</v>
      </c>
      <c r="AE632" t="s">
        <v>12094</v>
      </c>
      <c r="AF632" t="s">
        <v>74</v>
      </c>
      <c r="AG632">
        <v>65</v>
      </c>
      <c r="AH632">
        <v>16</v>
      </c>
      <c r="AI632">
        <v>16</v>
      </c>
      <c r="AJ632">
        <v>30</v>
      </c>
      <c r="AK632">
        <v>94</v>
      </c>
      <c r="AL632" t="s">
        <v>237</v>
      </c>
      <c r="AM632" t="s">
        <v>238</v>
      </c>
      <c r="AN632" t="s">
        <v>239</v>
      </c>
      <c r="AO632" t="s">
        <v>12095</v>
      </c>
      <c r="AP632" t="s">
        <v>12096</v>
      </c>
      <c r="AQ632" t="s">
        <v>74</v>
      </c>
      <c r="AR632" t="s">
        <v>12097</v>
      </c>
      <c r="AS632" t="s">
        <v>12098</v>
      </c>
      <c r="AT632" t="s">
        <v>9001</v>
      </c>
      <c r="AU632">
        <v>2022</v>
      </c>
      <c r="AV632">
        <v>115</v>
      </c>
      <c r="AW632" t="s">
        <v>74</v>
      </c>
      <c r="AX632" t="s">
        <v>74</v>
      </c>
      <c r="AY632" t="s">
        <v>74</v>
      </c>
      <c r="AZ632" t="s">
        <v>74</v>
      </c>
      <c r="BA632" t="s">
        <v>74</v>
      </c>
      <c r="BB632" t="s">
        <v>74</v>
      </c>
      <c r="BC632" t="s">
        <v>74</v>
      </c>
      <c r="BD632">
        <v>103128</v>
      </c>
      <c r="BE632" t="s">
        <v>12099</v>
      </c>
      <c r="BF632" t="str">
        <f>HYPERLINK("http://dx.doi.org/10.1016/j.jag.2022.103128","http://dx.doi.org/10.1016/j.jag.2022.103128")</f>
        <v>http://dx.doi.org/10.1016/j.jag.2022.103128</v>
      </c>
      <c r="BG632" t="s">
        <v>74</v>
      </c>
      <c r="BH632" t="s">
        <v>11396</v>
      </c>
      <c r="BI632">
        <v>13</v>
      </c>
      <c r="BJ632" t="s">
        <v>5604</v>
      </c>
      <c r="BK632" t="s">
        <v>104</v>
      </c>
      <c r="BL632" t="s">
        <v>5604</v>
      </c>
      <c r="BM632" t="s">
        <v>12100</v>
      </c>
      <c r="BN632" t="s">
        <v>74</v>
      </c>
      <c r="BO632" t="s">
        <v>165</v>
      </c>
      <c r="BP632" t="s">
        <v>74</v>
      </c>
      <c r="BQ632" t="s">
        <v>74</v>
      </c>
      <c r="BR632" t="s">
        <v>108</v>
      </c>
      <c r="BS632" t="s">
        <v>12101</v>
      </c>
      <c r="BT632" t="str">
        <f>HYPERLINK("https%3A%2F%2Fwww.webofscience.com%2Fwos%2Fwoscc%2Ffull-record%2FWOS:000891777700003","View Full Record in Web of Science")</f>
        <v>View Full Record in Web of Science</v>
      </c>
    </row>
    <row r="633" spans="1:72" x14ac:dyDescent="0.15">
      <c r="A633" t="s">
        <v>72</v>
      </c>
      <c r="B633" t="s">
        <v>12102</v>
      </c>
      <c r="C633" t="s">
        <v>74</v>
      </c>
      <c r="D633" t="s">
        <v>74</v>
      </c>
      <c r="E633" t="s">
        <v>74</v>
      </c>
      <c r="F633" t="s">
        <v>12103</v>
      </c>
      <c r="G633" t="s">
        <v>74</v>
      </c>
      <c r="H633" t="s">
        <v>74</v>
      </c>
      <c r="I633" t="s">
        <v>12104</v>
      </c>
      <c r="J633" t="s">
        <v>12105</v>
      </c>
      <c r="K633" t="s">
        <v>74</v>
      </c>
      <c r="L633" t="s">
        <v>74</v>
      </c>
      <c r="M633" t="s">
        <v>78</v>
      </c>
      <c r="N633" t="s">
        <v>79</v>
      </c>
      <c r="O633" t="s">
        <v>74</v>
      </c>
      <c r="P633" t="s">
        <v>74</v>
      </c>
      <c r="Q633" t="s">
        <v>74</v>
      </c>
      <c r="R633" t="s">
        <v>74</v>
      </c>
      <c r="S633" t="s">
        <v>74</v>
      </c>
      <c r="T633" t="s">
        <v>12106</v>
      </c>
      <c r="U633" t="s">
        <v>12107</v>
      </c>
      <c r="V633" t="s">
        <v>12108</v>
      </c>
      <c r="W633" t="s">
        <v>12109</v>
      </c>
      <c r="X633" t="s">
        <v>12110</v>
      </c>
      <c r="Y633" t="s">
        <v>12111</v>
      </c>
      <c r="Z633" t="s">
        <v>12112</v>
      </c>
      <c r="AA633" t="s">
        <v>12113</v>
      </c>
      <c r="AB633" t="s">
        <v>12114</v>
      </c>
      <c r="AC633" t="s">
        <v>12115</v>
      </c>
      <c r="AD633" t="s">
        <v>12116</v>
      </c>
      <c r="AE633" t="s">
        <v>12117</v>
      </c>
      <c r="AF633" t="s">
        <v>74</v>
      </c>
      <c r="AG633">
        <v>99</v>
      </c>
      <c r="AH633">
        <v>8</v>
      </c>
      <c r="AI633">
        <v>8</v>
      </c>
      <c r="AJ633">
        <v>3</v>
      </c>
      <c r="AK633">
        <v>7</v>
      </c>
      <c r="AL633" t="s">
        <v>297</v>
      </c>
      <c r="AM633" t="s">
        <v>298</v>
      </c>
      <c r="AN633" t="s">
        <v>299</v>
      </c>
      <c r="AO633" t="s">
        <v>12118</v>
      </c>
      <c r="AP633" t="s">
        <v>12119</v>
      </c>
      <c r="AQ633" t="s">
        <v>74</v>
      </c>
      <c r="AR633" t="s">
        <v>12105</v>
      </c>
      <c r="AS633" t="s">
        <v>12120</v>
      </c>
      <c r="AT633" t="s">
        <v>276</v>
      </c>
      <c r="AU633">
        <v>2023</v>
      </c>
      <c r="AV633">
        <v>2023</v>
      </c>
      <c r="AW633">
        <v>1</v>
      </c>
      <c r="AX633" t="s">
        <v>74</v>
      </c>
      <c r="AY633" t="s">
        <v>74</v>
      </c>
      <c r="AZ633" t="s">
        <v>74</v>
      </c>
      <c r="BA633" t="s">
        <v>74</v>
      </c>
      <c r="BB633" t="s">
        <v>74</v>
      </c>
      <c r="BC633" t="s">
        <v>74</v>
      </c>
      <c r="BD633" t="s">
        <v>74</v>
      </c>
      <c r="BE633" t="s">
        <v>12121</v>
      </c>
      <c r="BF633" t="str">
        <f>HYPERLINK("http://dx.doi.org/10.1111/ecog.06381","http://dx.doi.org/10.1111/ecog.06381")</f>
        <v>http://dx.doi.org/10.1111/ecog.06381</v>
      </c>
      <c r="BG633" t="s">
        <v>74</v>
      </c>
      <c r="BH633" t="s">
        <v>11396</v>
      </c>
      <c r="BI633">
        <v>14</v>
      </c>
      <c r="BJ633" t="s">
        <v>305</v>
      </c>
      <c r="BK633" t="s">
        <v>104</v>
      </c>
      <c r="BL633" t="s">
        <v>306</v>
      </c>
      <c r="BM633" t="s">
        <v>12122</v>
      </c>
      <c r="BN633" t="s">
        <v>74</v>
      </c>
      <c r="BO633" t="s">
        <v>12123</v>
      </c>
      <c r="BP633" t="s">
        <v>74</v>
      </c>
      <c r="BQ633" t="s">
        <v>74</v>
      </c>
      <c r="BR633" t="s">
        <v>108</v>
      </c>
      <c r="BS633" t="s">
        <v>12124</v>
      </c>
      <c r="BT633" t="str">
        <f>HYPERLINK("https%3A%2F%2Fwww.webofscience.com%2Fwos%2Fwoscc%2Ffull-record%2FWOS:000890232000001","View Full Record in Web of Science")</f>
        <v>View Full Record in Web of Science</v>
      </c>
    </row>
    <row r="634" spans="1:72" x14ac:dyDescent="0.15">
      <c r="A634" t="s">
        <v>72</v>
      </c>
      <c r="B634" t="s">
        <v>12125</v>
      </c>
      <c r="C634" t="s">
        <v>74</v>
      </c>
      <c r="D634" t="s">
        <v>74</v>
      </c>
      <c r="E634" t="s">
        <v>74</v>
      </c>
      <c r="F634" t="s">
        <v>12126</v>
      </c>
      <c r="G634" t="s">
        <v>74</v>
      </c>
      <c r="H634" t="s">
        <v>74</v>
      </c>
      <c r="I634" t="s">
        <v>12127</v>
      </c>
      <c r="J634" t="s">
        <v>12128</v>
      </c>
      <c r="K634" t="s">
        <v>74</v>
      </c>
      <c r="L634" t="s">
        <v>74</v>
      </c>
      <c r="M634" t="s">
        <v>78</v>
      </c>
      <c r="N634" t="s">
        <v>79</v>
      </c>
      <c r="O634" t="s">
        <v>74</v>
      </c>
      <c r="P634" t="s">
        <v>74</v>
      </c>
      <c r="Q634" t="s">
        <v>74</v>
      </c>
      <c r="R634" t="s">
        <v>74</v>
      </c>
      <c r="S634" t="s">
        <v>74</v>
      </c>
      <c r="T634" t="s">
        <v>12129</v>
      </c>
      <c r="U634" t="s">
        <v>12130</v>
      </c>
      <c r="V634" t="s">
        <v>12131</v>
      </c>
      <c r="W634" t="s">
        <v>12132</v>
      </c>
      <c r="X634" t="s">
        <v>909</v>
      </c>
      <c r="Y634" t="s">
        <v>12133</v>
      </c>
      <c r="Z634" t="s">
        <v>12134</v>
      </c>
      <c r="AA634" t="s">
        <v>12135</v>
      </c>
      <c r="AB634" t="s">
        <v>12136</v>
      </c>
      <c r="AC634" t="s">
        <v>12137</v>
      </c>
      <c r="AD634" t="s">
        <v>12138</v>
      </c>
      <c r="AE634" t="s">
        <v>12139</v>
      </c>
      <c r="AF634" t="s">
        <v>74</v>
      </c>
      <c r="AG634">
        <v>38</v>
      </c>
      <c r="AH634">
        <v>1</v>
      </c>
      <c r="AI634">
        <v>1</v>
      </c>
      <c r="AJ634">
        <v>1</v>
      </c>
      <c r="AK634">
        <v>5</v>
      </c>
      <c r="AL634" t="s">
        <v>603</v>
      </c>
      <c r="AM634" t="s">
        <v>208</v>
      </c>
      <c r="AN634" t="s">
        <v>604</v>
      </c>
      <c r="AO634" t="s">
        <v>12140</v>
      </c>
      <c r="AP634" t="s">
        <v>12141</v>
      </c>
      <c r="AQ634" t="s">
        <v>74</v>
      </c>
      <c r="AR634" t="s">
        <v>12142</v>
      </c>
      <c r="AS634" t="s">
        <v>12143</v>
      </c>
      <c r="AT634" t="s">
        <v>9001</v>
      </c>
      <c r="AU634">
        <v>2022</v>
      </c>
      <c r="AV634">
        <v>224</v>
      </c>
      <c r="AW634" t="s">
        <v>74</v>
      </c>
      <c r="AX634" t="s">
        <v>74</v>
      </c>
      <c r="AY634" t="s">
        <v>74</v>
      </c>
      <c r="AZ634" t="s">
        <v>74</v>
      </c>
      <c r="BA634" t="s">
        <v>74</v>
      </c>
      <c r="BB634" t="s">
        <v>74</v>
      </c>
      <c r="BC634" t="s">
        <v>74</v>
      </c>
      <c r="BD634">
        <v>105598</v>
      </c>
      <c r="BE634" t="s">
        <v>12144</v>
      </c>
      <c r="BF634" t="str">
        <f>HYPERLINK("http://dx.doi.org/10.1016/j.pss.2022.105598","http://dx.doi.org/10.1016/j.pss.2022.105598")</f>
        <v>http://dx.doi.org/10.1016/j.pss.2022.105598</v>
      </c>
      <c r="BG634" t="s">
        <v>74</v>
      </c>
      <c r="BH634" t="s">
        <v>11396</v>
      </c>
      <c r="BI634">
        <v>9</v>
      </c>
      <c r="BJ634" t="s">
        <v>5631</v>
      </c>
      <c r="BK634" t="s">
        <v>104</v>
      </c>
      <c r="BL634" t="s">
        <v>5631</v>
      </c>
      <c r="BM634" t="s">
        <v>12145</v>
      </c>
      <c r="BN634" t="s">
        <v>74</v>
      </c>
      <c r="BO634" t="s">
        <v>74</v>
      </c>
      <c r="BP634" t="s">
        <v>74</v>
      </c>
      <c r="BQ634" t="s">
        <v>74</v>
      </c>
      <c r="BR634" t="s">
        <v>108</v>
      </c>
      <c r="BS634" t="s">
        <v>12146</v>
      </c>
      <c r="BT634" t="str">
        <f>HYPERLINK("https%3A%2F%2Fwww.webofscience.com%2Fwos%2Fwoscc%2Ffull-record%2FWOS:000903745000007","View Full Record in Web of Science")</f>
        <v>View Full Record in Web of Science</v>
      </c>
    </row>
    <row r="635" spans="1:72" x14ac:dyDescent="0.15">
      <c r="A635" t="s">
        <v>72</v>
      </c>
      <c r="B635" t="s">
        <v>12147</v>
      </c>
      <c r="C635" t="s">
        <v>74</v>
      </c>
      <c r="D635" t="s">
        <v>74</v>
      </c>
      <c r="E635" t="s">
        <v>74</v>
      </c>
      <c r="F635" t="s">
        <v>12148</v>
      </c>
      <c r="G635" t="s">
        <v>74</v>
      </c>
      <c r="H635" t="s">
        <v>74</v>
      </c>
      <c r="I635" t="s">
        <v>12149</v>
      </c>
      <c r="J635" t="s">
        <v>6980</v>
      </c>
      <c r="K635" t="s">
        <v>74</v>
      </c>
      <c r="L635" t="s">
        <v>74</v>
      </c>
      <c r="M635" t="s">
        <v>78</v>
      </c>
      <c r="N635" t="s">
        <v>79</v>
      </c>
      <c r="O635" t="s">
        <v>74</v>
      </c>
      <c r="P635" t="s">
        <v>74</v>
      </c>
      <c r="Q635" t="s">
        <v>74</v>
      </c>
      <c r="R635" t="s">
        <v>74</v>
      </c>
      <c r="S635" t="s">
        <v>74</v>
      </c>
      <c r="T635" t="s">
        <v>12150</v>
      </c>
      <c r="U635" t="s">
        <v>12151</v>
      </c>
      <c r="V635" t="s">
        <v>12152</v>
      </c>
      <c r="W635" t="s">
        <v>12153</v>
      </c>
      <c r="X635" t="s">
        <v>12154</v>
      </c>
      <c r="Y635" t="s">
        <v>12155</v>
      </c>
      <c r="Z635" t="s">
        <v>12156</v>
      </c>
      <c r="AA635" t="s">
        <v>74</v>
      </c>
      <c r="AB635" t="s">
        <v>74</v>
      </c>
      <c r="AC635" t="s">
        <v>74</v>
      </c>
      <c r="AD635" t="s">
        <v>74</v>
      </c>
      <c r="AE635" t="s">
        <v>74</v>
      </c>
      <c r="AF635" t="s">
        <v>74</v>
      </c>
      <c r="AG635">
        <v>118</v>
      </c>
      <c r="AH635">
        <v>8</v>
      </c>
      <c r="AI635">
        <v>8</v>
      </c>
      <c r="AJ635">
        <v>4</v>
      </c>
      <c r="AK635">
        <v>9</v>
      </c>
      <c r="AL635" t="s">
        <v>237</v>
      </c>
      <c r="AM635" t="s">
        <v>238</v>
      </c>
      <c r="AN635" t="s">
        <v>239</v>
      </c>
      <c r="AO635" t="s">
        <v>6992</v>
      </c>
      <c r="AP635" t="s">
        <v>74</v>
      </c>
      <c r="AQ635" t="s">
        <v>74</v>
      </c>
      <c r="AR635" t="s">
        <v>6993</v>
      </c>
      <c r="AS635" t="s">
        <v>6994</v>
      </c>
      <c r="AT635" t="s">
        <v>9001</v>
      </c>
      <c r="AU635">
        <v>2022</v>
      </c>
      <c r="AV635">
        <v>27</v>
      </c>
      <c r="AW635" t="s">
        <v>74</v>
      </c>
      <c r="AX635" t="s">
        <v>74</v>
      </c>
      <c r="AY635" t="s">
        <v>74</v>
      </c>
      <c r="AZ635" t="s">
        <v>74</v>
      </c>
      <c r="BA635" t="s">
        <v>74</v>
      </c>
      <c r="BB635" t="s">
        <v>74</v>
      </c>
      <c r="BC635" t="s">
        <v>74</v>
      </c>
      <c r="BD635">
        <v>101422</v>
      </c>
      <c r="BE635" t="s">
        <v>12157</v>
      </c>
      <c r="BF635" t="str">
        <f>HYPERLINK("http://dx.doi.org/10.1016/j.aqrep.2022.101422","http://dx.doi.org/10.1016/j.aqrep.2022.101422")</f>
        <v>http://dx.doi.org/10.1016/j.aqrep.2022.101422</v>
      </c>
      <c r="BG635" t="s">
        <v>74</v>
      </c>
      <c r="BH635" t="s">
        <v>11396</v>
      </c>
      <c r="BI635">
        <v>12</v>
      </c>
      <c r="BJ635" t="s">
        <v>246</v>
      </c>
      <c r="BK635" t="s">
        <v>104</v>
      </c>
      <c r="BL635" t="s">
        <v>246</v>
      </c>
      <c r="BM635" t="s">
        <v>12158</v>
      </c>
      <c r="BN635" t="s">
        <v>74</v>
      </c>
      <c r="BO635" t="s">
        <v>165</v>
      </c>
      <c r="BP635" t="s">
        <v>74</v>
      </c>
      <c r="BQ635" t="s">
        <v>74</v>
      </c>
      <c r="BR635" t="s">
        <v>108</v>
      </c>
      <c r="BS635" t="s">
        <v>12159</v>
      </c>
      <c r="BT635" t="str">
        <f>HYPERLINK("https%3A%2F%2Fwww.webofscience.com%2Fwos%2Fwoscc%2Ffull-record%2FWOS:000895857600006","View Full Record in Web of Science")</f>
        <v>View Full Record in Web of Science</v>
      </c>
    </row>
    <row r="636" spans="1:72" x14ac:dyDescent="0.15">
      <c r="A636" t="s">
        <v>72</v>
      </c>
      <c r="B636" t="s">
        <v>12160</v>
      </c>
      <c r="C636" t="s">
        <v>74</v>
      </c>
      <c r="D636" t="s">
        <v>74</v>
      </c>
      <c r="E636" t="s">
        <v>74</v>
      </c>
      <c r="F636" t="s">
        <v>12161</v>
      </c>
      <c r="G636" t="s">
        <v>74</v>
      </c>
      <c r="H636" t="s">
        <v>74</v>
      </c>
      <c r="I636" t="s">
        <v>12162</v>
      </c>
      <c r="J636" t="s">
        <v>12163</v>
      </c>
      <c r="K636" t="s">
        <v>74</v>
      </c>
      <c r="L636" t="s">
        <v>74</v>
      </c>
      <c r="M636" t="s">
        <v>78</v>
      </c>
      <c r="N636" t="s">
        <v>79</v>
      </c>
      <c r="O636" t="s">
        <v>74</v>
      </c>
      <c r="P636" t="s">
        <v>74</v>
      </c>
      <c r="Q636" t="s">
        <v>74</v>
      </c>
      <c r="R636" t="s">
        <v>74</v>
      </c>
      <c r="S636" t="s">
        <v>74</v>
      </c>
      <c r="T636" t="s">
        <v>12164</v>
      </c>
      <c r="U636" t="s">
        <v>12165</v>
      </c>
      <c r="V636" t="s">
        <v>12166</v>
      </c>
      <c r="W636" t="s">
        <v>12167</v>
      </c>
      <c r="X636" t="s">
        <v>12168</v>
      </c>
      <c r="Y636" t="s">
        <v>12169</v>
      </c>
      <c r="Z636" t="s">
        <v>12170</v>
      </c>
      <c r="AA636" t="s">
        <v>74</v>
      </c>
      <c r="AB636" t="s">
        <v>12171</v>
      </c>
      <c r="AC636" t="s">
        <v>12172</v>
      </c>
      <c r="AD636" t="s">
        <v>12173</v>
      </c>
      <c r="AE636" t="s">
        <v>12174</v>
      </c>
      <c r="AF636" t="s">
        <v>74</v>
      </c>
      <c r="AG636">
        <v>120</v>
      </c>
      <c r="AH636">
        <v>0</v>
      </c>
      <c r="AI636">
        <v>0</v>
      </c>
      <c r="AJ636">
        <v>3</v>
      </c>
      <c r="AK636">
        <v>13</v>
      </c>
      <c r="AL636" t="s">
        <v>8762</v>
      </c>
      <c r="AM636" t="s">
        <v>2564</v>
      </c>
      <c r="AN636" t="s">
        <v>8763</v>
      </c>
      <c r="AO636" t="s">
        <v>12175</v>
      </c>
      <c r="AP636" t="s">
        <v>12176</v>
      </c>
      <c r="AQ636" t="s">
        <v>74</v>
      </c>
      <c r="AR636" t="s">
        <v>12177</v>
      </c>
      <c r="AS636" t="s">
        <v>12178</v>
      </c>
      <c r="AT636" t="s">
        <v>12004</v>
      </c>
      <c r="AU636">
        <v>2023</v>
      </c>
      <c r="AV636">
        <v>217</v>
      </c>
      <c r="AW636" t="s">
        <v>74</v>
      </c>
      <c r="AX636" t="s">
        <v>74</v>
      </c>
      <c r="AY636" t="s">
        <v>74</v>
      </c>
      <c r="AZ636" t="s">
        <v>74</v>
      </c>
      <c r="BA636" t="s">
        <v>74</v>
      </c>
      <c r="BB636" t="s">
        <v>74</v>
      </c>
      <c r="BC636" t="s">
        <v>74</v>
      </c>
      <c r="BD636">
        <v>114811</v>
      </c>
      <c r="BE636" t="s">
        <v>12179</v>
      </c>
      <c r="BF636" t="str">
        <f>HYPERLINK("http://dx.doi.org/10.1016/j.envres.2022.114811","http://dx.doi.org/10.1016/j.envres.2022.114811")</f>
        <v>http://dx.doi.org/10.1016/j.envres.2022.114811</v>
      </c>
      <c r="BG636" t="s">
        <v>74</v>
      </c>
      <c r="BH636" t="s">
        <v>11396</v>
      </c>
      <c r="BI636">
        <v>15</v>
      </c>
      <c r="BJ636" t="s">
        <v>10515</v>
      </c>
      <c r="BK636" t="s">
        <v>104</v>
      </c>
      <c r="BL636" t="s">
        <v>10516</v>
      </c>
      <c r="BM636" t="s">
        <v>12180</v>
      </c>
      <c r="BN636">
        <v>36414105</v>
      </c>
      <c r="BO636" t="s">
        <v>219</v>
      </c>
      <c r="BP636" t="s">
        <v>74</v>
      </c>
      <c r="BQ636" t="s">
        <v>74</v>
      </c>
      <c r="BR636" t="s">
        <v>108</v>
      </c>
      <c r="BS636" t="s">
        <v>12181</v>
      </c>
      <c r="BT636" t="str">
        <f>HYPERLINK("https%3A%2F%2Fwww.webofscience.com%2Fwos%2Fwoscc%2Ffull-record%2FWOS:000895277600003","View Full Record in Web of Science")</f>
        <v>View Full Record in Web of Science</v>
      </c>
    </row>
    <row r="637" spans="1:72" x14ac:dyDescent="0.15">
      <c r="A637" t="s">
        <v>72</v>
      </c>
      <c r="B637" t="s">
        <v>12182</v>
      </c>
      <c r="C637" t="s">
        <v>74</v>
      </c>
      <c r="D637" t="s">
        <v>74</v>
      </c>
      <c r="E637" t="s">
        <v>74</v>
      </c>
      <c r="F637" t="s">
        <v>12183</v>
      </c>
      <c r="G637" t="s">
        <v>74</v>
      </c>
      <c r="H637" t="s">
        <v>74</v>
      </c>
      <c r="I637" t="s">
        <v>12184</v>
      </c>
      <c r="J637" t="s">
        <v>6711</v>
      </c>
      <c r="K637" t="s">
        <v>74</v>
      </c>
      <c r="L637" t="s">
        <v>74</v>
      </c>
      <c r="M637" t="s">
        <v>78</v>
      </c>
      <c r="N637" t="s">
        <v>256</v>
      </c>
      <c r="O637" t="s">
        <v>74</v>
      </c>
      <c r="P637" t="s">
        <v>74</v>
      </c>
      <c r="Q637" t="s">
        <v>74</v>
      </c>
      <c r="R637" t="s">
        <v>74</v>
      </c>
      <c r="S637" t="s">
        <v>74</v>
      </c>
      <c r="T637" t="s">
        <v>12185</v>
      </c>
      <c r="U637" t="s">
        <v>12186</v>
      </c>
      <c r="V637" t="s">
        <v>12187</v>
      </c>
      <c r="W637" t="s">
        <v>12188</v>
      </c>
      <c r="X637" t="s">
        <v>12189</v>
      </c>
      <c r="Y637" t="s">
        <v>12190</v>
      </c>
      <c r="Z637" t="s">
        <v>12191</v>
      </c>
      <c r="AA637" t="s">
        <v>12192</v>
      </c>
      <c r="AB637" t="s">
        <v>12193</v>
      </c>
      <c r="AC637" t="s">
        <v>12194</v>
      </c>
      <c r="AD637" t="s">
        <v>12195</v>
      </c>
      <c r="AE637" t="s">
        <v>12196</v>
      </c>
      <c r="AF637" t="s">
        <v>74</v>
      </c>
      <c r="AG637">
        <v>173</v>
      </c>
      <c r="AH637">
        <v>4</v>
      </c>
      <c r="AI637">
        <v>5</v>
      </c>
      <c r="AJ637">
        <v>15</v>
      </c>
      <c r="AK637">
        <v>50</v>
      </c>
      <c r="AL637" t="s">
        <v>603</v>
      </c>
      <c r="AM637" t="s">
        <v>208</v>
      </c>
      <c r="AN637" t="s">
        <v>604</v>
      </c>
      <c r="AO637" t="s">
        <v>6723</v>
      </c>
      <c r="AP637" t="s">
        <v>6724</v>
      </c>
      <c r="AQ637" t="s">
        <v>74</v>
      </c>
      <c r="AR637" t="s">
        <v>6725</v>
      </c>
      <c r="AS637" t="s">
        <v>6726</v>
      </c>
      <c r="AT637" t="s">
        <v>276</v>
      </c>
      <c r="AU637">
        <v>2023</v>
      </c>
      <c r="AV637">
        <v>186</v>
      </c>
      <c r="AW637" t="s">
        <v>74</v>
      </c>
      <c r="AX637" t="s">
        <v>74</v>
      </c>
      <c r="AY637" t="s">
        <v>74</v>
      </c>
      <c r="AZ637" t="s">
        <v>74</v>
      </c>
      <c r="BA637" t="s">
        <v>74</v>
      </c>
      <c r="BB637" t="s">
        <v>74</v>
      </c>
      <c r="BC637" t="s">
        <v>74</v>
      </c>
      <c r="BD637">
        <v>114353</v>
      </c>
      <c r="BE637" t="s">
        <v>12197</v>
      </c>
      <c r="BF637" t="str">
        <f>HYPERLINK("http://dx.doi.org/10.1016/j.marpolbul.2022.114353","http://dx.doi.org/10.1016/j.marpolbul.2022.114353")</f>
        <v>http://dx.doi.org/10.1016/j.marpolbul.2022.114353</v>
      </c>
      <c r="BG637" t="s">
        <v>74</v>
      </c>
      <c r="BH637" t="s">
        <v>11396</v>
      </c>
      <c r="BI637">
        <v>13</v>
      </c>
      <c r="BJ637" t="s">
        <v>6728</v>
      </c>
      <c r="BK637" t="s">
        <v>104</v>
      </c>
      <c r="BL637" t="s">
        <v>6729</v>
      </c>
      <c r="BM637" t="s">
        <v>12198</v>
      </c>
      <c r="BN637">
        <v>36436273</v>
      </c>
      <c r="BO637" t="s">
        <v>74</v>
      </c>
      <c r="BP637" t="s">
        <v>74</v>
      </c>
      <c r="BQ637" t="s">
        <v>74</v>
      </c>
      <c r="BR637" t="s">
        <v>108</v>
      </c>
      <c r="BS637" t="s">
        <v>12199</v>
      </c>
      <c r="BT637" t="str">
        <f>HYPERLINK("https%3A%2F%2Fwww.webofscience.com%2Fwos%2Fwoscc%2Ffull-record%2FWOS:000891762500002","View Full Record in Web of Science")</f>
        <v>View Full Record in Web of Science</v>
      </c>
    </row>
    <row r="638" spans="1:72" x14ac:dyDescent="0.15">
      <c r="A638" t="s">
        <v>72</v>
      </c>
      <c r="B638" t="s">
        <v>12200</v>
      </c>
      <c r="C638" t="s">
        <v>74</v>
      </c>
      <c r="D638" t="s">
        <v>74</v>
      </c>
      <c r="E638" t="s">
        <v>74</v>
      </c>
      <c r="F638" t="s">
        <v>12201</v>
      </c>
      <c r="G638" t="s">
        <v>74</v>
      </c>
      <c r="H638" t="s">
        <v>74</v>
      </c>
      <c r="I638" t="s">
        <v>12202</v>
      </c>
      <c r="J638" t="s">
        <v>12203</v>
      </c>
      <c r="K638" t="s">
        <v>74</v>
      </c>
      <c r="L638" t="s">
        <v>74</v>
      </c>
      <c r="M638" t="s">
        <v>78</v>
      </c>
      <c r="N638" t="s">
        <v>79</v>
      </c>
      <c r="O638" t="s">
        <v>74</v>
      </c>
      <c r="P638" t="s">
        <v>74</v>
      </c>
      <c r="Q638" t="s">
        <v>74</v>
      </c>
      <c r="R638" t="s">
        <v>74</v>
      </c>
      <c r="S638" t="s">
        <v>74</v>
      </c>
      <c r="T638" t="s">
        <v>12204</v>
      </c>
      <c r="U638" t="s">
        <v>74</v>
      </c>
      <c r="V638" t="s">
        <v>12205</v>
      </c>
      <c r="W638" t="s">
        <v>12206</v>
      </c>
      <c r="X638" t="s">
        <v>12207</v>
      </c>
      <c r="Y638" t="s">
        <v>12208</v>
      </c>
      <c r="Z638" t="s">
        <v>12209</v>
      </c>
      <c r="AA638" t="s">
        <v>74</v>
      </c>
      <c r="AB638" t="s">
        <v>12210</v>
      </c>
      <c r="AC638" t="s">
        <v>74</v>
      </c>
      <c r="AD638" t="s">
        <v>74</v>
      </c>
      <c r="AE638" t="s">
        <v>74</v>
      </c>
      <c r="AF638" t="s">
        <v>74</v>
      </c>
      <c r="AG638">
        <v>65</v>
      </c>
      <c r="AH638">
        <v>0</v>
      </c>
      <c r="AI638">
        <v>0</v>
      </c>
      <c r="AJ638">
        <v>0</v>
      </c>
      <c r="AK638">
        <v>0</v>
      </c>
      <c r="AL638" t="s">
        <v>92</v>
      </c>
      <c r="AM638" t="s">
        <v>93</v>
      </c>
      <c r="AN638" t="s">
        <v>94</v>
      </c>
      <c r="AO638" t="s">
        <v>12211</v>
      </c>
      <c r="AP638" t="s">
        <v>12212</v>
      </c>
      <c r="AQ638" t="s">
        <v>74</v>
      </c>
      <c r="AR638" t="s">
        <v>12213</v>
      </c>
      <c r="AS638" t="s">
        <v>12214</v>
      </c>
      <c r="AT638" t="s">
        <v>12215</v>
      </c>
      <c r="AU638">
        <v>2022</v>
      </c>
      <c r="AV638">
        <v>58</v>
      </c>
      <c r="AW638" t="s">
        <v>74</v>
      </c>
      <c r="AX638" t="s">
        <v>74</v>
      </c>
      <c r="AY638" t="s">
        <v>74</v>
      </c>
      <c r="AZ638" t="s">
        <v>74</v>
      </c>
      <c r="BA638" t="s">
        <v>74</v>
      </c>
      <c r="BB638" t="s">
        <v>74</v>
      </c>
      <c r="BC638" t="s">
        <v>74</v>
      </c>
      <c r="BD638" t="s">
        <v>12216</v>
      </c>
      <c r="BE638" t="s">
        <v>12217</v>
      </c>
      <c r="BF638" t="str">
        <f>HYPERLINK("http://dx.doi.org/10.1017/S0032247422000341","http://dx.doi.org/10.1017/S0032247422000341")</f>
        <v>http://dx.doi.org/10.1017/S0032247422000341</v>
      </c>
      <c r="BG638" t="s">
        <v>74</v>
      </c>
      <c r="BH638" t="s">
        <v>74</v>
      </c>
      <c r="BI638">
        <v>10</v>
      </c>
      <c r="BJ638" t="s">
        <v>6907</v>
      </c>
      <c r="BK638" t="s">
        <v>104</v>
      </c>
      <c r="BL638" t="s">
        <v>217</v>
      </c>
      <c r="BM638" t="s">
        <v>12218</v>
      </c>
      <c r="BN638" t="s">
        <v>74</v>
      </c>
      <c r="BO638" t="s">
        <v>219</v>
      </c>
      <c r="BP638" t="s">
        <v>74</v>
      </c>
      <c r="BQ638" t="s">
        <v>74</v>
      </c>
      <c r="BR638" t="s">
        <v>108</v>
      </c>
      <c r="BS638" t="s">
        <v>12219</v>
      </c>
      <c r="BT638" t="str">
        <f>HYPERLINK("https%3A%2F%2Fwww.webofscience.com%2Fwos%2Fwoscc%2Ffull-record%2FWOS:000889891600001","View Full Record in Web of Science")</f>
        <v>View Full Record in Web of Science</v>
      </c>
    </row>
    <row r="639" spans="1:72" x14ac:dyDescent="0.15">
      <c r="A639" t="s">
        <v>72</v>
      </c>
      <c r="B639" t="s">
        <v>12220</v>
      </c>
      <c r="C639" t="s">
        <v>74</v>
      </c>
      <c r="D639" t="s">
        <v>74</v>
      </c>
      <c r="E639" t="s">
        <v>74</v>
      </c>
      <c r="F639" t="s">
        <v>12221</v>
      </c>
      <c r="G639" t="s">
        <v>74</v>
      </c>
      <c r="H639" t="s">
        <v>74</v>
      </c>
      <c r="I639" t="s">
        <v>12222</v>
      </c>
      <c r="J639" t="s">
        <v>170</v>
      </c>
      <c r="K639" t="s">
        <v>74</v>
      </c>
      <c r="L639" t="s">
        <v>74</v>
      </c>
      <c r="M639" t="s">
        <v>78</v>
      </c>
      <c r="N639" t="s">
        <v>79</v>
      </c>
      <c r="O639" t="s">
        <v>74</v>
      </c>
      <c r="P639" t="s">
        <v>74</v>
      </c>
      <c r="Q639" t="s">
        <v>74</v>
      </c>
      <c r="R639" t="s">
        <v>74</v>
      </c>
      <c r="S639" t="s">
        <v>74</v>
      </c>
      <c r="T639" t="s">
        <v>74</v>
      </c>
      <c r="U639" t="s">
        <v>12223</v>
      </c>
      <c r="V639" t="s">
        <v>12224</v>
      </c>
      <c r="W639" t="s">
        <v>12225</v>
      </c>
      <c r="X639" t="s">
        <v>12226</v>
      </c>
      <c r="Y639" t="s">
        <v>12227</v>
      </c>
      <c r="Z639" t="s">
        <v>12228</v>
      </c>
      <c r="AA639" t="s">
        <v>12229</v>
      </c>
      <c r="AB639" t="s">
        <v>12230</v>
      </c>
      <c r="AC639" t="s">
        <v>12231</v>
      </c>
      <c r="AD639" t="s">
        <v>12232</v>
      </c>
      <c r="AE639" t="s">
        <v>12233</v>
      </c>
      <c r="AF639" t="s">
        <v>74</v>
      </c>
      <c r="AG639">
        <v>69</v>
      </c>
      <c r="AH639">
        <v>3</v>
      </c>
      <c r="AI639">
        <v>3</v>
      </c>
      <c r="AJ639">
        <v>1</v>
      </c>
      <c r="AK639">
        <v>10</v>
      </c>
      <c r="AL639" t="s">
        <v>182</v>
      </c>
      <c r="AM639" t="s">
        <v>183</v>
      </c>
      <c r="AN639" t="s">
        <v>184</v>
      </c>
      <c r="AO639" t="s">
        <v>185</v>
      </c>
      <c r="AP639" t="s">
        <v>74</v>
      </c>
      <c r="AQ639" t="s">
        <v>74</v>
      </c>
      <c r="AR639" t="s">
        <v>186</v>
      </c>
      <c r="AS639" t="s">
        <v>187</v>
      </c>
      <c r="AT639" t="s">
        <v>12215</v>
      </c>
      <c r="AU639">
        <v>2022</v>
      </c>
      <c r="AV639">
        <v>12</v>
      </c>
      <c r="AW639">
        <v>1</v>
      </c>
      <c r="AX639" t="s">
        <v>74</v>
      </c>
      <c r="AY639" t="s">
        <v>74</v>
      </c>
      <c r="AZ639" t="s">
        <v>74</v>
      </c>
      <c r="BA639" t="s">
        <v>74</v>
      </c>
      <c r="BB639" t="s">
        <v>74</v>
      </c>
      <c r="BC639" t="s">
        <v>74</v>
      </c>
      <c r="BD639">
        <v>20250</v>
      </c>
      <c r="BE639" t="s">
        <v>12234</v>
      </c>
      <c r="BF639" t="str">
        <f>HYPERLINK("http://dx.doi.org/10.1038/s41598-022-24704-6","http://dx.doi.org/10.1038/s41598-022-24704-6")</f>
        <v>http://dx.doi.org/10.1038/s41598-022-24704-6</v>
      </c>
      <c r="BG639" t="s">
        <v>74</v>
      </c>
      <c r="BH639" t="s">
        <v>74</v>
      </c>
      <c r="BI639">
        <v>13</v>
      </c>
      <c r="BJ639" t="s">
        <v>189</v>
      </c>
      <c r="BK639" t="s">
        <v>104</v>
      </c>
      <c r="BL639" t="s">
        <v>190</v>
      </c>
      <c r="BM639" t="s">
        <v>12235</v>
      </c>
      <c r="BN639">
        <v>36424421</v>
      </c>
      <c r="BO639" t="s">
        <v>192</v>
      </c>
      <c r="BP639" t="s">
        <v>74</v>
      </c>
      <c r="BQ639" t="s">
        <v>74</v>
      </c>
      <c r="BR639" t="s">
        <v>108</v>
      </c>
      <c r="BS639" t="s">
        <v>12236</v>
      </c>
      <c r="BT639" t="str">
        <f>HYPERLINK("https%3A%2F%2Fwww.webofscience.com%2Fwos%2Fwoscc%2Ffull-record%2FWOS:000888059100018","View Full Record in Web of Science")</f>
        <v>View Full Record in Web of Science</v>
      </c>
    </row>
    <row r="640" spans="1:72" x14ac:dyDescent="0.15">
      <c r="A640" t="s">
        <v>72</v>
      </c>
      <c r="B640" t="s">
        <v>12237</v>
      </c>
      <c r="C640" t="s">
        <v>74</v>
      </c>
      <c r="D640" t="s">
        <v>74</v>
      </c>
      <c r="E640" t="s">
        <v>74</v>
      </c>
      <c r="F640" t="s">
        <v>12238</v>
      </c>
      <c r="G640" t="s">
        <v>74</v>
      </c>
      <c r="H640" t="s">
        <v>74</v>
      </c>
      <c r="I640" t="s">
        <v>12239</v>
      </c>
      <c r="J640" t="s">
        <v>12240</v>
      </c>
      <c r="K640" t="s">
        <v>74</v>
      </c>
      <c r="L640" t="s">
        <v>74</v>
      </c>
      <c r="M640" t="s">
        <v>78</v>
      </c>
      <c r="N640" t="s">
        <v>79</v>
      </c>
      <c r="O640" t="s">
        <v>74</v>
      </c>
      <c r="P640" t="s">
        <v>74</v>
      </c>
      <c r="Q640" t="s">
        <v>74</v>
      </c>
      <c r="R640" t="s">
        <v>74</v>
      </c>
      <c r="S640" t="s">
        <v>74</v>
      </c>
      <c r="T640" t="s">
        <v>12241</v>
      </c>
      <c r="U640" t="s">
        <v>12242</v>
      </c>
      <c r="V640" t="s">
        <v>12243</v>
      </c>
      <c r="W640" t="s">
        <v>12244</v>
      </c>
      <c r="X640" t="s">
        <v>12245</v>
      </c>
      <c r="Y640" t="s">
        <v>12246</v>
      </c>
      <c r="Z640" t="s">
        <v>12247</v>
      </c>
      <c r="AA640" t="s">
        <v>12248</v>
      </c>
      <c r="AB640" t="s">
        <v>12249</v>
      </c>
      <c r="AC640" t="s">
        <v>74</v>
      </c>
      <c r="AD640" t="s">
        <v>74</v>
      </c>
      <c r="AE640" t="s">
        <v>74</v>
      </c>
      <c r="AF640" t="s">
        <v>74</v>
      </c>
      <c r="AG640">
        <v>41</v>
      </c>
      <c r="AH640">
        <v>4</v>
      </c>
      <c r="AI640">
        <v>4</v>
      </c>
      <c r="AJ640">
        <v>0</v>
      </c>
      <c r="AK640">
        <v>10</v>
      </c>
      <c r="AL640" t="s">
        <v>297</v>
      </c>
      <c r="AM640" t="s">
        <v>298</v>
      </c>
      <c r="AN640" t="s">
        <v>12250</v>
      </c>
      <c r="AO640" t="s">
        <v>74</v>
      </c>
      <c r="AP640" t="s">
        <v>12251</v>
      </c>
      <c r="AQ640" t="s">
        <v>74</v>
      </c>
      <c r="AR640" t="s">
        <v>12252</v>
      </c>
      <c r="AS640" t="s">
        <v>12253</v>
      </c>
      <c r="AT640" t="s">
        <v>9241</v>
      </c>
      <c r="AU640">
        <v>2023</v>
      </c>
      <c r="AV640">
        <v>9</v>
      </c>
      <c r="AW640">
        <v>3</v>
      </c>
      <c r="AX640" t="s">
        <v>74</v>
      </c>
      <c r="AY640" t="s">
        <v>74</v>
      </c>
      <c r="AZ640" t="s">
        <v>74</v>
      </c>
      <c r="BA640" t="s">
        <v>74</v>
      </c>
      <c r="BB640">
        <v>340</v>
      </c>
      <c r="BC640">
        <v>353</v>
      </c>
      <c r="BD640" t="s">
        <v>74</v>
      </c>
      <c r="BE640" t="s">
        <v>12254</v>
      </c>
      <c r="BF640" t="str">
        <f>HYPERLINK("http://dx.doi.org/10.1002/rse2.313","http://dx.doi.org/10.1002/rse2.313")</f>
        <v>http://dx.doi.org/10.1002/rse2.313</v>
      </c>
      <c r="BG640" t="s">
        <v>74</v>
      </c>
      <c r="BH640" t="s">
        <v>11396</v>
      </c>
      <c r="BI640">
        <v>14</v>
      </c>
      <c r="BJ640" t="s">
        <v>12255</v>
      </c>
      <c r="BK640" t="s">
        <v>104</v>
      </c>
      <c r="BL640" t="s">
        <v>12256</v>
      </c>
      <c r="BM640" t="s">
        <v>12257</v>
      </c>
      <c r="BN640" t="s">
        <v>74</v>
      </c>
      <c r="BO640" t="s">
        <v>192</v>
      </c>
      <c r="BP640" t="s">
        <v>74</v>
      </c>
      <c r="BQ640" t="s">
        <v>74</v>
      </c>
      <c r="BR640" t="s">
        <v>108</v>
      </c>
      <c r="BS640" t="s">
        <v>12258</v>
      </c>
      <c r="BT640" t="str">
        <f>HYPERLINK("https%3A%2F%2Fwww.webofscience.com%2Fwos%2Fwoscc%2Ffull-record%2FWOS:000889989200001","View Full Record in Web of Science")</f>
        <v>View Full Record in Web of Science</v>
      </c>
    </row>
    <row r="641" spans="1:72" x14ac:dyDescent="0.15">
      <c r="A641" t="s">
        <v>72</v>
      </c>
      <c r="B641" t="s">
        <v>12259</v>
      </c>
      <c r="C641" t="s">
        <v>74</v>
      </c>
      <c r="D641" t="s">
        <v>74</v>
      </c>
      <c r="E641" t="s">
        <v>74</v>
      </c>
      <c r="F641" t="s">
        <v>12260</v>
      </c>
      <c r="G641" t="s">
        <v>74</v>
      </c>
      <c r="H641" t="s">
        <v>74</v>
      </c>
      <c r="I641" t="s">
        <v>12261</v>
      </c>
      <c r="J641" t="s">
        <v>9824</v>
      </c>
      <c r="K641" t="s">
        <v>74</v>
      </c>
      <c r="L641" t="s">
        <v>74</v>
      </c>
      <c r="M641" t="s">
        <v>78</v>
      </c>
      <c r="N641" t="s">
        <v>9947</v>
      </c>
      <c r="O641" t="s">
        <v>74</v>
      </c>
      <c r="P641" t="s">
        <v>74</v>
      </c>
      <c r="Q641" t="s">
        <v>74</v>
      </c>
      <c r="R641" t="s">
        <v>74</v>
      </c>
      <c r="S641" t="s">
        <v>74</v>
      </c>
      <c r="T641" t="s">
        <v>74</v>
      </c>
      <c r="U641" t="s">
        <v>74</v>
      </c>
      <c r="V641" t="s">
        <v>74</v>
      </c>
      <c r="W641" t="s">
        <v>74</v>
      </c>
      <c r="X641" t="s">
        <v>74</v>
      </c>
      <c r="Y641" t="s">
        <v>74</v>
      </c>
      <c r="Z641" t="s">
        <v>74</v>
      </c>
      <c r="AA641" t="s">
        <v>74</v>
      </c>
      <c r="AB641" t="s">
        <v>74</v>
      </c>
      <c r="AC641" t="s">
        <v>74</v>
      </c>
      <c r="AD641" t="s">
        <v>74</v>
      </c>
      <c r="AE641" t="s">
        <v>74</v>
      </c>
      <c r="AF641" t="s">
        <v>74</v>
      </c>
      <c r="AG641">
        <v>0</v>
      </c>
      <c r="AH641">
        <v>0</v>
      </c>
      <c r="AI641">
        <v>0</v>
      </c>
      <c r="AJ641">
        <v>0</v>
      </c>
      <c r="AK641">
        <v>2</v>
      </c>
      <c r="AL641" t="s">
        <v>182</v>
      </c>
      <c r="AM641" t="s">
        <v>183</v>
      </c>
      <c r="AN641" t="s">
        <v>184</v>
      </c>
      <c r="AO641" t="s">
        <v>9836</v>
      </c>
      <c r="AP641" t="s">
        <v>9837</v>
      </c>
      <c r="AQ641" t="s">
        <v>74</v>
      </c>
      <c r="AR641" t="s">
        <v>9824</v>
      </c>
      <c r="AS641" t="s">
        <v>9838</v>
      </c>
      <c r="AT641" t="s">
        <v>12215</v>
      </c>
      <c r="AU641">
        <v>2022</v>
      </c>
      <c r="AV641">
        <v>611</v>
      </c>
      <c r="AW641">
        <v>7937</v>
      </c>
      <c r="AX641" t="s">
        <v>74</v>
      </c>
      <c r="AY641" t="s">
        <v>74</v>
      </c>
      <c r="AZ641" t="s">
        <v>74</v>
      </c>
      <c r="BA641" t="s">
        <v>74</v>
      </c>
      <c r="BB641">
        <v>647</v>
      </c>
      <c r="BC641">
        <v>648</v>
      </c>
      <c r="BD641" t="s">
        <v>74</v>
      </c>
      <c r="BE641" t="s">
        <v>12262</v>
      </c>
      <c r="BF641" t="str">
        <f>HYPERLINK("http://dx.doi.org/10.1038/d41586-022-03723-3","http://dx.doi.org/10.1038/d41586-022-03723-3")</f>
        <v>http://dx.doi.org/10.1038/d41586-022-03723-3</v>
      </c>
      <c r="BG641" t="s">
        <v>74</v>
      </c>
      <c r="BH641" t="s">
        <v>74</v>
      </c>
      <c r="BI641">
        <v>2</v>
      </c>
      <c r="BJ641" t="s">
        <v>189</v>
      </c>
      <c r="BK641" t="s">
        <v>104</v>
      </c>
      <c r="BL641" t="s">
        <v>190</v>
      </c>
      <c r="BM641" t="s">
        <v>12263</v>
      </c>
      <c r="BN641">
        <v>36385295</v>
      </c>
      <c r="BO641" t="s">
        <v>74</v>
      </c>
      <c r="BP641" t="s">
        <v>74</v>
      </c>
      <c r="BQ641" t="s">
        <v>74</v>
      </c>
      <c r="BR641" t="s">
        <v>108</v>
      </c>
      <c r="BS641" t="s">
        <v>12264</v>
      </c>
      <c r="BT641" t="str">
        <f>HYPERLINK("https%3A%2F%2Fwww.webofscience.com%2Fwos%2Fwoscc%2Ffull-record%2FWOS:000887940100012","View Full Record in Web of Science")</f>
        <v>View Full Record in Web of Science</v>
      </c>
    </row>
    <row r="642" spans="1:72" x14ac:dyDescent="0.15">
      <c r="A642" t="s">
        <v>72</v>
      </c>
      <c r="B642" t="s">
        <v>12265</v>
      </c>
      <c r="C642" t="s">
        <v>74</v>
      </c>
      <c r="D642" t="s">
        <v>74</v>
      </c>
      <c r="E642" t="s">
        <v>74</v>
      </c>
      <c r="F642" t="s">
        <v>12266</v>
      </c>
      <c r="G642" t="s">
        <v>74</v>
      </c>
      <c r="H642" t="s">
        <v>74</v>
      </c>
      <c r="I642" t="s">
        <v>12267</v>
      </c>
      <c r="J642" t="s">
        <v>12268</v>
      </c>
      <c r="K642" t="s">
        <v>74</v>
      </c>
      <c r="L642" t="s">
        <v>74</v>
      </c>
      <c r="M642" t="s">
        <v>78</v>
      </c>
      <c r="N642" t="s">
        <v>79</v>
      </c>
      <c r="O642" t="s">
        <v>74</v>
      </c>
      <c r="P642" t="s">
        <v>74</v>
      </c>
      <c r="Q642" t="s">
        <v>74</v>
      </c>
      <c r="R642" t="s">
        <v>74</v>
      </c>
      <c r="S642" t="s">
        <v>74</v>
      </c>
      <c r="T642" t="s">
        <v>12269</v>
      </c>
      <c r="U642" t="s">
        <v>74</v>
      </c>
      <c r="V642" t="s">
        <v>12270</v>
      </c>
      <c r="W642" t="s">
        <v>12271</v>
      </c>
      <c r="X642" t="s">
        <v>12272</v>
      </c>
      <c r="Y642" t="s">
        <v>12273</v>
      </c>
      <c r="Z642" t="s">
        <v>12274</v>
      </c>
      <c r="AA642" t="s">
        <v>74</v>
      </c>
      <c r="AB642" t="s">
        <v>74</v>
      </c>
      <c r="AC642" t="s">
        <v>12275</v>
      </c>
      <c r="AD642" t="s">
        <v>12276</v>
      </c>
      <c r="AE642" t="s">
        <v>12277</v>
      </c>
      <c r="AF642" t="s">
        <v>74</v>
      </c>
      <c r="AG642">
        <v>7</v>
      </c>
      <c r="AH642">
        <v>0</v>
      </c>
      <c r="AI642">
        <v>0</v>
      </c>
      <c r="AJ642">
        <v>3</v>
      </c>
      <c r="AK642">
        <v>11</v>
      </c>
      <c r="AL642" t="s">
        <v>237</v>
      </c>
      <c r="AM642" t="s">
        <v>238</v>
      </c>
      <c r="AN642" t="s">
        <v>239</v>
      </c>
      <c r="AO642" t="s">
        <v>12278</v>
      </c>
      <c r="AP642" t="s">
        <v>12279</v>
      </c>
      <c r="AQ642" t="s">
        <v>74</v>
      </c>
      <c r="AR642" t="s">
        <v>12280</v>
      </c>
      <c r="AS642" t="s">
        <v>12281</v>
      </c>
      <c r="AT642" t="s">
        <v>9001</v>
      </c>
      <c r="AU642">
        <v>2022</v>
      </c>
      <c r="AV642">
        <v>34</v>
      </c>
      <c r="AW642" t="s">
        <v>74</v>
      </c>
      <c r="AX642" t="s">
        <v>74</v>
      </c>
      <c r="AY642" t="s">
        <v>74</v>
      </c>
      <c r="AZ642" t="s">
        <v>74</v>
      </c>
      <c r="BA642" t="s">
        <v>74</v>
      </c>
      <c r="BB642" t="s">
        <v>74</v>
      </c>
      <c r="BC642" t="s">
        <v>74</v>
      </c>
      <c r="BD642">
        <v>100903</v>
      </c>
      <c r="BE642" t="s">
        <v>12282</v>
      </c>
      <c r="BF642" t="str">
        <f>HYPERLINK("http://dx.doi.org/10.1016/j.polar.2022.100903","http://dx.doi.org/10.1016/j.polar.2022.100903")</f>
        <v>http://dx.doi.org/10.1016/j.polar.2022.100903</v>
      </c>
      <c r="BG642" t="s">
        <v>74</v>
      </c>
      <c r="BH642" t="s">
        <v>11396</v>
      </c>
      <c r="BI642">
        <v>3</v>
      </c>
      <c r="BJ642" t="s">
        <v>734</v>
      </c>
      <c r="BK642" t="s">
        <v>104</v>
      </c>
      <c r="BL642" t="s">
        <v>735</v>
      </c>
      <c r="BM642" t="s">
        <v>12283</v>
      </c>
      <c r="BN642" t="s">
        <v>74</v>
      </c>
      <c r="BO642" t="s">
        <v>74</v>
      </c>
      <c r="BP642" t="s">
        <v>74</v>
      </c>
      <c r="BQ642" t="s">
        <v>74</v>
      </c>
      <c r="BR642" t="s">
        <v>108</v>
      </c>
      <c r="BS642" t="s">
        <v>12284</v>
      </c>
      <c r="BT642" t="str">
        <f>HYPERLINK("https%3A%2F%2Fwww.webofscience.com%2Fwos%2Fwoscc%2Ffull-record%2FWOS:000906902900002","View Full Record in Web of Science")</f>
        <v>View Full Record in Web of Science</v>
      </c>
    </row>
    <row r="643" spans="1:72" x14ac:dyDescent="0.15">
      <c r="A643" t="s">
        <v>72</v>
      </c>
      <c r="B643" t="s">
        <v>12285</v>
      </c>
      <c r="C643" t="s">
        <v>74</v>
      </c>
      <c r="D643" t="s">
        <v>74</v>
      </c>
      <c r="E643" t="s">
        <v>74</v>
      </c>
      <c r="F643" t="s">
        <v>12286</v>
      </c>
      <c r="G643" t="s">
        <v>74</v>
      </c>
      <c r="H643" t="s">
        <v>74</v>
      </c>
      <c r="I643" t="s">
        <v>12287</v>
      </c>
      <c r="J643" t="s">
        <v>12268</v>
      </c>
      <c r="K643" t="s">
        <v>74</v>
      </c>
      <c r="L643" t="s">
        <v>74</v>
      </c>
      <c r="M643" t="s">
        <v>78</v>
      </c>
      <c r="N643" t="s">
        <v>79</v>
      </c>
      <c r="O643" t="s">
        <v>74</v>
      </c>
      <c r="P643" t="s">
        <v>74</v>
      </c>
      <c r="Q643" t="s">
        <v>74</v>
      </c>
      <c r="R643" t="s">
        <v>74</v>
      </c>
      <c r="S643" t="s">
        <v>74</v>
      </c>
      <c r="T643" t="s">
        <v>12288</v>
      </c>
      <c r="U643" t="s">
        <v>12289</v>
      </c>
      <c r="V643" t="s">
        <v>12290</v>
      </c>
      <c r="W643" t="s">
        <v>12291</v>
      </c>
      <c r="X643" t="s">
        <v>12292</v>
      </c>
      <c r="Y643" t="s">
        <v>12293</v>
      </c>
      <c r="Z643" t="s">
        <v>12294</v>
      </c>
      <c r="AA643" t="s">
        <v>74</v>
      </c>
      <c r="AB643" t="s">
        <v>74</v>
      </c>
      <c r="AC643" t="s">
        <v>12295</v>
      </c>
      <c r="AD643" t="s">
        <v>12296</v>
      </c>
      <c r="AE643" t="s">
        <v>12297</v>
      </c>
      <c r="AF643" t="s">
        <v>74</v>
      </c>
      <c r="AG643">
        <v>33</v>
      </c>
      <c r="AH643">
        <v>2</v>
      </c>
      <c r="AI643">
        <v>2</v>
      </c>
      <c r="AJ643">
        <v>1</v>
      </c>
      <c r="AK643">
        <v>6</v>
      </c>
      <c r="AL643" t="s">
        <v>237</v>
      </c>
      <c r="AM643" t="s">
        <v>238</v>
      </c>
      <c r="AN643" t="s">
        <v>239</v>
      </c>
      <c r="AO643" t="s">
        <v>12278</v>
      </c>
      <c r="AP643" t="s">
        <v>12279</v>
      </c>
      <c r="AQ643" t="s">
        <v>74</v>
      </c>
      <c r="AR643" t="s">
        <v>12280</v>
      </c>
      <c r="AS643" t="s">
        <v>12281</v>
      </c>
      <c r="AT643" t="s">
        <v>9001</v>
      </c>
      <c r="AU643">
        <v>2022</v>
      </c>
      <c r="AV643">
        <v>34</v>
      </c>
      <c r="AW643" t="s">
        <v>74</v>
      </c>
      <c r="AX643" t="s">
        <v>74</v>
      </c>
      <c r="AY643" t="s">
        <v>74</v>
      </c>
      <c r="AZ643" t="s">
        <v>74</v>
      </c>
      <c r="BA643" t="s">
        <v>74</v>
      </c>
      <c r="BB643" t="s">
        <v>74</v>
      </c>
      <c r="BC643" t="s">
        <v>74</v>
      </c>
      <c r="BD643">
        <v>100869</v>
      </c>
      <c r="BE643" t="s">
        <v>12298</v>
      </c>
      <c r="BF643" t="str">
        <f>HYPERLINK("http://dx.doi.org/10.1016/j.polar.2022.100869","http://dx.doi.org/10.1016/j.polar.2022.100869")</f>
        <v>http://dx.doi.org/10.1016/j.polar.2022.100869</v>
      </c>
      <c r="BG643" t="s">
        <v>74</v>
      </c>
      <c r="BH643" t="s">
        <v>11396</v>
      </c>
      <c r="BI643">
        <v>7</v>
      </c>
      <c r="BJ643" t="s">
        <v>734</v>
      </c>
      <c r="BK643" t="s">
        <v>104</v>
      </c>
      <c r="BL643" t="s">
        <v>735</v>
      </c>
      <c r="BM643" t="s">
        <v>12283</v>
      </c>
      <c r="BN643" t="s">
        <v>74</v>
      </c>
      <c r="BO643" t="s">
        <v>74</v>
      </c>
      <c r="BP643" t="s">
        <v>74</v>
      </c>
      <c r="BQ643" t="s">
        <v>74</v>
      </c>
      <c r="BR643" t="s">
        <v>108</v>
      </c>
      <c r="BS643" t="s">
        <v>12299</v>
      </c>
      <c r="BT643" t="str">
        <f>HYPERLINK("https%3A%2F%2Fwww.webofscience.com%2Fwos%2Fwoscc%2Ffull-record%2FWOS:000906902900005","View Full Record in Web of Science")</f>
        <v>View Full Record in Web of Science</v>
      </c>
    </row>
    <row r="644" spans="1:72" x14ac:dyDescent="0.15">
      <c r="A644" t="s">
        <v>72</v>
      </c>
      <c r="B644" t="s">
        <v>12300</v>
      </c>
      <c r="C644" t="s">
        <v>74</v>
      </c>
      <c r="D644" t="s">
        <v>74</v>
      </c>
      <c r="E644" t="s">
        <v>74</v>
      </c>
      <c r="F644" t="s">
        <v>12301</v>
      </c>
      <c r="G644" t="s">
        <v>74</v>
      </c>
      <c r="H644" t="s">
        <v>74</v>
      </c>
      <c r="I644" t="s">
        <v>12302</v>
      </c>
      <c r="J644" t="s">
        <v>462</v>
      </c>
      <c r="K644" t="s">
        <v>74</v>
      </c>
      <c r="L644" t="s">
        <v>74</v>
      </c>
      <c r="M644" t="s">
        <v>78</v>
      </c>
      <c r="N644" t="s">
        <v>79</v>
      </c>
      <c r="O644" t="s">
        <v>74</v>
      </c>
      <c r="P644" t="s">
        <v>74</v>
      </c>
      <c r="Q644" t="s">
        <v>74</v>
      </c>
      <c r="R644" t="s">
        <v>74</v>
      </c>
      <c r="S644" t="s">
        <v>74</v>
      </c>
      <c r="T644" t="s">
        <v>12303</v>
      </c>
      <c r="U644" t="s">
        <v>12304</v>
      </c>
      <c r="V644" t="s">
        <v>12305</v>
      </c>
      <c r="W644" t="s">
        <v>12306</v>
      </c>
      <c r="X644" t="s">
        <v>12307</v>
      </c>
      <c r="Y644" t="s">
        <v>12308</v>
      </c>
      <c r="Z644" t="s">
        <v>12309</v>
      </c>
      <c r="AA644" t="s">
        <v>12310</v>
      </c>
      <c r="AB644" t="s">
        <v>12311</v>
      </c>
      <c r="AC644" t="s">
        <v>12312</v>
      </c>
      <c r="AD644" t="s">
        <v>12313</v>
      </c>
      <c r="AE644" t="s">
        <v>12314</v>
      </c>
      <c r="AF644" t="s">
        <v>74</v>
      </c>
      <c r="AG644">
        <v>61</v>
      </c>
      <c r="AH644">
        <v>1</v>
      </c>
      <c r="AI644">
        <v>1</v>
      </c>
      <c r="AJ644">
        <v>3</v>
      </c>
      <c r="AK644">
        <v>26</v>
      </c>
      <c r="AL644" t="s">
        <v>237</v>
      </c>
      <c r="AM644" t="s">
        <v>238</v>
      </c>
      <c r="AN644" t="s">
        <v>239</v>
      </c>
      <c r="AO644" t="s">
        <v>475</v>
      </c>
      <c r="AP644" t="s">
        <v>476</v>
      </c>
      <c r="AQ644" t="s">
        <v>74</v>
      </c>
      <c r="AR644" t="s">
        <v>477</v>
      </c>
      <c r="AS644" t="s">
        <v>478</v>
      </c>
      <c r="AT644" t="s">
        <v>12315</v>
      </c>
      <c r="AU644">
        <v>2023</v>
      </c>
      <c r="AV644">
        <v>859</v>
      </c>
      <c r="AW644" t="s">
        <v>74</v>
      </c>
      <c r="AX644">
        <v>2</v>
      </c>
      <c r="AY644" t="s">
        <v>74</v>
      </c>
      <c r="AZ644" t="s">
        <v>74</v>
      </c>
      <c r="BA644" t="s">
        <v>74</v>
      </c>
      <c r="BB644" t="s">
        <v>74</v>
      </c>
      <c r="BC644" t="s">
        <v>74</v>
      </c>
      <c r="BD644">
        <v>160386</v>
      </c>
      <c r="BE644" t="s">
        <v>12316</v>
      </c>
      <c r="BF644" t="str">
        <f>HYPERLINK("http://dx.doi.org/10.1016/j.scitotenv.2022.160386","http://dx.doi.org/10.1016/j.scitotenv.2022.160386")</f>
        <v>http://dx.doi.org/10.1016/j.scitotenv.2022.160386</v>
      </c>
      <c r="BG644" t="s">
        <v>74</v>
      </c>
      <c r="BH644" t="s">
        <v>11396</v>
      </c>
      <c r="BI644">
        <v>10</v>
      </c>
      <c r="BJ644" t="s">
        <v>216</v>
      </c>
      <c r="BK644" t="s">
        <v>104</v>
      </c>
      <c r="BL644" t="s">
        <v>217</v>
      </c>
      <c r="BM644" t="s">
        <v>12317</v>
      </c>
      <c r="BN644">
        <v>36427739</v>
      </c>
      <c r="BO644" t="s">
        <v>74</v>
      </c>
      <c r="BP644" t="s">
        <v>74</v>
      </c>
      <c r="BQ644" t="s">
        <v>74</v>
      </c>
      <c r="BR644" t="s">
        <v>108</v>
      </c>
      <c r="BS644" t="s">
        <v>12318</v>
      </c>
      <c r="BT644" t="str">
        <f>HYPERLINK("https%3A%2F%2Fwww.webofscience.com%2Fwos%2Fwoscc%2Ffull-record%2FWOS:000898826700006","View Full Record in Web of Science")</f>
        <v>View Full Record in Web of Science</v>
      </c>
    </row>
    <row r="645" spans="1:72" x14ac:dyDescent="0.15">
      <c r="A645" t="s">
        <v>72</v>
      </c>
      <c r="B645" t="s">
        <v>12319</v>
      </c>
      <c r="C645" t="s">
        <v>74</v>
      </c>
      <c r="D645" t="s">
        <v>74</v>
      </c>
      <c r="E645" t="s">
        <v>74</v>
      </c>
      <c r="F645" t="s">
        <v>12320</v>
      </c>
      <c r="G645" t="s">
        <v>74</v>
      </c>
      <c r="H645" t="s">
        <v>74</v>
      </c>
      <c r="I645" t="s">
        <v>12321</v>
      </c>
      <c r="J645" t="s">
        <v>12322</v>
      </c>
      <c r="K645" t="s">
        <v>74</v>
      </c>
      <c r="L645" t="s">
        <v>74</v>
      </c>
      <c r="M645" t="s">
        <v>78</v>
      </c>
      <c r="N645" t="s">
        <v>79</v>
      </c>
      <c r="O645" t="s">
        <v>74</v>
      </c>
      <c r="P645" t="s">
        <v>74</v>
      </c>
      <c r="Q645" t="s">
        <v>74</v>
      </c>
      <c r="R645" t="s">
        <v>74</v>
      </c>
      <c r="S645" t="s">
        <v>74</v>
      </c>
      <c r="T645" t="s">
        <v>12323</v>
      </c>
      <c r="U645" t="s">
        <v>12324</v>
      </c>
      <c r="V645" t="s">
        <v>12325</v>
      </c>
      <c r="W645" t="s">
        <v>12326</v>
      </c>
      <c r="X645" t="s">
        <v>12327</v>
      </c>
      <c r="Y645" t="s">
        <v>12328</v>
      </c>
      <c r="Z645" t="s">
        <v>12329</v>
      </c>
      <c r="AA645" t="s">
        <v>12330</v>
      </c>
      <c r="AB645" t="s">
        <v>12331</v>
      </c>
      <c r="AC645" t="s">
        <v>12332</v>
      </c>
      <c r="AD645" t="s">
        <v>12333</v>
      </c>
      <c r="AE645" t="s">
        <v>12334</v>
      </c>
      <c r="AF645" t="s">
        <v>74</v>
      </c>
      <c r="AG645">
        <v>52</v>
      </c>
      <c r="AH645">
        <v>5</v>
      </c>
      <c r="AI645">
        <v>5</v>
      </c>
      <c r="AJ645">
        <v>6</v>
      </c>
      <c r="AK645">
        <v>17</v>
      </c>
      <c r="AL645" t="s">
        <v>5789</v>
      </c>
      <c r="AM645" t="s">
        <v>93</v>
      </c>
      <c r="AN645" t="s">
        <v>5790</v>
      </c>
      <c r="AO645" t="s">
        <v>12335</v>
      </c>
      <c r="AP645" t="s">
        <v>12336</v>
      </c>
      <c r="AQ645" t="s">
        <v>74</v>
      </c>
      <c r="AR645" t="s">
        <v>12337</v>
      </c>
      <c r="AS645" t="s">
        <v>12338</v>
      </c>
      <c r="AT645" t="s">
        <v>276</v>
      </c>
      <c r="AU645">
        <v>2023</v>
      </c>
      <c r="AV645">
        <v>284</v>
      </c>
      <c r="AW645" t="s">
        <v>74</v>
      </c>
      <c r="AX645" t="s">
        <v>74</v>
      </c>
      <c r="AY645" t="s">
        <v>74</v>
      </c>
      <c r="AZ645" t="s">
        <v>74</v>
      </c>
      <c r="BA645" t="s">
        <v>74</v>
      </c>
      <c r="BB645" t="s">
        <v>74</v>
      </c>
      <c r="BC645" t="s">
        <v>74</v>
      </c>
      <c r="BD645">
        <v>113359</v>
      </c>
      <c r="BE645" t="s">
        <v>12339</v>
      </c>
      <c r="BF645" t="str">
        <f>HYPERLINK("http://dx.doi.org/10.1016/j.rse.2022.113359","http://dx.doi.org/10.1016/j.rse.2022.113359")</f>
        <v>http://dx.doi.org/10.1016/j.rse.2022.113359</v>
      </c>
      <c r="BG645" t="s">
        <v>74</v>
      </c>
      <c r="BH645" t="s">
        <v>11396</v>
      </c>
      <c r="BI645">
        <v>15</v>
      </c>
      <c r="BJ645" t="s">
        <v>9547</v>
      </c>
      <c r="BK645" t="s">
        <v>104</v>
      </c>
      <c r="BL645" t="s">
        <v>9548</v>
      </c>
      <c r="BM645" t="s">
        <v>12340</v>
      </c>
      <c r="BN645" t="s">
        <v>74</v>
      </c>
      <c r="BO645" t="s">
        <v>248</v>
      </c>
      <c r="BP645" t="s">
        <v>74</v>
      </c>
      <c r="BQ645" t="s">
        <v>74</v>
      </c>
      <c r="BR645" t="s">
        <v>108</v>
      </c>
      <c r="BS645" t="s">
        <v>12341</v>
      </c>
      <c r="BT645" t="str">
        <f>HYPERLINK("https%3A%2F%2Fwww.webofscience.com%2Fwos%2Fwoscc%2Ffull-record%2FWOS:000898667000003","View Full Record in Web of Science")</f>
        <v>View Full Record in Web of Science</v>
      </c>
    </row>
    <row r="646" spans="1:72" x14ac:dyDescent="0.15">
      <c r="A646" t="s">
        <v>72</v>
      </c>
      <c r="B646" t="s">
        <v>12342</v>
      </c>
      <c r="C646" t="s">
        <v>74</v>
      </c>
      <c r="D646" t="s">
        <v>74</v>
      </c>
      <c r="E646" t="s">
        <v>74</v>
      </c>
      <c r="F646" t="s">
        <v>12343</v>
      </c>
      <c r="G646" t="s">
        <v>74</v>
      </c>
      <c r="H646" t="s">
        <v>74</v>
      </c>
      <c r="I646" t="s">
        <v>12344</v>
      </c>
      <c r="J646" t="s">
        <v>12345</v>
      </c>
      <c r="K646" t="s">
        <v>74</v>
      </c>
      <c r="L646" t="s">
        <v>74</v>
      </c>
      <c r="M646" t="s">
        <v>78</v>
      </c>
      <c r="N646" t="s">
        <v>79</v>
      </c>
      <c r="O646" t="s">
        <v>74</v>
      </c>
      <c r="P646" t="s">
        <v>74</v>
      </c>
      <c r="Q646" t="s">
        <v>74</v>
      </c>
      <c r="R646" t="s">
        <v>74</v>
      </c>
      <c r="S646" t="s">
        <v>74</v>
      </c>
      <c r="T646" t="s">
        <v>12346</v>
      </c>
      <c r="U646" t="s">
        <v>12347</v>
      </c>
      <c r="V646" t="s">
        <v>12348</v>
      </c>
      <c r="W646" t="s">
        <v>12349</v>
      </c>
      <c r="X646" t="s">
        <v>12350</v>
      </c>
      <c r="Y646" t="s">
        <v>12351</v>
      </c>
      <c r="Z646" t="s">
        <v>12352</v>
      </c>
      <c r="AA646" t="s">
        <v>12353</v>
      </c>
      <c r="AB646" t="s">
        <v>12354</v>
      </c>
      <c r="AC646" t="s">
        <v>12355</v>
      </c>
      <c r="AD646" t="s">
        <v>12356</v>
      </c>
      <c r="AE646" t="s">
        <v>12357</v>
      </c>
      <c r="AF646" t="s">
        <v>74</v>
      </c>
      <c r="AG646">
        <v>68</v>
      </c>
      <c r="AH646">
        <v>6</v>
      </c>
      <c r="AI646">
        <v>6</v>
      </c>
      <c r="AJ646">
        <v>19</v>
      </c>
      <c r="AK646">
        <v>42</v>
      </c>
      <c r="AL646" t="s">
        <v>237</v>
      </c>
      <c r="AM646" t="s">
        <v>238</v>
      </c>
      <c r="AN646" t="s">
        <v>239</v>
      </c>
      <c r="AO646" t="s">
        <v>12358</v>
      </c>
      <c r="AP646" t="s">
        <v>12359</v>
      </c>
      <c r="AQ646" t="s">
        <v>74</v>
      </c>
      <c r="AR646" t="s">
        <v>12360</v>
      </c>
      <c r="AS646" t="s">
        <v>12361</v>
      </c>
      <c r="AT646" t="s">
        <v>9001</v>
      </c>
      <c r="AU646">
        <v>2022</v>
      </c>
      <c r="AV646">
        <v>72</v>
      </c>
      <c r="AW646" t="s">
        <v>74</v>
      </c>
      <c r="AX646" t="s">
        <v>74</v>
      </c>
      <c r="AY646" t="s">
        <v>74</v>
      </c>
      <c r="AZ646" t="s">
        <v>74</v>
      </c>
      <c r="BA646" t="s">
        <v>74</v>
      </c>
      <c r="BB646" t="s">
        <v>74</v>
      </c>
      <c r="BC646" t="s">
        <v>74</v>
      </c>
      <c r="BD646">
        <v>101909</v>
      </c>
      <c r="BE646" t="s">
        <v>12362</v>
      </c>
      <c r="BF646" t="str">
        <f>HYPERLINK("http://dx.doi.org/10.1016/j.ecoinf.2022.101909","http://dx.doi.org/10.1016/j.ecoinf.2022.101909")</f>
        <v>http://dx.doi.org/10.1016/j.ecoinf.2022.101909</v>
      </c>
      <c r="BG646" t="s">
        <v>74</v>
      </c>
      <c r="BH646" t="s">
        <v>11396</v>
      </c>
      <c r="BI646">
        <v>12</v>
      </c>
      <c r="BJ646" t="s">
        <v>2639</v>
      </c>
      <c r="BK646" t="s">
        <v>104</v>
      </c>
      <c r="BL646" t="s">
        <v>217</v>
      </c>
      <c r="BM646" t="s">
        <v>12363</v>
      </c>
      <c r="BN646" t="s">
        <v>74</v>
      </c>
      <c r="BO646" t="s">
        <v>219</v>
      </c>
      <c r="BP646" t="s">
        <v>74</v>
      </c>
      <c r="BQ646" t="s">
        <v>74</v>
      </c>
      <c r="BR646" t="s">
        <v>108</v>
      </c>
      <c r="BS646" t="s">
        <v>12364</v>
      </c>
      <c r="BT646" t="str">
        <f>HYPERLINK("https%3A%2F%2Fwww.webofscience.com%2Fwos%2Fwoscc%2Ffull-record%2FWOS:000895775200005","View Full Record in Web of Science")</f>
        <v>View Full Record in Web of Science</v>
      </c>
    </row>
    <row r="647" spans="1:72" x14ac:dyDescent="0.15">
      <c r="A647" t="s">
        <v>72</v>
      </c>
      <c r="B647" t="s">
        <v>12365</v>
      </c>
      <c r="C647" t="s">
        <v>74</v>
      </c>
      <c r="D647" t="s">
        <v>74</v>
      </c>
      <c r="E647" t="s">
        <v>74</v>
      </c>
      <c r="F647" t="s">
        <v>12366</v>
      </c>
      <c r="G647" t="s">
        <v>74</v>
      </c>
      <c r="H647" t="s">
        <v>74</v>
      </c>
      <c r="I647" t="s">
        <v>12367</v>
      </c>
      <c r="J647" t="s">
        <v>12368</v>
      </c>
      <c r="K647" t="s">
        <v>74</v>
      </c>
      <c r="L647" t="s">
        <v>74</v>
      </c>
      <c r="M647" t="s">
        <v>78</v>
      </c>
      <c r="N647" t="s">
        <v>12369</v>
      </c>
      <c r="O647" t="s">
        <v>74</v>
      </c>
      <c r="P647" t="s">
        <v>74</v>
      </c>
      <c r="Q647" t="s">
        <v>74</v>
      </c>
      <c r="R647" t="s">
        <v>74</v>
      </c>
      <c r="S647" t="s">
        <v>74</v>
      </c>
      <c r="T647" t="s">
        <v>12370</v>
      </c>
      <c r="U647" t="s">
        <v>12371</v>
      </c>
      <c r="V647" t="s">
        <v>12372</v>
      </c>
      <c r="W647" t="s">
        <v>12373</v>
      </c>
      <c r="X647" t="s">
        <v>12374</v>
      </c>
      <c r="Y647" t="s">
        <v>12375</v>
      </c>
      <c r="Z647" t="s">
        <v>12376</v>
      </c>
      <c r="AA647" t="s">
        <v>12377</v>
      </c>
      <c r="AB647" t="s">
        <v>12378</v>
      </c>
      <c r="AC647" t="s">
        <v>12379</v>
      </c>
      <c r="AD647" t="s">
        <v>12380</v>
      </c>
      <c r="AE647" t="s">
        <v>12381</v>
      </c>
      <c r="AF647" t="s">
        <v>74</v>
      </c>
      <c r="AG647">
        <v>909</v>
      </c>
      <c r="AH647">
        <v>8</v>
      </c>
      <c r="AI647">
        <v>8</v>
      </c>
      <c r="AJ647">
        <v>16</v>
      </c>
      <c r="AK647">
        <v>64</v>
      </c>
      <c r="AL647" t="s">
        <v>1743</v>
      </c>
      <c r="AM647" t="s">
        <v>1744</v>
      </c>
      <c r="AN647" t="s">
        <v>1745</v>
      </c>
      <c r="AO647" t="s">
        <v>12382</v>
      </c>
      <c r="AP647" t="s">
        <v>12383</v>
      </c>
      <c r="AQ647" t="s">
        <v>74</v>
      </c>
      <c r="AR647" t="s">
        <v>12384</v>
      </c>
      <c r="AS647" t="s">
        <v>12385</v>
      </c>
      <c r="AT647" t="s">
        <v>12386</v>
      </c>
      <c r="AU647">
        <v>2022</v>
      </c>
      <c r="AV647" t="s">
        <v>74</v>
      </c>
      <c r="AW647" t="s">
        <v>74</v>
      </c>
      <c r="AX647" t="s">
        <v>74</v>
      </c>
      <c r="AY647" t="s">
        <v>74</v>
      </c>
      <c r="AZ647" t="s">
        <v>74</v>
      </c>
      <c r="BA647" t="s">
        <v>74</v>
      </c>
      <c r="BB647" t="s">
        <v>74</v>
      </c>
      <c r="BC647" t="s">
        <v>74</v>
      </c>
      <c r="BD647" t="s">
        <v>74</v>
      </c>
      <c r="BE647" t="s">
        <v>12387</v>
      </c>
      <c r="BF647" t="str">
        <f>HYPERLINK("http://dx.doi.org/10.1109/TPS.2022.3208906","http://dx.doi.org/10.1109/TPS.2022.3208906")</f>
        <v>http://dx.doi.org/10.1109/TPS.2022.3208906</v>
      </c>
      <c r="BG647" t="s">
        <v>74</v>
      </c>
      <c r="BH647" t="s">
        <v>11396</v>
      </c>
      <c r="BI647">
        <v>61</v>
      </c>
      <c r="BJ647" t="s">
        <v>12388</v>
      </c>
      <c r="BK647" t="s">
        <v>104</v>
      </c>
      <c r="BL647" t="s">
        <v>163</v>
      </c>
      <c r="BM647" t="s">
        <v>12389</v>
      </c>
      <c r="BN647" t="s">
        <v>74</v>
      </c>
      <c r="BO647" t="s">
        <v>12390</v>
      </c>
      <c r="BP647" t="s">
        <v>74</v>
      </c>
      <c r="BQ647" t="s">
        <v>74</v>
      </c>
      <c r="BR647" t="s">
        <v>108</v>
      </c>
      <c r="BS647" t="s">
        <v>12391</v>
      </c>
      <c r="BT647" t="str">
        <f>HYPERLINK("https%3A%2F%2Fwww.webofscience.com%2Fwos%2Fwoscc%2Ffull-record%2FWOS:000892849600001","View Full Record in Web of Science")</f>
        <v>View Full Record in Web of Science</v>
      </c>
    </row>
    <row r="648" spans="1:72" x14ac:dyDescent="0.15">
      <c r="A648" t="s">
        <v>72</v>
      </c>
      <c r="B648" t="s">
        <v>12392</v>
      </c>
      <c r="C648" t="s">
        <v>74</v>
      </c>
      <c r="D648" t="s">
        <v>74</v>
      </c>
      <c r="E648" t="s">
        <v>74</v>
      </c>
      <c r="F648" t="s">
        <v>12393</v>
      </c>
      <c r="G648" t="s">
        <v>74</v>
      </c>
      <c r="H648" t="s">
        <v>74</v>
      </c>
      <c r="I648" t="s">
        <v>12394</v>
      </c>
      <c r="J648" t="s">
        <v>718</v>
      </c>
      <c r="K648" t="s">
        <v>74</v>
      </c>
      <c r="L648" t="s">
        <v>74</v>
      </c>
      <c r="M648" t="s">
        <v>78</v>
      </c>
      <c r="N648" t="s">
        <v>256</v>
      </c>
      <c r="O648" t="s">
        <v>74</v>
      </c>
      <c r="P648" t="s">
        <v>74</v>
      </c>
      <c r="Q648" t="s">
        <v>74</v>
      </c>
      <c r="R648" t="s">
        <v>74</v>
      </c>
      <c r="S648" t="s">
        <v>74</v>
      </c>
      <c r="T648" t="s">
        <v>74</v>
      </c>
      <c r="U648" t="s">
        <v>12395</v>
      </c>
      <c r="V648" t="s">
        <v>12396</v>
      </c>
      <c r="W648" t="s">
        <v>12397</v>
      </c>
      <c r="X648" t="s">
        <v>12398</v>
      </c>
      <c r="Y648" t="s">
        <v>12399</v>
      </c>
      <c r="Z648" t="s">
        <v>12400</v>
      </c>
      <c r="AA648" t="s">
        <v>12401</v>
      </c>
      <c r="AB648" t="s">
        <v>12402</v>
      </c>
      <c r="AC648" t="s">
        <v>74</v>
      </c>
      <c r="AD648" t="s">
        <v>74</v>
      </c>
      <c r="AE648" t="s">
        <v>74</v>
      </c>
      <c r="AF648" t="s">
        <v>74</v>
      </c>
      <c r="AG648">
        <v>213</v>
      </c>
      <c r="AH648">
        <v>2</v>
      </c>
      <c r="AI648">
        <v>2</v>
      </c>
      <c r="AJ648">
        <v>8</v>
      </c>
      <c r="AK648">
        <v>29</v>
      </c>
      <c r="AL648" t="s">
        <v>126</v>
      </c>
      <c r="AM648" t="s">
        <v>127</v>
      </c>
      <c r="AN648" t="s">
        <v>128</v>
      </c>
      <c r="AO648" t="s">
        <v>730</v>
      </c>
      <c r="AP648" t="s">
        <v>731</v>
      </c>
      <c r="AQ648" t="s">
        <v>74</v>
      </c>
      <c r="AR648" t="s">
        <v>718</v>
      </c>
      <c r="AS648" t="s">
        <v>732</v>
      </c>
      <c r="AT648" t="s">
        <v>12403</v>
      </c>
      <c r="AU648">
        <v>2022</v>
      </c>
      <c r="AV648">
        <v>19</v>
      </c>
      <c r="AW648">
        <v>22</v>
      </c>
      <c r="AX648" t="s">
        <v>74</v>
      </c>
      <c r="AY648" t="s">
        <v>74</v>
      </c>
      <c r="AZ648" t="s">
        <v>74</v>
      </c>
      <c r="BA648" t="s">
        <v>74</v>
      </c>
      <c r="BB648">
        <v>5313</v>
      </c>
      <c r="BC648">
        <v>5342</v>
      </c>
      <c r="BD648" t="s">
        <v>74</v>
      </c>
      <c r="BE648" t="s">
        <v>12404</v>
      </c>
      <c r="BF648" t="str">
        <f>HYPERLINK("http://dx.doi.org/10.5194/bg-19-5313-2022","http://dx.doi.org/10.5194/bg-19-5313-2022")</f>
        <v>http://dx.doi.org/10.5194/bg-19-5313-2022</v>
      </c>
      <c r="BG648" t="s">
        <v>74</v>
      </c>
      <c r="BH648" t="s">
        <v>74</v>
      </c>
      <c r="BI648">
        <v>30</v>
      </c>
      <c r="BJ648" t="s">
        <v>734</v>
      </c>
      <c r="BK648" t="s">
        <v>104</v>
      </c>
      <c r="BL648" t="s">
        <v>735</v>
      </c>
      <c r="BM648" t="s">
        <v>12405</v>
      </c>
      <c r="BN648" t="s">
        <v>74</v>
      </c>
      <c r="BO648" t="s">
        <v>12406</v>
      </c>
      <c r="BP648" t="s">
        <v>74</v>
      </c>
      <c r="BQ648" t="s">
        <v>74</v>
      </c>
      <c r="BR648" t="s">
        <v>108</v>
      </c>
      <c r="BS648" t="s">
        <v>12407</v>
      </c>
      <c r="BT648" t="str">
        <f>HYPERLINK("https%3A%2F%2Fwww.webofscience.com%2Fwos%2Fwoscc%2Ffull-record%2FWOS:000888332400001","View Full Record in Web of Science")</f>
        <v>View Full Record in Web of Science</v>
      </c>
    </row>
    <row r="649" spans="1:72" x14ac:dyDescent="0.15">
      <c r="A649" t="s">
        <v>72</v>
      </c>
      <c r="B649" t="s">
        <v>12408</v>
      </c>
      <c r="C649" t="s">
        <v>74</v>
      </c>
      <c r="D649" t="s">
        <v>74</v>
      </c>
      <c r="E649" t="s">
        <v>74</v>
      </c>
      <c r="F649" t="s">
        <v>12409</v>
      </c>
      <c r="G649" t="s">
        <v>74</v>
      </c>
      <c r="H649" t="s">
        <v>74</v>
      </c>
      <c r="I649" t="s">
        <v>12410</v>
      </c>
      <c r="J649" t="s">
        <v>7798</v>
      </c>
      <c r="K649" t="s">
        <v>74</v>
      </c>
      <c r="L649" t="s">
        <v>74</v>
      </c>
      <c r="M649" t="s">
        <v>78</v>
      </c>
      <c r="N649" t="s">
        <v>79</v>
      </c>
      <c r="O649" t="s">
        <v>74</v>
      </c>
      <c r="P649" t="s">
        <v>74</v>
      </c>
      <c r="Q649" t="s">
        <v>74</v>
      </c>
      <c r="R649" t="s">
        <v>74</v>
      </c>
      <c r="S649" t="s">
        <v>74</v>
      </c>
      <c r="T649" t="s">
        <v>12411</v>
      </c>
      <c r="U649" t="s">
        <v>12412</v>
      </c>
      <c r="V649" t="s">
        <v>12413</v>
      </c>
      <c r="W649" t="s">
        <v>12414</v>
      </c>
      <c r="X649" t="s">
        <v>12415</v>
      </c>
      <c r="Y649" t="s">
        <v>12416</v>
      </c>
      <c r="Z649" t="s">
        <v>12417</v>
      </c>
      <c r="AA649" t="s">
        <v>12418</v>
      </c>
      <c r="AB649" t="s">
        <v>12419</v>
      </c>
      <c r="AC649" t="s">
        <v>12420</v>
      </c>
      <c r="AD649" t="s">
        <v>12421</v>
      </c>
      <c r="AE649" t="s">
        <v>12422</v>
      </c>
      <c r="AF649" t="s">
        <v>74</v>
      </c>
      <c r="AG649">
        <v>42</v>
      </c>
      <c r="AH649">
        <v>0</v>
      </c>
      <c r="AI649">
        <v>0</v>
      </c>
      <c r="AJ649">
        <v>0</v>
      </c>
      <c r="AK649">
        <v>6</v>
      </c>
      <c r="AL649" t="s">
        <v>92</v>
      </c>
      <c r="AM649" t="s">
        <v>7640</v>
      </c>
      <c r="AN649" t="s">
        <v>7811</v>
      </c>
      <c r="AO649" t="s">
        <v>7812</v>
      </c>
      <c r="AP649" t="s">
        <v>7813</v>
      </c>
      <c r="AQ649" t="s">
        <v>74</v>
      </c>
      <c r="AR649" t="s">
        <v>7814</v>
      </c>
      <c r="AS649" t="s">
        <v>7815</v>
      </c>
      <c r="AT649" t="s">
        <v>7816</v>
      </c>
      <c r="AU649">
        <v>2023</v>
      </c>
      <c r="AV649">
        <v>69</v>
      </c>
      <c r="AW649">
        <v>276</v>
      </c>
      <c r="AX649" t="s">
        <v>74</v>
      </c>
      <c r="AY649" t="s">
        <v>74</v>
      </c>
      <c r="AZ649" t="s">
        <v>74</v>
      </c>
      <c r="BA649" t="s">
        <v>74</v>
      </c>
      <c r="BB649">
        <v>762</v>
      </c>
      <c r="BC649">
        <v>772</v>
      </c>
      <c r="BD649" t="s">
        <v>12423</v>
      </c>
      <c r="BE649" t="s">
        <v>12424</v>
      </c>
      <c r="BF649" t="str">
        <f>HYPERLINK("http://dx.doi.org/10.1017/jog.2022.97","http://dx.doi.org/10.1017/jog.2022.97")</f>
        <v>http://dx.doi.org/10.1017/jog.2022.97</v>
      </c>
      <c r="BG649" t="s">
        <v>74</v>
      </c>
      <c r="BH649" t="s">
        <v>11396</v>
      </c>
      <c r="BI649">
        <v>11</v>
      </c>
      <c r="BJ649" t="s">
        <v>611</v>
      </c>
      <c r="BK649" t="s">
        <v>104</v>
      </c>
      <c r="BL649" t="s">
        <v>612</v>
      </c>
      <c r="BM649" t="s">
        <v>7819</v>
      </c>
      <c r="BN649" t="s">
        <v>74</v>
      </c>
      <c r="BO649" t="s">
        <v>165</v>
      </c>
      <c r="BP649" t="s">
        <v>74</v>
      </c>
      <c r="BQ649" t="s">
        <v>74</v>
      </c>
      <c r="BR649" t="s">
        <v>108</v>
      </c>
      <c r="BS649" t="s">
        <v>12425</v>
      </c>
      <c r="BT649" t="str">
        <f>HYPERLINK("https%3A%2F%2Fwww.webofscience.com%2Fwos%2Fwoscc%2Ffull-record%2FWOS:000889923900001","View Full Record in Web of Science")</f>
        <v>View Full Record in Web of Science</v>
      </c>
    </row>
    <row r="650" spans="1:72" x14ac:dyDescent="0.15">
      <c r="A650" t="s">
        <v>72</v>
      </c>
      <c r="B650" t="s">
        <v>12426</v>
      </c>
      <c r="C650" t="s">
        <v>74</v>
      </c>
      <c r="D650" t="s">
        <v>74</v>
      </c>
      <c r="E650" t="s">
        <v>74</v>
      </c>
      <c r="F650" t="s">
        <v>12427</v>
      </c>
      <c r="G650" t="s">
        <v>74</v>
      </c>
      <c r="H650" t="s">
        <v>74</v>
      </c>
      <c r="I650" t="s">
        <v>12428</v>
      </c>
      <c r="J650" t="s">
        <v>12429</v>
      </c>
      <c r="K650" t="s">
        <v>74</v>
      </c>
      <c r="L650" t="s">
        <v>74</v>
      </c>
      <c r="M650" t="s">
        <v>78</v>
      </c>
      <c r="N650" t="s">
        <v>79</v>
      </c>
      <c r="O650" t="s">
        <v>74</v>
      </c>
      <c r="P650" t="s">
        <v>74</v>
      </c>
      <c r="Q650" t="s">
        <v>74</v>
      </c>
      <c r="R650" t="s">
        <v>74</v>
      </c>
      <c r="S650" t="s">
        <v>74</v>
      </c>
      <c r="T650" t="s">
        <v>12430</v>
      </c>
      <c r="U650" t="s">
        <v>12431</v>
      </c>
      <c r="V650" t="s">
        <v>12432</v>
      </c>
      <c r="W650" t="s">
        <v>12433</v>
      </c>
      <c r="X650" t="s">
        <v>12434</v>
      </c>
      <c r="Y650" t="s">
        <v>12435</v>
      </c>
      <c r="Z650" t="s">
        <v>12436</v>
      </c>
      <c r="AA650" t="s">
        <v>12437</v>
      </c>
      <c r="AB650" t="s">
        <v>12438</v>
      </c>
      <c r="AC650" t="s">
        <v>12439</v>
      </c>
      <c r="AD650" t="s">
        <v>12440</v>
      </c>
      <c r="AE650" t="s">
        <v>12441</v>
      </c>
      <c r="AF650" t="s">
        <v>74</v>
      </c>
      <c r="AG650">
        <v>34</v>
      </c>
      <c r="AH650">
        <v>3</v>
      </c>
      <c r="AI650">
        <v>3</v>
      </c>
      <c r="AJ650">
        <v>3</v>
      </c>
      <c r="AK650">
        <v>13</v>
      </c>
      <c r="AL650" t="s">
        <v>603</v>
      </c>
      <c r="AM650" t="s">
        <v>208</v>
      </c>
      <c r="AN650" t="s">
        <v>604</v>
      </c>
      <c r="AO650" t="s">
        <v>12442</v>
      </c>
      <c r="AP650" t="s">
        <v>12443</v>
      </c>
      <c r="AQ650" t="s">
        <v>74</v>
      </c>
      <c r="AR650" t="s">
        <v>12444</v>
      </c>
      <c r="AS650" t="s">
        <v>12445</v>
      </c>
      <c r="AT650" t="s">
        <v>276</v>
      </c>
      <c r="AU650">
        <v>2023</v>
      </c>
      <c r="AV650">
        <v>242</v>
      </c>
      <c r="AW650" t="s">
        <v>74</v>
      </c>
      <c r="AX650" t="s">
        <v>74</v>
      </c>
      <c r="AY650" t="s">
        <v>74</v>
      </c>
      <c r="AZ650" t="s">
        <v>74</v>
      </c>
      <c r="BA650" t="s">
        <v>74</v>
      </c>
      <c r="BB650" t="s">
        <v>74</v>
      </c>
      <c r="BC650" t="s">
        <v>74</v>
      </c>
      <c r="BD650">
        <v>105985</v>
      </c>
      <c r="BE650" t="s">
        <v>12446</v>
      </c>
      <c r="BF650" t="str">
        <f>HYPERLINK("http://dx.doi.org/10.1016/j.jastp.2022.105985","http://dx.doi.org/10.1016/j.jastp.2022.105985")</f>
        <v>http://dx.doi.org/10.1016/j.jastp.2022.105985</v>
      </c>
      <c r="BG650" t="s">
        <v>74</v>
      </c>
      <c r="BH650" t="s">
        <v>11396</v>
      </c>
      <c r="BI650">
        <v>11</v>
      </c>
      <c r="BJ650" t="s">
        <v>12447</v>
      </c>
      <c r="BK650" t="s">
        <v>104</v>
      </c>
      <c r="BL650" t="s">
        <v>12447</v>
      </c>
      <c r="BM650" t="s">
        <v>12448</v>
      </c>
      <c r="BN650" t="s">
        <v>74</v>
      </c>
      <c r="BO650" t="s">
        <v>7036</v>
      </c>
      <c r="BP650" t="s">
        <v>74</v>
      </c>
      <c r="BQ650" t="s">
        <v>74</v>
      </c>
      <c r="BR650" t="s">
        <v>108</v>
      </c>
      <c r="BS650" t="s">
        <v>12449</v>
      </c>
      <c r="BT650" t="str">
        <f>HYPERLINK("https%3A%2F%2Fwww.webofscience.com%2Fwos%2Fwoscc%2Ffull-record%2FWOS:000891298600001","View Full Record in Web of Science")</f>
        <v>View Full Record in Web of Science</v>
      </c>
    </row>
    <row r="651" spans="1:72" x14ac:dyDescent="0.15">
      <c r="A651" t="s">
        <v>72</v>
      </c>
      <c r="B651" t="s">
        <v>12450</v>
      </c>
      <c r="C651" t="s">
        <v>74</v>
      </c>
      <c r="D651" t="s">
        <v>74</v>
      </c>
      <c r="E651" t="s">
        <v>74</v>
      </c>
      <c r="F651" t="s">
        <v>12451</v>
      </c>
      <c r="G651" t="s">
        <v>74</v>
      </c>
      <c r="H651" t="s">
        <v>74</v>
      </c>
      <c r="I651" t="s">
        <v>12452</v>
      </c>
      <c r="J651" t="s">
        <v>12453</v>
      </c>
      <c r="K651" t="s">
        <v>74</v>
      </c>
      <c r="L651" t="s">
        <v>74</v>
      </c>
      <c r="M651" t="s">
        <v>78</v>
      </c>
      <c r="N651" t="s">
        <v>79</v>
      </c>
      <c r="O651" t="s">
        <v>74</v>
      </c>
      <c r="P651" t="s">
        <v>74</v>
      </c>
      <c r="Q651" t="s">
        <v>74</v>
      </c>
      <c r="R651" t="s">
        <v>74</v>
      </c>
      <c r="S651" t="s">
        <v>74</v>
      </c>
      <c r="T651" t="s">
        <v>12454</v>
      </c>
      <c r="U651" t="s">
        <v>12455</v>
      </c>
      <c r="V651" t="s">
        <v>12456</v>
      </c>
      <c r="W651" t="s">
        <v>12457</v>
      </c>
      <c r="X651" t="s">
        <v>12458</v>
      </c>
      <c r="Y651" t="s">
        <v>12459</v>
      </c>
      <c r="Z651" t="s">
        <v>12460</v>
      </c>
      <c r="AA651" t="s">
        <v>12461</v>
      </c>
      <c r="AB651" t="s">
        <v>12462</v>
      </c>
      <c r="AC651" t="s">
        <v>12463</v>
      </c>
      <c r="AD651" t="s">
        <v>12464</v>
      </c>
      <c r="AE651" t="s">
        <v>12465</v>
      </c>
      <c r="AF651" t="s">
        <v>74</v>
      </c>
      <c r="AG651">
        <v>34</v>
      </c>
      <c r="AH651">
        <v>1</v>
      </c>
      <c r="AI651">
        <v>1</v>
      </c>
      <c r="AJ651">
        <v>0</v>
      </c>
      <c r="AK651">
        <v>1</v>
      </c>
      <c r="AL651" t="s">
        <v>269</v>
      </c>
      <c r="AM651" t="s">
        <v>93</v>
      </c>
      <c r="AN651" t="s">
        <v>397</v>
      </c>
      <c r="AO651" t="s">
        <v>12466</v>
      </c>
      <c r="AP651" t="s">
        <v>12467</v>
      </c>
      <c r="AQ651" t="s">
        <v>74</v>
      </c>
      <c r="AR651" t="s">
        <v>12468</v>
      </c>
      <c r="AS651" t="s">
        <v>12469</v>
      </c>
      <c r="AT651" t="s">
        <v>7816</v>
      </c>
      <c r="AU651">
        <v>2023</v>
      </c>
      <c r="AV651">
        <v>61</v>
      </c>
      <c r="AW651" t="s">
        <v>11348</v>
      </c>
      <c r="AX651" t="s">
        <v>74</v>
      </c>
      <c r="AY651" t="s">
        <v>74</v>
      </c>
      <c r="AZ651" t="s">
        <v>74</v>
      </c>
      <c r="BA651" t="s">
        <v>74</v>
      </c>
      <c r="BB651">
        <v>1105</v>
      </c>
      <c r="BC651">
        <v>1122</v>
      </c>
      <c r="BD651" t="s">
        <v>74</v>
      </c>
      <c r="BE651" t="s">
        <v>12470</v>
      </c>
      <c r="BF651" t="str">
        <f>HYPERLINK("http://dx.doi.org/10.1007/s00382-022-06588-4","http://dx.doi.org/10.1007/s00382-022-06588-4")</f>
        <v>http://dx.doi.org/10.1007/s00382-022-06588-4</v>
      </c>
      <c r="BG651" t="s">
        <v>74</v>
      </c>
      <c r="BH651" t="s">
        <v>11396</v>
      </c>
      <c r="BI651">
        <v>18</v>
      </c>
      <c r="BJ651" t="s">
        <v>532</v>
      </c>
      <c r="BK651" t="s">
        <v>104</v>
      </c>
      <c r="BL651" t="s">
        <v>532</v>
      </c>
      <c r="BM651" t="s">
        <v>12471</v>
      </c>
      <c r="BN651" t="s">
        <v>74</v>
      </c>
      <c r="BO651" t="s">
        <v>1279</v>
      </c>
      <c r="BP651" t="s">
        <v>74</v>
      </c>
      <c r="BQ651" t="s">
        <v>74</v>
      </c>
      <c r="BR651" t="s">
        <v>108</v>
      </c>
      <c r="BS651" t="s">
        <v>12472</v>
      </c>
      <c r="BT651" t="str">
        <f>HYPERLINK("https%3A%2F%2Fwww.webofscience.com%2Fwos%2Fwoscc%2Ffull-record%2FWOS:000887884700001","View Full Record in Web of Science")</f>
        <v>View Full Record in Web of Science</v>
      </c>
    </row>
    <row r="652" spans="1:72" x14ac:dyDescent="0.15">
      <c r="A652" t="s">
        <v>72</v>
      </c>
      <c r="B652" t="s">
        <v>12473</v>
      </c>
      <c r="C652" t="s">
        <v>74</v>
      </c>
      <c r="D652" t="s">
        <v>74</v>
      </c>
      <c r="E652" t="s">
        <v>74</v>
      </c>
      <c r="F652" t="s">
        <v>12474</v>
      </c>
      <c r="G652" t="s">
        <v>74</v>
      </c>
      <c r="H652" t="s">
        <v>74</v>
      </c>
      <c r="I652" t="s">
        <v>12475</v>
      </c>
      <c r="J652" t="s">
        <v>7392</v>
      </c>
      <c r="K652" t="s">
        <v>74</v>
      </c>
      <c r="L652" t="s">
        <v>74</v>
      </c>
      <c r="M652" t="s">
        <v>78</v>
      </c>
      <c r="N652" t="s">
        <v>79</v>
      </c>
      <c r="O652" t="s">
        <v>74</v>
      </c>
      <c r="P652" t="s">
        <v>74</v>
      </c>
      <c r="Q652" t="s">
        <v>74</v>
      </c>
      <c r="R652" t="s">
        <v>74</v>
      </c>
      <c r="S652" t="s">
        <v>74</v>
      </c>
      <c r="T652" t="s">
        <v>74</v>
      </c>
      <c r="U652" t="s">
        <v>12476</v>
      </c>
      <c r="V652" t="s">
        <v>12477</v>
      </c>
      <c r="W652" t="s">
        <v>12478</v>
      </c>
      <c r="X652" t="s">
        <v>12479</v>
      </c>
      <c r="Y652" t="s">
        <v>12480</v>
      </c>
      <c r="Z652" t="s">
        <v>12481</v>
      </c>
      <c r="AA652" t="s">
        <v>12482</v>
      </c>
      <c r="AB652" t="s">
        <v>12483</v>
      </c>
      <c r="AC652" t="s">
        <v>12484</v>
      </c>
      <c r="AD652" t="s">
        <v>12485</v>
      </c>
      <c r="AE652" t="s">
        <v>12486</v>
      </c>
      <c r="AF652" t="s">
        <v>74</v>
      </c>
      <c r="AG652">
        <v>77</v>
      </c>
      <c r="AH652">
        <v>2</v>
      </c>
      <c r="AI652">
        <v>2</v>
      </c>
      <c r="AJ652">
        <v>1</v>
      </c>
      <c r="AK652">
        <v>9</v>
      </c>
      <c r="AL652" t="s">
        <v>126</v>
      </c>
      <c r="AM652" t="s">
        <v>127</v>
      </c>
      <c r="AN652" t="s">
        <v>128</v>
      </c>
      <c r="AO652" t="s">
        <v>7401</v>
      </c>
      <c r="AP652" t="s">
        <v>7402</v>
      </c>
      <c r="AQ652" t="s">
        <v>74</v>
      </c>
      <c r="AR652" t="s">
        <v>7392</v>
      </c>
      <c r="AS652" t="s">
        <v>7403</v>
      </c>
      <c r="AT652" t="s">
        <v>12403</v>
      </c>
      <c r="AU652">
        <v>2022</v>
      </c>
      <c r="AV652">
        <v>16</v>
      </c>
      <c r="AW652">
        <v>11</v>
      </c>
      <c r="AX652" t="s">
        <v>74</v>
      </c>
      <c r="AY652" t="s">
        <v>74</v>
      </c>
      <c r="AZ652" t="s">
        <v>74</v>
      </c>
      <c r="BA652" t="s">
        <v>74</v>
      </c>
      <c r="BB652">
        <v>4763</v>
      </c>
      <c r="BC652">
        <v>4777</v>
      </c>
      <c r="BD652" t="s">
        <v>74</v>
      </c>
      <c r="BE652" t="s">
        <v>12487</v>
      </c>
      <c r="BF652" t="str">
        <f>HYPERLINK("http://dx.doi.org/10.5194/tc-16-4763-2022","http://dx.doi.org/10.5194/tc-16-4763-2022")</f>
        <v>http://dx.doi.org/10.5194/tc-16-4763-2022</v>
      </c>
      <c r="BG652" t="s">
        <v>74</v>
      </c>
      <c r="BH652" t="s">
        <v>74</v>
      </c>
      <c r="BI652">
        <v>15</v>
      </c>
      <c r="BJ652" t="s">
        <v>611</v>
      </c>
      <c r="BK652" t="s">
        <v>104</v>
      </c>
      <c r="BL652" t="s">
        <v>612</v>
      </c>
      <c r="BM652" t="s">
        <v>12488</v>
      </c>
      <c r="BN652" t="s">
        <v>74</v>
      </c>
      <c r="BO652" t="s">
        <v>11456</v>
      </c>
      <c r="BP652" t="s">
        <v>74</v>
      </c>
      <c r="BQ652" t="s">
        <v>74</v>
      </c>
      <c r="BR652" t="s">
        <v>108</v>
      </c>
      <c r="BS652" t="s">
        <v>12489</v>
      </c>
      <c r="BT652" t="str">
        <f>HYPERLINK("https%3A%2F%2Fwww.webofscience.com%2Fwos%2Fwoscc%2Ffull-record%2FWOS:000888031400001","View Full Record in Web of Science")</f>
        <v>View Full Record in Web of Science</v>
      </c>
    </row>
    <row r="653" spans="1:72" x14ac:dyDescent="0.15">
      <c r="A653" t="s">
        <v>72</v>
      </c>
      <c r="B653" t="s">
        <v>12490</v>
      </c>
      <c r="C653" t="s">
        <v>74</v>
      </c>
      <c r="D653" t="s">
        <v>74</v>
      </c>
      <c r="E653" t="s">
        <v>74</v>
      </c>
      <c r="F653" t="s">
        <v>12491</v>
      </c>
      <c r="G653" t="s">
        <v>74</v>
      </c>
      <c r="H653" t="s">
        <v>74</v>
      </c>
      <c r="I653" t="s">
        <v>12492</v>
      </c>
      <c r="J653" t="s">
        <v>6711</v>
      </c>
      <c r="K653" t="s">
        <v>74</v>
      </c>
      <c r="L653" t="s">
        <v>74</v>
      </c>
      <c r="M653" t="s">
        <v>78</v>
      </c>
      <c r="N653" t="s">
        <v>79</v>
      </c>
      <c r="O653" t="s">
        <v>74</v>
      </c>
      <c r="P653" t="s">
        <v>74</v>
      </c>
      <c r="Q653" t="s">
        <v>74</v>
      </c>
      <c r="R653" t="s">
        <v>74</v>
      </c>
      <c r="S653" t="s">
        <v>74</v>
      </c>
      <c r="T653" t="s">
        <v>12493</v>
      </c>
      <c r="U653" t="s">
        <v>12494</v>
      </c>
      <c r="V653" t="s">
        <v>12495</v>
      </c>
      <c r="W653" t="s">
        <v>12496</v>
      </c>
      <c r="X653" t="s">
        <v>74</v>
      </c>
      <c r="Y653" t="s">
        <v>12497</v>
      </c>
      <c r="Z653" t="s">
        <v>12498</v>
      </c>
      <c r="AA653" t="s">
        <v>12499</v>
      </c>
      <c r="AB653" t="s">
        <v>12500</v>
      </c>
      <c r="AC653" t="s">
        <v>12501</v>
      </c>
      <c r="AD653" t="s">
        <v>12501</v>
      </c>
      <c r="AE653" t="s">
        <v>12502</v>
      </c>
      <c r="AF653" t="s">
        <v>74</v>
      </c>
      <c r="AG653">
        <v>24</v>
      </c>
      <c r="AH653">
        <v>0</v>
      </c>
      <c r="AI653">
        <v>0</v>
      </c>
      <c r="AJ653">
        <v>3</v>
      </c>
      <c r="AK653">
        <v>5</v>
      </c>
      <c r="AL653" t="s">
        <v>603</v>
      </c>
      <c r="AM653" t="s">
        <v>208</v>
      </c>
      <c r="AN653" t="s">
        <v>604</v>
      </c>
      <c r="AO653" t="s">
        <v>6723</v>
      </c>
      <c r="AP653" t="s">
        <v>6724</v>
      </c>
      <c r="AQ653" t="s">
        <v>74</v>
      </c>
      <c r="AR653" t="s">
        <v>6725</v>
      </c>
      <c r="AS653" t="s">
        <v>6726</v>
      </c>
      <c r="AT653" t="s">
        <v>9001</v>
      </c>
      <c r="AU653">
        <v>2022</v>
      </c>
      <c r="AV653">
        <v>185</v>
      </c>
      <c r="AW653" t="s">
        <v>74</v>
      </c>
      <c r="AX653" t="s">
        <v>943</v>
      </c>
      <c r="AY653" t="s">
        <v>74</v>
      </c>
      <c r="AZ653" t="s">
        <v>74</v>
      </c>
      <c r="BA653" t="s">
        <v>74</v>
      </c>
      <c r="BB653" t="s">
        <v>74</v>
      </c>
      <c r="BC653" t="s">
        <v>74</v>
      </c>
      <c r="BD653">
        <v>114356</v>
      </c>
      <c r="BE653" t="s">
        <v>12503</v>
      </c>
      <c r="BF653" t="str">
        <f>HYPERLINK("http://dx.doi.org/10.1016/j.marpolbul.2022.114356","http://dx.doi.org/10.1016/j.marpolbul.2022.114356")</f>
        <v>http://dx.doi.org/10.1016/j.marpolbul.2022.114356</v>
      </c>
      <c r="BG653" t="s">
        <v>74</v>
      </c>
      <c r="BH653" t="s">
        <v>11396</v>
      </c>
      <c r="BI653">
        <v>4</v>
      </c>
      <c r="BJ653" t="s">
        <v>6728</v>
      </c>
      <c r="BK653" t="s">
        <v>104</v>
      </c>
      <c r="BL653" t="s">
        <v>6729</v>
      </c>
      <c r="BM653" t="s">
        <v>12504</v>
      </c>
      <c r="BN653">
        <v>36427379</v>
      </c>
      <c r="BO653" t="s">
        <v>74</v>
      </c>
      <c r="BP653" t="s">
        <v>74</v>
      </c>
      <c r="BQ653" t="s">
        <v>74</v>
      </c>
      <c r="BR653" t="s">
        <v>108</v>
      </c>
      <c r="BS653" t="s">
        <v>12505</v>
      </c>
      <c r="BT653" t="str">
        <f>HYPERLINK("https%3A%2F%2Fwww.webofscience.com%2Fwos%2Fwoscc%2Ffull-record%2FWOS:000891772700008","View Full Record in Web of Science")</f>
        <v>View Full Record in Web of Science</v>
      </c>
    </row>
    <row r="654" spans="1:72" x14ac:dyDescent="0.15">
      <c r="A654" t="s">
        <v>72</v>
      </c>
      <c r="B654" t="s">
        <v>12506</v>
      </c>
      <c r="C654" t="s">
        <v>74</v>
      </c>
      <c r="D654" t="s">
        <v>74</v>
      </c>
      <c r="E654" t="s">
        <v>74</v>
      </c>
      <c r="F654" t="s">
        <v>12507</v>
      </c>
      <c r="G654" t="s">
        <v>74</v>
      </c>
      <c r="H654" t="s">
        <v>74</v>
      </c>
      <c r="I654" t="s">
        <v>12508</v>
      </c>
      <c r="J654" t="s">
        <v>12509</v>
      </c>
      <c r="K654" t="s">
        <v>74</v>
      </c>
      <c r="L654" t="s">
        <v>74</v>
      </c>
      <c r="M654" t="s">
        <v>78</v>
      </c>
      <c r="N654" t="s">
        <v>79</v>
      </c>
      <c r="O654" t="s">
        <v>74</v>
      </c>
      <c r="P654" t="s">
        <v>74</v>
      </c>
      <c r="Q654" t="s">
        <v>74</v>
      </c>
      <c r="R654" t="s">
        <v>74</v>
      </c>
      <c r="S654" t="s">
        <v>74</v>
      </c>
      <c r="T654" t="s">
        <v>12510</v>
      </c>
      <c r="U654" t="s">
        <v>12511</v>
      </c>
      <c r="V654" t="s">
        <v>12512</v>
      </c>
      <c r="W654" t="s">
        <v>12513</v>
      </c>
      <c r="X654" t="s">
        <v>12514</v>
      </c>
      <c r="Y654" t="s">
        <v>12515</v>
      </c>
      <c r="Z654" t="s">
        <v>12516</v>
      </c>
      <c r="AA654" t="s">
        <v>12517</v>
      </c>
      <c r="AB654" t="s">
        <v>12518</v>
      </c>
      <c r="AC654" t="s">
        <v>12519</v>
      </c>
      <c r="AD654" t="s">
        <v>12519</v>
      </c>
      <c r="AE654" t="s">
        <v>12520</v>
      </c>
      <c r="AF654" t="s">
        <v>74</v>
      </c>
      <c r="AG654">
        <v>58</v>
      </c>
      <c r="AH654">
        <v>1</v>
      </c>
      <c r="AI654">
        <v>1</v>
      </c>
      <c r="AJ654">
        <v>0</v>
      </c>
      <c r="AK654">
        <v>8</v>
      </c>
      <c r="AL654" t="s">
        <v>237</v>
      </c>
      <c r="AM654" t="s">
        <v>238</v>
      </c>
      <c r="AN654" t="s">
        <v>239</v>
      </c>
      <c r="AO654" t="s">
        <v>12521</v>
      </c>
      <c r="AP654" t="s">
        <v>12522</v>
      </c>
      <c r="AQ654" t="s">
        <v>74</v>
      </c>
      <c r="AR654" t="s">
        <v>12523</v>
      </c>
      <c r="AS654" t="s">
        <v>12524</v>
      </c>
      <c r="AT654" t="s">
        <v>276</v>
      </c>
      <c r="AU654">
        <v>2023</v>
      </c>
      <c r="AV654">
        <v>558</v>
      </c>
      <c r="AW654" t="s">
        <v>74</v>
      </c>
      <c r="AX654" t="s">
        <v>74</v>
      </c>
      <c r="AY654" t="s">
        <v>74</v>
      </c>
      <c r="AZ654" t="s">
        <v>74</v>
      </c>
      <c r="BA654" t="s">
        <v>74</v>
      </c>
      <c r="BB654" t="s">
        <v>74</v>
      </c>
      <c r="BC654" t="s">
        <v>74</v>
      </c>
      <c r="BD654">
        <v>151833</v>
      </c>
      <c r="BE654" t="s">
        <v>12525</v>
      </c>
      <c r="BF654" t="str">
        <f>HYPERLINK("http://dx.doi.org/10.1016/j.jembe.2022.151833","http://dx.doi.org/10.1016/j.jembe.2022.151833")</f>
        <v>http://dx.doi.org/10.1016/j.jembe.2022.151833</v>
      </c>
      <c r="BG654" t="s">
        <v>74</v>
      </c>
      <c r="BH654" t="s">
        <v>11396</v>
      </c>
      <c r="BI654">
        <v>8</v>
      </c>
      <c r="BJ654" t="s">
        <v>6793</v>
      </c>
      <c r="BK654" t="s">
        <v>104</v>
      </c>
      <c r="BL654" t="s">
        <v>6729</v>
      </c>
      <c r="BM654" t="s">
        <v>12526</v>
      </c>
      <c r="BN654" t="s">
        <v>74</v>
      </c>
      <c r="BO654" t="s">
        <v>660</v>
      </c>
      <c r="BP654" t="s">
        <v>74</v>
      </c>
      <c r="BQ654" t="s">
        <v>74</v>
      </c>
      <c r="BR654" t="s">
        <v>108</v>
      </c>
      <c r="BS654" t="s">
        <v>12527</v>
      </c>
      <c r="BT654" t="str">
        <f>HYPERLINK("https%3A%2F%2Fwww.webofscience.com%2Fwos%2Fwoscc%2Ffull-record%2FWOS:000891765100002","View Full Record in Web of Science")</f>
        <v>View Full Record in Web of Science</v>
      </c>
    </row>
    <row r="655" spans="1:72" x14ac:dyDescent="0.15">
      <c r="A655" t="s">
        <v>72</v>
      </c>
      <c r="B655" t="s">
        <v>12528</v>
      </c>
      <c r="C655" t="s">
        <v>74</v>
      </c>
      <c r="D655" t="s">
        <v>74</v>
      </c>
      <c r="E655" t="s">
        <v>74</v>
      </c>
      <c r="F655" t="s">
        <v>12529</v>
      </c>
      <c r="G655" t="s">
        <v>74</v>
      </c>
      <c r="H655" t="s">
        <v>74</v>
      </c>
      <c r="I655" t="s">
        <v>12530</v>
      </c>
      <c r="J655" t="s">
        <v>7102</v>
      </c>
      <c r="K655" t="s">
        <v>74</v>
      </c>
      <c r="L655" t="s">
        <v>74</v>
      </c>
      <c r="M655" t="s">
        <v>78</v>
      </c>
      <c r="N655" t="s">
        <v>79</v>
      </c>
      <c r="O655" t="s">
        <v>74</v>
      </c>
      <c r="P655" t="s">
        <v>74</v>
      </c>
      <c r="Q655" t="s">
        <v>74</v>
      </c>
      <c r="R655" t="s">
        <v>74</v>
      </c>
      <c r="S655" t="s">
        <v>74</v>
      </c>
      <c r="T655" t="s">
        <v>12531</v>
      </c>
      <c r="U655" t="s">
        <v>12532</v>
      </c>
      <c r="V655" t="s">
        <v>12533</v>
      </c>
      <c r="W655" t="s">
        <v>12534</v>
      </c>
      <c r="X655" t="s">
        <v>12535</v>
      </c>
      <c r="Y655" t="s">
        <v>12536</v>
      </c>
      <c r="Z655" t="s">
        <v>12537</v>
      </c>
      <c r="AA655" t="s">
        <v>12538</v>
      </c>
      <c r="AB655" t="s">
        <v>12539</v>
      </c>
      <c r="AC655" t="s">
        <v>12540</v>
      </c>
      <c r="AD655" t="s">
        <v>12541</v>
      </c>
      <c r="AE655" t="s">
        <v>12542</v>
      </c>
      <c r="AF655" t="s">
        <v>74</v>
      </c>
      <c r="AG655">
        <v>102</v>
      </c>
      <c r="AH655">
        <v>1</v>
      </c>
      <c r="AI655">
        <v>1</v>
      </c>
      <c r="AJ655">
        <v>2</v>
      </c>
      <c r="AK655">
        <v>22</v>
      </c>
      <c r="AL655" t="s">
        <v>448</v>
      </c>
      <c r="AM655" t="s">
        <v>449</v>
      </c>
      <c r="AN655" t="s">
        <v>450</v>
      </c>
      <c r="AO655" t="s">
        <v>74</v>
      </c>
      <c r="AP655" t="s">
        <v>7115</v>
      </c>
      <c r="AQ655" t="s">
        <v>74</v>
      </c>
      <c r="AR655" t="s">
        <v>7116</v>
      </c>
      <c r="AS655" t="s">
        <v>7117</v>
      </c>
      <c r="AT655" t="s">
        <v>12543</v>
      </c>
      <c r="AU655">
        <v>2022</v>
      </c>
      <c r="AV655">
        <v>9</v>
      </c>
      <c r="AW655" t="s">
        <v>74</v>
      </c>
      <c r="AX655" t="s">
        <v>74</v>
      </c>
      <c r="AY655" t="s">
        <v>74</v>
      </c>
      <c r="AZ655" t="s">
        <v>74</v>
      </c>
      <c r="BA655" t="s">
        <v>74</v>
      </c>
      <c r="BB655" t="s">
        <v>74</v>
      </c>
      <c r="BC655" t="s">
        <v>74</v>
      </c>
      <c r="BD655">
        <v>1009620</v>
      </c>
      <c r="BE655" t="s">
        <v>12544</v>
      </c>
      <c r="BF655" t="str">
        <f>HYPERLINK("http://dx.doi.org/10.3389/fmars.2022.1009620","http://dx.doi.org/10.3389/fmars.2022.1009620")</f>
        <v>http://dx.doi.org/10.3389/fmars.2022.1009620</v>
      </c>
      <c r="BG655" t="s">
        <v>74</v>
      </c>
      <c r="BH655" t="s">
        <v>74</v>
      </c>
      <c r="BI655">
        <v>21</v>
      </c>
      <c r="BJ655" t="s">
        <v>6728</v>
      </c>
      <c r="BK655" t="s">
        <v>104</v>
      </c>
      <c r="BL655" t="s">
        <v>6729</v>
      </c>
      <c r="BM655" t="s">
        <v>12545</v>
      </c>
      <c r="BN655" t="s">
        <v>74</v>
      </c>
      <c r="BO655" t="s">
        <v>165</v>
      </c>
      <c r="BP655" t="s">
        <v>74</v>
      </c>
      <c r="BQ655" t="s">
        <v>74</v>
      </c>
      <c r="BR655" t="s">
        <v>108</v>
      </c>
      <c r="BS655" t="s">
        <v>12546</v>
      </c>
      <c r="BT655" t="str">
        <f>HYPERLINK("https%3A%2F%2Fwww.webofscience.com%2Fwos%2Fwoscc%2Ffull-record%2FWOS:000893967900001","View Full Record in Web of Science")</f>
        <v>View Full Record in Web of Science</v>
      </c>
    </row>
    <row r="656" spans="1:72" x14ac:dyDescent="0.15">
      <c r="A656" t="s">
        <v>72</v>
      </c>
      <c r="B656" t="s">
        <v>12547</v>
      </c>
      <c r="C656" t="s">
        <v>74</v>
      </c>
      <c r="D656" t="s">
        <v>74</v>
      </c>
      <c r="E656" t="s">
        <v>74</v>
      </c>
      <c r="F656" t="s">
        <v>12548</v>
      </c>
      <c r="G656" t="s">
        <v>74</v>
      </c>
      <c r="H656" t="s">
        <v>74</v>
      </c>
      <c r="I656" t="s">
        <v>12549</v>
      </c>
      <c r="J656" t="s">
        <v>12550</v>
      </c>
      <c r="K656" t="s">
        <v>74</v>
      </c>
      <c r="L656" t="s">
        <v>74</v>
      </c>
      <c r="M656" t="s">
        <v>78</v>
      </c>
      <c r="N656" t="s">
        <v>79</v>
      </c>
      <c r="O656" t="s">
        <v>74</v>
      </c>
      <c r="P656" t="s">
        <v>74</v>
      </c>
      <c r="Q656" t="s">
        <v>74</v>
      </c>
      <c r="R656" t="s">
        <v>74</v>
      </c>
      <c r="S656" t="s">
        <v>74</v>
      </c>
      <c r="T656" t="s">
        <v>12551</v>
      </c>
      <c r="U656" t="s">
        <v>12552</v>
      </c>
      <c r="V656" t="s">
        <v>12553</v>
      </c>
      <c r="W656" t="s">
        <v>12554</v>
      </c>
      <c r="X656" t="s">
        <v>12555</v>
      </c>
      <c r="Y656" t="s">
        <v>12556</v>
      </c>
      <c r="Z656" t="s">
        <v>12557</v>
      </c>
      <c r="AA656" t="s">
        <v>12558</v>
      </c>
      <c r="AB656" t="s">
        <v>12559</v>
      </c>
      <c r="AC656" t="s">
        <v>12560</v>
      </c>
      <c r="AD656" t="s">
        <v>12561</v>
      </c>
      <c r="AE656" t="s">
        <v>12562</v>
      </c>
      <c r="AF656" t="s">
        <v>74</v>
      </c>
      <c r="AG656">
        <v>61</v>
      </c>
      <c r="AH656">
        <v>1</v>
      </c>
      <c r="AI656">
        <v>1</v>
      </c>
      <c r="AJ656">
        <v>10</v>
      </c>
      <c r="AK656">
        <v>29</v>
      </c>
      <c r="AL656" t="s">
        <v>603</v>
      </c>
      <c r="AM656" t="s">
        <v>208</v>
      </c>
      <c r="AN656" t="s">
        <v>604</v>
      </c>
      <c r="AO656" t="s">
        <v>12563</v>
      </c>
      <c r="AP656" t="s">
        <v>12564</v>
      </c>
      <c r="AQ656" t="s">
        <v>74</v>
      </c>
      <c r="AR656" t="s">
        <v>12565</v>
      </c>
      <c r="AS656" t="s">
        <v>12566</v>
      </c>
      <c r="AT656" t="s">
        <v>609</v>
      </c>
      <c r="AU656">
        <v>2023</v>
      </c>
      <c r="AV656">
        <v>294</v>
      </c>
      <c r="AW656" t="s">
        <v>74</v>
      </c>
      <c r="AX656" t="s">
        <v>74</v>
      </c>
      <c r="AY656" t="s">
        <v>74</v>
      </c>
      <c r="AZ656" t="s">
        <v>74</v>
      </c>
      <c r="BA656" t="s">
        <v>74</v>
      </c>
      <c r="BB656" t="s">
        <v>74</v>
      </c>
      <c r="BC656" t="s">
        <v>74</v>
      </c>
      <c r="BD656">
        <v>119480</v>
      </c>
      <c r="BE656" t="s">
        <v>12567</v>
      </c>
      <c r="BF656" t="str">
        <f>HYPERLINK("http://dx.doi.org/10.1016/j.atmosenv.2022.119480","http://dx.doi.org/10.1016/j.atmosenv.2022.119480")</f>
        <v>http://dx.doi.org/10.1016/j.atmosenv.2022.119480</v>
      </c>
      <c r="BG656" t="s">
        <v>74</v>
      </c>
      <c r="BH656" t="s">
        <v>11396</v>
      </c>
      <c r="BI656">
        <v>9</v>
      </c>
      <c r="BJ656" t="s">
        <v>5429</v>
      </c>
      <c r="BK656" t="s">
        <v>104</v>
      </c>
      <c r="BL656" t="s">
        <v>355</v>
      </c>
      <c r="BM656" t="s">
        <v>12568</v>
      </c>
      <c r="BN656" t="s">
        <v>74</v>
      </c>
      <c r="BO656" t="s">
        <v>74</v>
      </c>
      <c r="BP656" t="s">
        <v>74</v>
      </c>
      <c r="BQ656" t="s">
        <v>74</v>
      </c>
      <c r="BR656" t="s">
        <v>108</v>
      </c>
      <c r="BS656" t="s">
        <v>12569</v>
      </c>
      <c r="BT656" t="str">
        <f>HYPERLINK("https%3A%2F%2Fwww.webofscience.com%2Fwos%2Fwoscc%2Ffull-record%2FWOS:000890642300001","View Full Record in Web of Science")</f>
        <v>View Full Record in Web of Science</v>
      </c>
    </row>
    <row r="657" spans="1:72" x14ac:dyDescent="0.15">
      <c r="A657" t="s">
        <v>72</v>
      </c>
      <c r="B657" t="s">
        <v>12570</v>
      </c>
      <c r="C657" t="s">
        <v>74</v>
      </c>
      <c r="D657" t="s">
        <v>74</v>
      </c>
      <c r="E657" t="s">
        <v>74</v>
      </c>
      <c r="F657" t="s">
        <v>12571</v>
      </c>
      <c r="G657" t="s">
        <v>74</v>
      </c>
      <c r="H657" t="s">
        <v>74</v>
      </c>
      <c r="I657" t="s">
        <v>12572</v>
      </c>
      <c r="J657" t="s">
        <v>8403</v>
      </c>
      <c r="K657" t="s">
        <v>74</v>
      </c>
      <c r="L657" t="s">
        <v>74</v>
      </c>
      <c r="M657" t="s">
        <v>78</v>
      </c>
      <c r="N657" t="s">
        <v>79</v>
      </c>
      <c r="O657" t="s">
        <v>74</v>
      </c>
      <c r="P657" t="s">
        <v>74</v>
      </c>
      <c r="Q657" t="s">
        <v>74</v>
      </c>
      <c r="R657" t="s">
        <v>74</v>
      </c>
      <c r="S657" t="s">
        <v>74</v>
      </c>
      <c r="T657" t="s">
        <v>12573</v>
      </c>
      <c r="U657" t="s">
        <v>12574</v>
      </c>
      <c r="V657" t="s">
        <v>12575</v>
      </c>
      <c r="W657" t="s">
        <v>12576</v>
      </c>
      <c r="X657" t="s">
        <v>12577</v>
      </c>
      <c r="Y657" t="s">
        <v>12578</v>
      </c>
      <c r="Z657" t="s">
        <v>12579</v>
      </c>
      <c r="AA657" t="s">
        <v>12580</v>
      </c>
      <c r="AB657" t="s">
        <v>12581</v>
      </c>
      <c r="AC657" t="s">
        <v>12582</v>
      </c>
      <c r="AD657" t="s">
        <v>12583</v>
      </c>
      <c r="AE657" t="s">
        <v>12584</v>
      </c>
      <c r="AF657" t="s">
        <v>74</v>
      </c>
      <c r="AG657">
        <v>132</v>
      </c>
      <c r="AH657">
        <v>4</v>
      </c>
      <c r="AI657">
        <v>4</v>
      </c>
      <c r="AJ657">
        <v>5</v>
      </c>
      <c r="AK657">
        <v>35</v>
      </c>
      <c r="AL657" t="s">
        <v>422</v>
      </c>
      <c r="AM657" t="s">
        <v>208</v>
      </c>
      <c r="AN657" t="s">
        <v>423</v>
      </c>
      <c r="AO657" t="s">
        <v>8416</v>
      </c>
      <c r="AP657" t="s">
        <v>8417</v>
      </c>
      <c r="AQ657" t="s">
        <v>74</v>
      </c>
      <c r="AR657" t="s">
        <v>8418</v>
      </c>
      <c r="AS657" t="s">
        <v>8419</v>
      </c>
      <c r="AT657" t="s">
        <v>12543</v>
      </c>
      <c r="AU657">
        <v>2022</v>
      </c>
      <c r="AV657">
        <v>98</v>
      </c>
      <c r="AW657">
        <v>12</v>
      </c>
      <c r="AX657" t="s">
        <v>74</v>
      </c>
      <c r="AY657" t="s">
        <v>74</v>
      </c>
      <c r="AZ657" t="s">
        <v>74</v>
      </c>
      <c r="BA657" t="s">
        <v>74</v>
      </c>
      <c r="BB657" t="s">
        <v>74</v>
      </c>
      <c r="BC657" t="s">
        <v>74</v>
      </c>
      <c r="BD657" t="s">
        <v>12585</v>
      </c>
      <c r="BE657" t="s">
        <v>12586</v>
      </c>
      <c r="BF657" t="str">
        <f>HYPERLINK("http://dx.doi.org/10.1093/femsec/fiac122","http://dx.doi.org/10.1093/femsec/fiac122")</f>
        <v>http://dx.doi.org/10.1093/femsec/fiac122</v>
      </c>
      <c r="BG657" t="s">
        <v>74</v>
      </c>
      <c r="BH657" t="s">
        <v>74</v>
      </c>
      <c r="BI657">
        <v>17</v>
      </c>
      <c r="BJ657" t="s">
        <v>1699</v>
      </c>
      <c r="BK657" t="s">
        <v>104</v>
      </c>
      <c r="BL657" t="s">
        <v>1699</v>
      </c>
      <c r="BM657" t="s">
        <v>12587</v>
      </c>
      <c r="BN657">
        <v>36251461</v>
      </c>
      <c r="BO657" t="s">
        <v>660</v>
      </c>
      <c r="BP657" t="s">
        <v>74</v>
      </c>
      <c r="BQ657" t="s">
        <v>74</v>
      </c>
      <c r="BR657" t="s">
        <v>108</v>
      </c>
      <c r="BS657" t="s">
        <v>12588</v>
      </c>
      <c r="BT657" t="str">
        <f>HYPERLINK("https%3A%2F%2Fwww.webofscience.com%2Fwos%2Fwoscc%2Ffull-record%2FWOS:000892340200001","View Full Record in Web of Science")</f>
        <v>View Full Record in Web of Science</v>
      </c>
    </row>
    <row r="658" spans="1:72" x14ac:dyDescent="0.15">
      <c r="A658" t="s">
        <v>72</v>
      </c>
      <c r="B658" t="s">
        <v>12589</v>
      </c>
      <c r="C658" t="s">
        <v>74</v>
      </c>
      <c r="D658" t="s">
        <v>74</v>
      </c>
      <c r="E658" t="s">
        <v>74</v>
      </c>
      <c r="F658" t="s">
        <v>12590</v>
      </c>
      <c r="G658" t="s">
        <v>74</v>
      </c>
      <c r="H658" t="s">
        <v>74</v>
      </c>
      <c r="I658" t="s">
        <v>12591</v>
      </c>
      <c r="J658" t="s">
        <v>7124</v>
      </c>
      <c r="K658" t="s">
        <v>74</v>
      </c>
      <c r="L658" t="s">
        <v>74</v>
      </c>
      <c r="M658" t="s">
        <v>78</v>
      </c>
      <c r="N658" t="s">
        <v>6601</v>
      </c>
      <c r="O658" t="s">
        <v>74</v>
      </c>
      <c r="P658" t="s">
        <v>74</v>
      </c>
      <c r="Q658" t="s">
        <v>74</v>
      </c>
      <c r="R658" t="s">
        <v>74</v>
      </c>
      <c r="S658" t="s">
        <v>74</v>
      </c>
      <c r="T658" t="s">
        <v>74</v>
      </c>
      <c r="U658" t="s">
        <v>12592</v>
      </c>
      <c r="V658" t="s">
        <v>12593</v>
      </c>
      <c r="W658" t="s">
        <v>12594</v>
      </c>
      <c r="X658" t="s">
        <v>12595</v>
      </c>
      <c r="Y658" t="s">
        <v>12596</v>
      </c>
      <c r="Z658" t="s">
        <v>12597</v>
      </c>
      <c r="AA658" t="s">
        <v>74</v>
      </c>
      <c r="AB658" t="s">
        <v>12598</v>
      </c>
      <c r="AC658" t="s">
        <v>12599</v>
      </c>
      <c r="AD658" t="s">
        <v>12600</v>
      </c>
      <c r="AE658" t="s">
        <v>12601</v>
      </c>
      <c r="AF658" t="s">
        <v>74</v>
      </c>
      <c r="AG658">
        <v>84</v>
      </c>
      <c r="AH658">
        <v>4</v>
      </c>
      <c r="AI658">
        <v>4</v>
      </c>
      <c r="AJ658">
        <v>2</v>
      </c>
      <c r="AK658">
        <v>20</v>
      </c>
      <c r="AL658" t="s">
        <v>126</v>
      </c>
      <c r="AM658" t="s">
        <v>127</v>
      </c>
      <c r="AN658" t="s">
        <v>128</v>
      </c>
      <c r="AO658" t="s">
        <v>7136</v>
      </c>
      <c r="AP658" t="s">
        <v>7137</v>
      </c>
      <c r="AQ658" t="s">
        <v>74</v>
      </c>
      <c r="AR658" t="s">
        <v>7138</v>
      </c>
      <c r="AS658" t="s">
        <v>7139</v>
      </c>
      <c r="AT658" t="s">
        <v>12543</v>
      </c>
      <c r="AU658">
        <v>2022</v>
      </c>
      <c r="AV658">
        <v>14</v>
      </c>
      <c r="AW658">
        <v>11</v>
      </c>
      <c r="AX658" t="s">
        <v>74</v>
      </c>
      <c r="AY658" t="s">
        <v>74</v>
      </c>
      <c r="AZ658" t="s">
        <v>74</v>
      </c>
      <c r="BA658" t="s">
        <v>74</v>
      </c>
      <c r="BB658">
        <v>5111</v>
      </c>
      <c r="BC658">
        <v>5137</v>
      </c>
      <c r="BD658" t="s">
        <v>74</v>
      </c>
      <c r="BE658" t="s">
        <v>12602</v>
      </c>
      <c r="BF658" t="str">
        <f>HYPERLINK("http://dx.doi.org/10.5194/essd-14-5111-2022","http://dx.doi.org/10.5194/essd-14-5111-2022")</f>
        <v>http://dx.doi.org/10.5194/essd-14-5111-2022</v>
      </c>
      <c r="BG658" t="s">
        <v>74</v>
      </c>
      <c r="BH658" t="s">
        <v>74</v>
      </c>
      <c r="BI658">
        <v>27</v>
      </c>
      <c r="BJ658" t="s">
        <v>135</v>
      </c>
      <c r="BK658" t="s">
        <v>104</v>
      </c>
      <c r="BL658" t="s">
        <v>136</v>
      </c>
      <c r="BM658" t="s">
        <v>12603</v>
      </c>
      <c r="BN658" t="s">
        <v>74</v>
      </c>
      <c r="BO658" t="s">
        <v>737</v>
      </c>
      <c r="BP658" t="s">
        <v>74</v>
      </c>
      <c r="BQ658" t="s">
        <v>74</v>
      </c>
      <c r="BR658" t="s">
        <v>108</v>
      </c>
      <c r="BS658" t="s">
        <v>12604</v>
      </c>
      <c r="BT658" t="str">
        <f>HYPERLINK("https%3A%2F%2Fwww.webofscience.com%2Fwos%2Fwoscc%2Ffull-record%2FWOS:000890005600001","View Full Record in Web of Science")</f>
        <v>View Full Record in Web of Science</v>
      </c>
    </row>
    <row r="659" spans="1:72" x14ac:dyDescent="0.15">
      <c r="A659" t="s">
        <v>72</v>
      </c>
      <c r="B659" t="s">
        <v>12605</v>
      </c>
      <c r="C659" t="s">
        <v>74</v>
      </c>
      <c r="D659" t="s">
        <v>74</v>
      </c>
      <c r="E659" t="s">
        <v>74</v>
      </c>
      <c r="F659" t="s">
        <v>12606</v>
      </c>
      <c r="G659" t="s">
        <v>74</v>
      </c>
      <c r="H659" t="s">
        <v>74</v>
      </c>
      <c r="I659" t="s">
        <v>12607</v>
      </c>
      <c r="J659" t="s">
        <v>12105</v>
      </c>
      <c r="K659" t="s">
        <v>74</v>
      </c>
      <c r="L659" t="s">
        <v>74</v>
      </c>
      <c r="M659" t="s">
        <v>78</v>
      </c>
      <c r="N659" t="s">
        <v>256</v>
      </c>
      <c r="O659" t="s">
        <v>74</v>
      </c>
      <c r="P659" t="s">
        <v>74</v>
      </c>
      <c r="Q659" t="s">
        <v>74</v>
      </c>
      <c r="R659" t="s">
        <v>74</v>
      </c>
      <c r="S659" t="s">
        <v>74</v>
      </c>
      <c r="T659" t="s">
        <v>12608</v>
      </c>
      <c r="U659" t="s">
        <v>12609</v>
      </c>
      <c r="V659" t="s">
        <v>12610</v>
      </c>
      <c r="W659" t="s">
        <v>12611</v>
      </c>
      <c r="X659" t="s">
        <v>12612</v>
      </c>
      <c r="Y659" t="s">
        <v>12613</v>
      </c>
      <c r="Z659" t="s">
        <v>12614</v>
      </c>
      <c r="AA659" t="s">
        <v>12615</v>
      </c>
      <c r="AB659" t="s">
        <v>12616</v>
      </c>
      <c r="AC659" t="s">
        <v>12617</v>
      </c>
      <c r="AD659" t="s">
        <v>12618</v>
      </c>
      <c r="AE659" t="s">
        <v>12619</v>
      </c>
      <c r="AF659" t="s">
        <v>74</v>
      </c>
      <c r="AG659">
        <v>138</v>
      </c>
      <c r="AH659">
        <v>4</v>
      </c>
      <c r="AI659">
        <v>4</v>
      </c>
      <c r="AJ659">
        <v>7</v>
      </c>
      <c r="AK659">
        <v>17</v>
      </c>
      <c r="AL659" t="s">
        <v>297</v>
      </c>
      <c r="AM659" t="s">
        <v>298</v>
      </c>
      <c r="AN659" t="s">
        <v>299</v>
      </c>
      <c r="AO659" t="s">
        <v>12118</v>
      </c>
      <c r="AP659" t="s">
        <v>12119</v>
      </c>
      <c r="AQ659" t="s">
        <v>74</v>
      </c>
      <c r="AR659" t="s">
        <v>12105</v>
      </c>
      <c r="AS659" t="s">
        <v>12120</v>
      </c>
      <c r="AT659" t="s">
        <v>9001</v>
      </c>
      <c r="AU659">
        <v>2022</v>
      </c>
      <c r="AV659">
        <v>2022</v>
      </c>
      <c r="AW659">
        <v>12</v>
      </c>
      <c r="AX659" t="s">
        <v>74</v>
      </c>
      <c r="AY659" t="s">
        <v>74</v>
      </c>
      <c r="AZ659" t="s">
        <v>74</v>
      </c>
      <c r="BA659" t="s">
        <v>74</v>
      </c>
      <c r="BB659" t="s">
        <v>74</v>
      </c>
      <c r="BC659" t="s">
        <v>74</v>
      </c>
      <c r="BD659" t="s">
        <v>74</v>
      </c>
      <c r="BE659" t="s">
        <v>12620</v>
      </c>
      <c r="BF659" t="str">
        <f>HYPERLINK("http://dx.doi.org/10.1111/ecog.06312","http://dx.doi.org/10.1111/ecog.06312")</f>
        <v>http://dx.doi.org/10.1111/ecog.06312</v>
      </c>
      <c r="BG659" t="s">
        <v>74</v>
      </c>
      <c r="BH659" t="s">
        <v>11396</v>
      </c>
      <c r="BI659">
        <v>19</v>
      </c>
      <c r="BJ659" t="s">
        <v>305</v>
      </c>
      <c r="BK659" t="s">
        <v>104</v>
      </c>
      <c r="BL659" t="s">
        <v>306</v>
      </c>
      <c r="BM659" t="s">
        <v>12621</v>
      </c>
      <c r="BN659" t="s">
        <v>74</v>
      </c>
      <c r="BO659" t="s">
        <v>1464</v>
      </c>
      <c r="BP659" t="s">
        <v>74</v>
      </c>
      <c r="BQ659" t="s">
        <v>74</v>
      </c>
      <c r="BR659" t="s">
        <v>108</v>
      </c>
      <c r="BS659" t="s">
        <v>12622</v>
      </c>
      <c r="BT659" t="str">
        <f>HYPERLINK("https%3A%2F%2Fwww.webofscience.com%2Fwos%2Fwoscc%2Ffull-record%2FWOS:000888159900001","View Full Record in Web of Science")</f>
        <v>View Full Record in Web of Science</v>
      </c>
    </row>
    <row r="660" spans="1:72" x14ac:dyDescent="0.15">
      <c r="A660" t="s">
        <v>72</v>
      </c>
      <c r="B660" t="s">
        <v>12623</v>
      </c>
      <c r="C660" t="s">
        <v>74</v>
      </c>
      <c r="D660" t="s">
        <v>74</v>
      </c>
      <c r="E660" t="s">
        <v>74</v>
      </c>
      <c r="F660" t="s">
        <v>12624</v>
      </c>
      <c r="G660" t="s">
        <v>74</v>
      </c>
      <c r="H660" t="s">
        <v>74</v>
      </c>
      <c r="I660" t="s">
        <v>12625</v>
      </c>
      <c r="J660" t="s">
        <v>12626</v>
      </c>
      <c r="K660" t="s">
        <v>74</v>
      </c>
      <c r="L660" t="s">
        <v>74</v>
      </c>
      <c r="M660" t="s">
        <v>78</v>
      </c>
      <c r="N660" t="s">
        <v>79</v>
      </c>
      <c r="O660" t="s">
        <v>74</v>
      </c>
      <c r="P660" t="s">
        <v>74</v>
      </c>
      <c r="Q660" t="s">
        <v>74</v>
      </c>
      <c r="R660" t="s">
        <v>74</v>
      </c>
      <c r="S660" t="s">
        <v>74</v>
      </c>
      <c r="T660" t="s">
        <v>12627</v>
      </c>
      <c r="U660" t="s">
        <v>12628</v>
      </c>
      <c r="V660" t="s">
        <v>12629</v>
      </c>
      <c r="W660" t="s">
        <v>12630</v>
      </c>
      <c r="X660" t="s">
        <v>74</v>
      </c>
      <c r="Y660" t="s">
        <v>12631</v>
      </c>
      <c r="Z660" t="s">
        <v>12632</v>
      </c>
      <c r="AA660" t="s">
        <v>74</v>
      </c>
      <c r="AB660" t="s">
        <v>12633</v>
      </c>
      <c r="AC660" t="s">
        <v>74</v>
      </c>
      <c r="AD660" t="s">
        <v>74</v>
      </c>
      <c r="AE660" t="s">
        <v>74</v>
      </c>
      <c r="AF660" t="s">
        <v>74</v>
      </c>
      <c r="AG660">
        <v>52</v>
      </c>
      <c r="AH660">
        <v>1</v>
      </c>
      <c r="AI660">
        <v>1</v>
      </c>
      <c r="AJ660">
        <v>1</v>
      </c>
      <c r="AK660">
        <v>7</v>
      </c>
      <c r="AL660" t="s">
        <v>297</v>
      </c>
      <c r="AM660" t="s">
        <v>298</v>
      </c>
      <c r="AN660" t="s">
        <v>299</v>
      </c>
      <c r="AO660" t="s">
        <v>12634</v>
      </c>
      <c r="AP660" t="s">
        <v>12635</v>
      </c>
      <c r="AQ660" t="s">
        <v>74</v>
      </c>
      <c r="AR660" t="s">
        <v>12636</v>
      </c>
      <c r="AS660" t="s">
        <v>12637</v>
      </c>
      <c r="AT660" t="s">
        <v>214</v>
      </c>
      <c r="AU660">
        <v>2023</v>
      </c>
      <c r="AV660">
        <v>189</v>
      </c>
      <c r="AW660">
        <v>1</v>
      </c>
      <c r="AX660" t="s">
        <v>74</v>
      </c>
      <c r="AY660" t="s">
        <v>74</v>
      </c>
      <c r="AZ660" t="s">
        <v>74</v>
      </c>
      <c r="BA660" t="s">
        <v>74</v>
      </c>
      <c r="BB660">
        <v>25</v>
      </c>
      <c r="BC660">
        <v>39</v>
      </c>
      <c r="BD660" t="s">
        <v>74</v>
      </c>
      <c r="BE660" t="s">
        <v>12638</v>
      </c>
      <c r="BF660" t="str">
        <f>HYPERLINK("http://dx.doi.org/10.1111/geoj.12482","http://dx.doi.org/10.1111/geoj.12482")</f>
        <v>http://dx.doi.org/10.1111/geoj.12482</v>
      </c>
      <c r="BG660" t="s">
        <v>74</v>
      </c>
      <c r="BH660" t="s">
        <v>11396</v>
      </c>
      <c r="BI660">
        <v>15</v>
      </c>
      <c r="BJ660" t="s">
        <v>12639</v>
      </c>
      <c r="BK660" t="s">
        <v>3087</v>
      </c>
      <c r="BL660" t="s">
        <v>12639</v>
      </c>
      <c r="BM660" t="s">
        <v>12640</v>
      </c>
      <c r="BN660" t="s">
        <v>74</v>
      </c>
      <c r="BO660" t="s">
        <v>74</v>
      </c>
      <c r="BP660" t="s">
        <v>74</v>
      </c>
      <c r="BQ660" t="s">
        <v>74</v>
      </c>
      <c r="BR660" t="s">
        <v>108</v>
      </c>
      <c r="BS660" t="s">
        <v>12641</v>
      </c>
      <c r="BT660" t="str">
        <f>HYPERLINK("https%3A%2F%2Fwww.webofscience.com%2Fwos%2Fwoscc%2Ffull-record%2FWOS:000887985700001","View Full Record in Web of Science")</f>
        <v>View Full Record in Web of Science</v>
      </c>
    </row>
    <row r="661" spans="1:72" x14ac:dyDescent="0.15">
      <c r="A661" t="s">
        <v>72</v>
      </c>
      <c r="B661" t="s">
        <v>12642</v>
      </c>
      <c r="C661" t="s">
        <v>74</v>
      </c>
      <c r="D661" t="s">
        <v>74</v>
      </c>
      <c r="E661" t="s">
        <v>74</v>
      </c>
      <c r="F661" t="s">
        <v>12643</v>
      </c>
      <c r="G661" t="s">
        <v>74</v>
      </c>
      <c r="H661" t="s">
        <v>74</v>
      </c>
      <c r="I661" t="s">
        <v>12644</v>
      </c>
      <c r="J661" t="s">
        <v>12645</v>
      </c>
      <c r="K661" t="s">
        <v>74</v>
      </c>
      <c r="L661" t="s">
        <v>74</v>
      </c>
      <c r="M661" t="s">
        <v>78</v>
      </c>
      <c r="N661" t="s">
        <v>79</v>
      </c>
      <c r="O661" t="s">
        <v>74</v>
      </c>
      <c r="P661" t="s">
        <v>74</v>
      </c>
      <c r="Q661" t="s">
        <v>74</v>
      </c>
      <c r="R661" t="s">
        <v>74</v>
      </c>
      <c r="S661" t="s">
        <v>74</v>
      </c>
      <c r="T661" t="s">
        <v>12646</v>
      </c>
      <c r="U661" t="s">
        <v>12647</v>
      </c>
      <c r="V661" t="s">
        <v>12648</v>
      </c>
      <c r="W661" t="s">
        <v>12649</v>
      </c>
      <c r="X661" t="s">
        <v>12650</v>
      </c>
      <c r="Y661" t="s">
        <v>12651</v>
      </c>
      <c r="Z661" t="s">
        <v>12652</v>
      </c>
      <c r="AA661" t="s">
        <v>12653</v>
      </c>
      <c r="AB661" t="s">
        <v>12654</v>
      </c>
      <c r="AC661" t="s">
        <v>12655</v>
      </c>
      <c r="AD661" t="s">
        <v>12656</v>
      </c>
      <c r="AE661" t="s">
        <v>12657</v>
      </c>
      <c r="AF661" t="s">
        <v>74</v>
      </c>
      <c r="AG661">
        <v>46</v>
      </c>
      <c r="AH661">
        <v>3</v>
      </c>
      <c r="AI661">
        <v>3</v>
      </c>
      <c r="AJ661">
        <v>7</v>
      </c>
      <c r="AK661">
        <v>28</v>
      </c>
      <c r="AL661" t="s">
        <v>237</v>
      </c>
      <c r="AM661" t="s">
        <v>238</v>
      </c>
      <c r="AN661" t="s">
        <v>239</v>
      </c>
      <c r="AO661" t="s">
        <v>12658</v>
      </c>
      <c r="AP661" t="s">
        <v>12659</v>
      </c>
      <c r="AQ661" t="s">
        <v>74</v>
      </c>
      <c r="AR661" t="s">
        <v>12660</v>
      </c>
      <c r="AS661" t="s">
        <v>12661</v>
      </c>
      <c r="AT661" t="s">
        <v>9001</v>
      </c>
      <c r="AU661">
        <v>2022</v>
      </c>
      <c r="AV661">
        <v>162</v>
      </c>
      <c r="AW661" t="s">
        <v>74</v>
      </c>
      <c r="AX661" t="s">
        <v>943</v>
      </c>
      <c r="AY661" t="s">
        <v>74</v>
      </c>
      <c r="AZ661" t="s">
        <v>74</v>
      </c>
      <c r="BA661" t="s">
        <v>74</v>
      </c>
      <c r="BB661" t="s">
        <v>74</v>
      </c>
      <c r="BC661" t="s">
        <v>74</v>
      </c>
      <c r="BD661">
        <v>112201</v>
      </c>
      <c r="BE661" t="s">
        <v>12662</v>
      </c>
      <c r="BF661" t="str">
        <f>HYPERLINK("http://dx.doi.org/10.1016/j.foodres.2022.112201","http://dx.doi.org/10.1016/j.foodres.2022.112201")</f>
        <v>http://dx.doi.org/10.1016/j.foodres.2022.112201</v>
      </c>
      <c r="BG661" t="s">
        <v>74</v>
      </c>
      <c r="BH661" t="s">
        <v>11396</v>
      </c>
      <c r="BI661">
        <v>10</v>
      </c>
      <c r="BJ661" t="s">
        <v>8056</v>
      </c>
      <c r="BK661" t="s">
        <v>104</v>
      </c>
      <c r="BL661" t="s">
        <v>8056</v>
      </c>
      <c r="BM661" t="s">
        <v>12663</v>
      </c>
      <c r="BN661">
        <v>36461377</v>
      </c>
      <c r="BO661" t="s">
        <v>74</v>
      </c>
      <c r="BP661" t="s">
        <v>74</v>
      </c>
      <c r="BQ661" t="s">
        <v>74</v>
      </c>
      <c r="BR661" t="s">
        <v>108</v>
      </c>
      <c r="BS661" t="s">
        <v>12664</v>
      </c>
      <c r="BT661" t="str">
        <f>HYPERLINK("https%3A%2F%2Fwww.webofscience.com%2Fwos%2Fwoscc%2Ffull-record%2FWOS:000971228500004","View Full Record in Web of Science")</f>
        <v>View Full Record in Web of Science</v>
      </c>
    </row>
    <row r="662" spans="1:72" x14ac:dyDescent="0.15">
      <c r="A662" t="s">
        <v>72</v>
      </c>
      <c r="B662" t="s">
        <v>12665</v>
      </c>
      <c r="C662" t="s">
        <v>74</v>
      </c>
      <c r="D662" t="s">
        <v>74</v>
      </c>
      <c r="E662" t="s">
        <v>74</v>
      </c>
      <c r="F662" t="s">
        <v>12666</v>
      </c>
      <c r="G662" t="s">
        <v>74</v>
      </c>
      <c r="H662" t="s">
        <v>74</v>
      </c>
      <c r="I662" t="s">
        <v>12667</v>
      </c>
      <c r="J662" t="s">
        <v>12668</v>
      </c>
      <c r="K662" t="s">
        <v>74</v>
      </c>
      <c r="L662" t="s">
        <v>74</v>
      </c>
      <c r="M662" t="s">
        <v>78</v>
      </c>
      <c r="N662" t="s">
        <v>79</v>
      </c>
      <c r="O662" t="s">
        <v>74</v>
      </c>
      <c r="P662" t="s">
        <v>74</v>
      </c>
      <c r="Q662" t="s">
        <v>74</v>
      </c>
      <c r="R662" t="s">
        <v>74</v>
      </c>
      <c r="S662" t="s">
        <v>74</v>
      </c>
      <c r="T662" t="s">
        <v>12669</v>
      </c>
      <c r="U662" t="s">
        <v>12670</v>
      </c>
      <c r="V662" t="s">
        <v>12671</v>
      </c>
      <c r="W662" t="s">
        <v>12672</v>
      </c>
      <c r="X662" t="s">
        <v>12673</v>
      </c>
      <c r="Y662" t="s">
        <v>12674</v>
      </c>
      <c r="Z662" t="s">
        <v>12675</v>
      </c>
      <c r="AA662" t="s">
        <v>12676</v>
      </c>
      <c r="AB662" t="s">
        <v>12677</v>
      </c>
      <c r="AC662" t="s">
        <v>12678</v>
      </c>
      <c r="AD662" t="s">
        <v>12679</v>
      </c>
      <c r="AE662" t="s">
        <v>12680</v>
      </c>
      <c r="AF662" t="s">
        <v>74</v>
      </c>
      <c r="AG662">
        <v>32</v>
      </c>
      <c r="AH662">
        <v>2</v>
      </c>
      <c r="AI662">
        <v>2</v>
      </c>
      <c r="AJ662">
        <v>2</v>
      </c>
      <c r="AK662">
        <v>9</v>
      </c>
      <c r="AL662" t="s">
        <v>8762</v>
      </c>
      <c r="AM662" t="s">
        <v>2564</v>
      </c>
      <c r="AN662" t="s">
        <v>8763</v>
      </c>
      <c r="AO662" t="s">
        <v>12681</v>
      </c>
      <c r="AP662" t="s">
        <v>12682</v>
      </c>
      <c r="AQ662" t="s">
        <v>74</v>
      </c>
      <c r="AR662" t="s">
        <v>12683</v>
      </c>
      <c r="AS662" t="s">
        <v>12684</v>
      </c>
      <c r="AT662" t="s">
        <v>99</v>
      </c>
      <c r="AU662">
        <v>2023</v>
      </c>
      <c r="AV662">
        <v>177</v>
      </c>
      <c r="AW662" t="s">
        <v>74</v>
      </c>
      <c r="AX662" t="s">
        <v>74</v>
      </c>
      <c r="AY662" t="s">
        <v>74</v>
      </c>
      <c r="AZ662" t="s">
        <v>74</v>
      </c>
      <c r="BA662" t="s">
        <v>74</v>
      </c>
      <c r="BB662" t="s">
        <v>74</v>
      </c>
      <c r="BC662" t="s">
        <v>74</v>
      </c>
      <c r="BD662">
        <v>105104</v>
      </c>
      <c r="BE662" t="s">
        <v>12685</v>
      </c>
      <c r="BF662" t="str">
        <f>HYPERLINK("http://dx.doi.org/10.1016/j.biocontrol.2022.105104","http://dx.doi.org/10.1016/j.biocontrol.2022.105104")</f>
        <v>http://dx.doi.org/10.1016/j.biocontrol.2022.105104</v>
      </c>
      <c r="BG662" t="s">
        <v>74</v>
      </c>
      <c r="BH662" t="s">
        <v>11396</v>
      </c>
      <c r="BI662">
        <v>8</v>
      </c>
      <c r="BJ662" t="s">
        <v>12686</v>
      </c>
      <c r="BK662" t="s">
        <v>104</v>
      </c>
      <c r="BL662" t="s">
        <v>12686</v>
      </c>
      <c r="BM662" t="s">
        <v>12687</v>
      </c>
      <c r="BN662" t="s">
        <v>74</v>
      </c>
      <c r="BO662" t="s">
        <v>74</v>
      </c>
      <c r="BP662" t="s">
        <v>74</v>
      </c>
      <c r="BQ662" t="s">
        <v>74</v>
      </c>
      <c r="BR662" t="s">
        <v>108</v>
      </c>
      <c r="BS662" t="s">
        <v>12688</v>
      </c>
      <c r="BT662" t="str">
        <f>HYPERLINK("https%3A%2F%2Fwww.webofscience.com%2Fwos%2Fwoscc%2Ffull-record%2FWOS:000926857500009","View Full Record in Web of Science")</f>
        <v>View Full Record in Web of Science</v>
      </c>
    </row>
    <row r="663" spans="1:72" x14ac:dyDescent="0.15">
      <c r="A663" t="s">
        <v>72</v>
      </c>
      <c r="B663" t="s">
        <v>12689</v>
      </c>
      <c r="C663" t="s">
        <v>74</v>
      </c>
      <c r="D663" t="s">
        <v>74</v>
      </c>
      <c r="E663" t="s">
        <v>74</v>
      </c>
      <c r="F663" t="s">
        <v>12690</v>
      </c>
      <c r="G663" t="s">
        <v>74</v>
      </c>
      <c r="H663" t="s">
        <v>74</v>
      </c>
      <c r="I663" t="s">
        <v>12691</v>
      </c>
      <c r="J663" t="s">
        <v>8214</v>
      </c>
      <c r="K663" t="s">
        <v>74</v>
      </c>
      <c r="L663" t="s">
        <v>74</v>
      </c>
      <c r="M663" t="s">
        <v>78</v>
      </c>
      <c r="N663" t="s">
        <v>79</v>
      </c>
      <c r="O663" t="s">
        <v>74</v>
      </c>
      <c r="P663" t="s">
        <v>74</v>
      </c>
      <c r="Q663" t="s">
        <v>74</v>
      </c>
      <c r="R663" t="s">
        <v>74</v>
      </c>
      <c r="S663" t="s">
        <v>74</v>
      </c>
      <c r="T663" t="s">
        <v>12692</v>
      </c>
      <c r="U663" t="s">
        <v>12693</v>
      </c>
      <c r="V663" t="s">
        <v>12694</v>
      </c>
      <c r="W663" t="s">
        <v>12695</v>
      </c>
      <c r="X663" t="s">
        <v>12696</v>
      </c>
      <c r="Y663" t="s">
        <v>12697</v>
      </c>
      <c r="Z663" t="s">
        <v>12698</v>
      </c>
      <c r="AA663" t="s">
        <v>12699</v>
      </c>
      <c r="AB663" t="s">
        <v>12700</v>
      </c>
      <c r="AC663" t="s">
        <v>12701</v>
      </c>
      <c r="AD663" t="s">
        <v>12702</v>
      </c>
      <c r="AE663" t="s">
        <v>12703</v>
      </c>
      <c r="AF663" t="s">
        <v>74</v>
      </c>
      <c r="AG663">
        <v>100</v>
      </c>
      <c r="AH663">
        <v>2</v>
      </c>
      <c r="AI663">
        <v>2</v>
      </c>
      <c r="AJ663">
        <v>6</v>
      </c>
      <c r="AK663">
        <v>14</v>
      </c>
      <c r="AL663" t="s">
        <v>422</v>
      </c>
      <c r="AM663" t="s">
        <v>208</v>
      </c>
      <c r="AN663" t="s">
        <v>423</v>
      </c>
      <c r="AO663" t="s">
        <v>8225</v>
      </c>
      <c r="AP663" t="s">
        <v>8226</v>
      </c>
      <c r="AQ663" t="s">
        <v>74</v>
      </c>
      <c r="AR663" t="s">
        <v>8227</v>
      </c>
      <c r="AS663" t="s">
        <v>8228</v>
      </c>
      <c r="AT663" t="s">
        <v>609</v>
      </c>
      <c r="AU663">
        <v>2023</v>
      </c>
      <c r="AV663">
        <v>45</v>
      </c>
      <c r="AW663">
        <v>1</v>
      </c>
      <c r="AX663" t="s">
        <v>74</v>
      </c>
      <c r="AY663" t="s">
        <v>74</v>
      </c>
      <c r="AZ663" t="s">
        <v>74</v>
      </c>
      <c r="BA663" t="s">
        <v>74</v>
      </c>
      <c r="BB663">
        <v>180</v>
      </c>
      <c r="BC663">
        <v>204</v>
      </c>
      <c r="BD663" t="s">
        <v>74</v>
      </c>
      <c r="BE663" t="s">
        <v>12704</v>
      </c>
      <c r="BF663" t="str">
        <f>HYPERLINK("http://dx.doi.org/10.1093/plankt/fbac062","http://dx.doi.org/10.1093/plankt/fbac062")</f>
        <v>http://dx.doi.org/10.1093/plankt/fbac062</v>
      </c>
      <c r="BG663" t="s">
        <v>74</v>
      </c>
      <c r="BH663" t="s">
        <v>11396</v>
      </c>
      <c r="BI663">
        <v>25</v>
      </c>
      <c r="BJ663" t="s">
        <v>556</v>
      </c>
      <c r="BK663" t="s">
        <v>104</v>
      </c>
      <c r="BL663" t="s">
        <v>556</v>
      </c>
      <c r="BM663" t="s">
        <v>8230</v>
      </c>
      <c r="BN663">
        <v>36751483</v>
      </c>
      <c r="BO663" t="s">
        <v>248</v>
      </c>
      <c r="BP663" t="s">
        <v>74</v>
      </c>
      <c r="BQ663" t="s">
        <v>74</v>
      </c>
      <c r="BR663" t="s">
        <v>108</v>
      </c>
      <c r="BS663" t="s">
        <v>12705</v>
      </c>
      <c r="BT663" t="str">
        <f>HYPERLINK("https%3A%2F%2Fwww.webofscience.com%2Fwos%2Fwoscc%2Ffull-record%2FWOS:000912290000001","View Full Record in Web of Science")</f>
        <v>View Full Record in Web of Science</v>
      </c>
    </row>
    <row r="664" spans="1:72" x14ac:dyDescent="0.15">
      <c r="A664" t="s">
        <v>72</v>
      </c>
      <c r="B664" t="s">
        <v>12706</v>
      </c>
      <c r="C664" t="s">
        <v>74</v>
      </c>
      <c r="D664" t="s">
        <v>74</v>
      </c>
      <c r="E664" t="s">
        <v>74</v>
      </c>
      <c r="F664" t="s">
        <v>12707</v>
      </c>
      <c r="G664" t="s">
        <v>74</v>
      </c>
      <c r="H664" t="s">
        <v>74</v>
      </c>
      <c r="I664" t="s">
        <v>12708</v>
      </c>
      <c r="J664" t="s">
        <v>12709</v>
      </c>
      <c r="K664" t="s">
        <v>74</v>
      </c>
      <c r="L664" t="s">
        <v>74</v>
      </c>
      <c r="M664" t="s">
        <v>78</v>
      </c>
      <c r="N664" t="s">
        <v>79</v>
      </c>
      <c r="O664" t="s">
        <v>74</v>
      </c>
      <c r="P664" t="s">
        <v>74</v>
      </c>
      <c r="Q664" t="s">
        <v>74</v>
      </c>
      <c r="R664" t="s">
        <v>74</v>
      </c>
      <c r="S664" t="s">
        <v>74</v>
      </c>
      <c r="T664" t="s">
        <v>12710</v>
      </c>
      <c r="U664" t="s">
        <v>12711</v>
      </c>
      <c r="V664" t="s">
        <v>12712</v>
      </c>
      <c r="W664" t="s">
        <v>12713</v>
      </c>
      <c r="X664" t="s">
        <v>12714</v>
      </c>
      <c r="Y664" t="s">
        <v>12715</v>
      </c>
      <c r="Z664" t="s">
        <v>12716</v>
      </c>
      <c r="AA664" t="s">
        <v>12717</v>
      </c>
      <c r="AB664" t="s">
        <v>12718</v>
      </c>
      <c r="AC664" t="s">
        <v>12719</v>
      </c>
      <c r="AD664" t="s">
        <v>12720</v>
      </c>
      <c r="AE664" t="s">
        <v>12721</v>
      </c>
      <c r="AF664" t="s">
        <v>74</v>
      </c>
      <c r="AG664">
        <v>68</v>
      </c>
      <c r="AH664">
        <v>0</v>
      </c>
      <c r="AI664">
        <v>0</v>
      </c>
      <c r="AJ664">
        <v>3</v>
      </c>
      <c r="AK664">
        <v>6</v>
      </c>
      <c r="AL664" t="s">
        <v>603</v>
      </c>
      <c r="AM664" t="s">
        <v>208</v>
      </c>
      <c r="AN664" t="s">
        <v>604</v>
      </c>
      <c r="AO664" t="s">
        <v>12722</v>
      </c>
      <c r="AP664" t="s">
        <v>12723</v>
      </c>
      <c r="AQ664" t="s">
        <v>74</v>
      </c>
      <c r="AR664" t="s">
        <v>12724</v>
      </c>
      <c r="AS664" t="s">
        <v>12725</v>
      </c>
      <c r="AT664" t="s">
        <v>9839</v>
      </c>
      <c r="AU664">
        <v>2022</v>
      </c>
      <c r="AV664">
        <v>251</v>
      </c>
      <c r="AW664" t="s">
        <v>74</v>
      </c>
      <c r="AX664" t="s">
        <v>74</v>
      </c>
      <c r="AY664" t="s">
        <v>74</v>
      </c>
      <c r="AZ664" t="s">
        <v>74</v>
      </c>
      <c r="BA664" t="s">
        <v>74</v>
      </c>
      <c r="BB664" t="s">
        <v>74</v>
      </c>
      <c r="BC664" t="s">
        <v>74</v>
      </c>
      <c r="BD664">
        <v>104881</v>
      </c>
      <c r="BE664" t="s">
        <v>12726</v>
      </c>
      <c r="BF664" t="str">
        <f>HYPERLINK("http://dx.doi.org/10.1016/j.csr.2022.104881","http://dx.doi.org/10.1016/j.csr.2022.104881")</f>
        <v>http://dx.doi.org/10.1016/j.csr.2022.104881</v>
      </c>
      <c r="BG664" t="s">
        <v>74</v>
      </c>
      <c r="BH664" t="s">
        <v>11396</v>
      </c>
      <c r="BI664">
        <v>8</v>
      </c>
      <c r="BJ664" t="s">
        <v>403</v>
      </c>
      <c r="BK664" t="s">
        <v>104</v>
      </c>
      <c r="BL664" t="s">
        <v>403</v>
      </c>
      <c r="BM664" t="s">
        <v>12727</v>
      </c>
      <c r="BN664" t="s">
        <v>74</v>
      </c>
      <c r="BO664" t="s">
        <v>74</v>
      </c>
      <c r="BP664" t="s">
        <v>74</v>
      </c>
      <c r="BQ664" t="s">
        <v>74</v>
      </c>
      <c r="BR664" t="s">
        <v>108</v>
      </c>
      <c r="BS664" t="s">
        <v>12728</v>
      </c>
      <c r="BT664" t="str">
        <f>HYPERLINK("https%3A%2F%2Fwww.webofscience.com%2Fwos%2Fwoscc%2Ffull-record%2FWOS:000892899200002","View Full Record in Web of Science")</f>
        <v>View Full Record in Web of Science</v>
      </c>
    </row>
    <row r="665" spans="1:72" x14ac:dyDescent="0.15">
      <c r="A665" t="s">
        <v>72</v>
      </c>
      <c r="B665" t="s">
        <v>12729</v>
      </c>
      <c r="C665" t="s">
        <v>74</v>
      </c>
      <c r="D665" t="s">
        <v>74</v>
      </c>
      <c r="E665" t="s">
        <v>74</v>
      </c>
      <c r="F665" t="s">
        <v>12730</v>
      </c>
      <c r="G665" t="s">
        <v>74</v>
      </c>
      <c r="H665" t="s">
        <v>74</v>
      </c>
      <c r="I665" t="s">
        <v>12731</v>
      </c>
      <c r="J665" t="s">
        <v>12732</v>
      </c>
      <c r="K665" t="s">
        <v>74</v>
      </c>
      <c r="L665" t="s">
        <v>74</v>
      </c>
      <c r="M665" t="s">
        <v>78</v>
      </c>
      <c r="N665" t="s">
        <v>743</v>
      </c>
      <c r="O665" t="s">
        <v>74</v>
      </c>
      <c r="P665" t="s">
        <v>74</v>
      </c>
      <c r="Q665" t="s">
        <v>74</v>
      </c>
      <c r="R665" t="s">
        <v>74</v>
      </c>
      <c r="S665" t="s">
        <v>74</v>
      </c>
      <c r="T665" t="s">
        <v>12733</v>
      </c>
      <c r="U665" t="s">
        <v>74</v>
      </c>
      <c r="V665" t="s">
        <v>74</v>
      </c>
      <c r="W665" t="s">
        <v>12734</v>
      </c>
      <c r="X665" t="s">
        <v>12735</v>
      </c>
      <c r="Y665" t="s">
        <v>12736</v>
      </c>
      <c r="Z665" t="s">
        <v>12737</v>
      </c>
      <c r="AA665" t="s">
        <v>12738</v>
      </c>
      <c r="AB665" t="s">
        <v>12739</v>
      </c>
      <c r="AC665" t="s">
        <v>74</v>
      </c>
      <c r="AD665" t="s">
        <v>74</v>
      </c>
      <c r="AE665" t="s">
        <v>74</v>
      </c>
      <c r="AF665" t="s">
        <v>74</v>
      </c>
      <c r="AG665">
        <v>0</v>
      </c>
      <c r="AH665">
        <v>0</v>
      </c>
      <c r="AI665">
        <v>0</v>
      </c>
      <c r="AJ665">
        <v>1</v>
      </c>
      <c r="AK665">
        <v>5</v>
      </c>
      <c r="AL665" t="s">
        <v>448</v>
      </c>
      <c r="AM665" t="s">
        <v>449</v>
      </c>
      <c r="AN665" t="s">
        <v>450</v>
      </c>
      <c r="AO665" t="s">
        <v>74</v>
      </c>
      <c r="AP665" t="s">
        <v>12740</v>
      </c>
      <c r="AQ665" t="s">
        <v>74</v>
      </c>
      <c r="AR665" t="s">
        <v>12741</v>
      </c>
      <c r="AS665" t="s">
        <v>12742</v>
      </c>
      <c r="AT665" t="s">
        <v>12743</v>
      </c>
      <c r="AU665">
        <v>2022</v>
      </c>
      <c r="AV665">
        <v>10</v>
      </c>
      <c r="AW665" t="s">
        <v>74</v>
      </c>
      <c r="AX665" t="s">
        <v>74</v>
      </c>
      <c r="AY665" t="s">
        <v>74</v>
      </c>
      <c r="AZ665" t="s">
        <v>74</v>
      </c>
      <c r="BA665" t="s">
        <v>74</v>
      </c>
      <c r="BB665" t="s">
        <v>74</v>
      </c>
      <c r="BC665" t="s">
        <v>74</v>
      </c>
      <c r="BD665">
        <v>1080575</v>
      </c>
      <c r="BE665" t="s">
        <v>12744</v>
      </c>
      <c r="BF665" t="str">
        <f>HYPERLINK("http://dx.doi.org/10.3389/fenvs.2022.1080575","http://dx.doi.org/10.3389/fenvs.2022.1080575")</f>
        <v>http://dx.doi.org/10.3389/fenvs.2022.1080575</v>
      </c>
      <c r="BG665" t="s">
        <v>74</v>
      </c>
      <c r="BH665" t="s">
        <v>74</v>
      </c>
      <c r="BI665">
        <v>2</v>
      </c>
      <c r="BJ665" t="s">
        <v>216</v>
      </c>
      <c r="BK665" t="s">
        <v>104</v>
      </c>
      <c r="BL665" t="s">
        <v>217</v>
      </c>
      <c r="BM665" t="s">
        <v>12745</v>
      </c>
      <c r="BN665" t="s">
        <v>74</v>
      </c>
      <c r="BO665" t="s">
        <v>165</v>
      </c>
      <c r="BP665" t="s">
        <v>74</v>
      </c>
      <c r="BQ665" t="s">
        <v>74</v>
      </c>
      <c r="BR665" t="s">
        <v>108</v>
      </c>
      <c r="BS665" t="s">
        <v>12746</v>
      </c>
      <c r="BT665" t="str">
        <f>HYPERLINK("https%3A%2F%2Fwww.webofscience.com%2Fwos%2Fwoscc%2Ffull-record%2FWOS:000895424800001","View Full Record in Web of Science")</f>
        <v>View Full Record in Web of Science</v>
      </c>
    </row>
    <row r="666" spans="1:72" x14ac:dyDescent="0.15">
      <c r="A666" t="s">
        <v>72</v>
      </c>
      <c r="B666" t="s">
        <v>12747</v>
      </c>
      <c r="C666" t="s">
        <v>74</v>
      </c>
      <c r="D666" t="s">
        <v>74</v>
      </c>
      <c r="E666" t="s">
        <v>74</v>
      </c>
      <c r="F666" t="s">
        <v>12748</v>
      </c>
      <c r="G666" t="s">
        <v>74</v>
      </c>
      <c r="H666" t="s">
        <v>74</v>
      </c>
      <c r="I666" t="s">
        <v>12749</v>
      </c>
      <c r="J666" t="s">
        <v>7748</v>
      </c>
      <c r="K666" t="s">
        <v>74</v>
      </c>
      <c r="L666" t="s">
        <v>74</v>
      </c>
      <c r="M666" t="s">
        <v>78</v>
      </c>
      <c r="N666" t="s">
        <v>79</v>
      </c>
      <c r="O666" t="s">
        <v>74</v>
      </c>
      <c r="P666" t="s">
        <v>74</v>
      </c>
      <c r="Q666" t="s">
        <v>74</v>
      </c>
      <c r="R666" t="s">
        <v>74</v>
      </c>
      <c r="S666" t="s">
        <v>74</v>
      </c>
      <c r="T666" t="s">
        <v>12750</v>
      </c>
      <c r="U666" t="s">
        <v>12751</v>
      </c>
      <c r="V666" t="s">
        <v>12752</v>
      </c>
      <c r="W666" t="s">
        <v>12753</v>
      </c>
      <c r="X666" t="s">
        <v>12754</v>
      </c>
      <c r="Y666" t="s">
        <v>12755</v>
      </c>
      <c r="Z666" t="s">
        <v>12756</v>
      </c>
      <c r="AA666" t="s">
        <v>74</v>
      </c>
      <c r="AB666" t="s">
        <v>12757</v>
      </c>
      <c r="AC666" t="s">
        <v>12758</v>
      </c>
      <c r="AD666" t="s">
        <v>12759</v>
      </c>
      <c r="AE666" t="s">
        <v>12760</v>
      </c>
      <c r="AF666" t="s">
        <v>74</v>
      </c>
      <c r="AG666">
        <v>30</v>
      </c>
      <c r="AH666">
        <v>2</v>
      </c>
      <c r="AI666">
        <v>2</v>
      </c>
      <c r="AJ666">
        <v>1</v>
      </c>
      <c r="AK666">
        <v>2</v>
      </c>
      <c r="AL666" t="s">
        <v>448</v>
      </c>
      <c r="AM666" t="s">
        <v>449</v>
      </c>
      <c r="AN666" t="s">
        <v>450</v>
      </c>
      <c r="AO666" t="s">
        <v>7755</v>
      </c>
      <c r="AP666" t="s">
        <v>74</v>
      </c>
      <c r="AQ666" t="s">
        <v>74</v>
      </c>
      <c r="AR666" t="s">
        <v>7756</v>
      </c>
      <c r="AS666" t="s">
        <v>7757</v>
      </c>
      <c r="AT666" t="s">
        <v>12743</v>
      </c>
      <c r="AU666">
        <v>2022</v>
      </c>
      <c r="AV666">
        <v>9</v>
      </c>
      <c r="AW666" t="s">
        <v>74</v>
      </c>
      <c r="AX666" t="s">
        <v>74</v>
      </c>
      <c r="AY666" t="s">
        <v>74</v>
      </c>
      <c r="AZ666" t="s">
        <v>74</v>
      </c>
      <c r="BA666" t="s">
        <v>74</v>
      </c>
      <c r="BB666" t="s">
        <v>74</v>
      </c>
      <c r="BC666" t="s">
        <v>74</v>
      </c>
      <c r="BD666">
        <v>1063329</v>
      </c>
      <c r="BE666" t="s">
        <v>12761</v>
      </c>
      <c r="BF666" t="str">
        <f>HYPERLINK("http://dx.doi.org/10.3389/fspas.2022.1063329","http://dx.doi.org/10.3389/fspas.2022.1063329")</f>
        <v>http://dx.doi.org/10.3389/fspas.2022.1063329</v>
      </c>
      <c r="BG666" t="s">
        <v>74</v>
      </c>
      <c r="BH666" t="s">
        <v>74</v>
      </c>
      <c r="BI666">
        <v>15</v>
      </c>
      <c r="BJ666" t="s">
        <v>5631</v>
      </c>
      <c r="BK666" t="s">
        <v>104</v>
      </c>
      <c r="BL666" t="s">
        <v>5631</v>
      </c>
      <c r="BM666" t="s">
        <v>12762</v>
      </c>
      <c r="BN666" t="s">
        <v>74</v>
      </c>
      <c r="BO666" t="s">
        <v>4658</v>
      </c>
      <c r="BP666" t="s">
        <v>74</v>
      </c>
      <c r="BQ666" t="s">
        <v>74</v>
      </c>
      <c r="BR666" t="s">
        <v>108</v>
      </c>
      <c r="BS666" t="s">
        <v>12763</v>
      </c>
      <c r="BT666" t="str">
        <f>HYPERLINK("https%3A%2F%2Fwww.webofscience.com%2Fwos%2Fwoscc%2Ffull-record%2FWOS:000895351200001","View Full Record in Web of Science")</f>
        <v>View Full Record in Web of Science</v>
      </c>
    </row>
    <row r="667" spans="1:72" x14ac:dyDescent="0.15">
      <c r="A667" t="s">
        <v>72</v>
      </c>
      <c r="B667" t="s">
        <v>12764</v>
      </c>
      <c r="C667" t="s">
        <v>74</v>
      </c>
      <c r="D667" t="s">
        <v>74</v>
      </c>
      <c r="E667" t="s">
        <v>74</v>
      </c>
      <c r="F667" t="s">
        <v>12765</v>
      </c>
      <c r="G667" t="s">
        <v>74</v>
      </c>
      <c r="H667" t="s">
        <v>74</v>
      </c>
      <c r="I667" t="s">
        <v>12766</v>
      </c>
      <c r="J667" t="s">
        <v>12767</v>
      </c>
      <c r="K667" t="s">
        <v>74</v>
      </c>
      <c r="L667" t="s">
        <v>74</v>
      </c>
      <c r="M667" t="s">
        <v>78</v>
      </c>
      <c r="N667" t="s">
        <v>79</v>
      </c>
      <c r="O667" t="s">
        <v>74</v>
      </c>
      <c r="P667" t="s">
        <v>74</v>
      </c>
      <c r="Q667" t="s">
        <v>74</v>
      </c>
      <c r="R667" t="s">
        <v>74</v>
      </c>
      <c r="S667" t="s">
        <v>74</v>
      </c>
      <c r="T667" t="s">
        <v>12768</v>
      </c>
      <c r="U667" t="s">
        <v>12769</v>
      </c>
      <c r="V667" t="s">
        <v>12770</v>
      </c>
      <c r="W667" t="s">
        <v>12771</v>
      </c>
      <c r="X667" t="s">
        <v>12772</v>
      </c>
      <c r="Y667" t="s">
        <v>12773</v>
      </c>
      <c r="Z667" t="s">
        <v>12774</v>
      </c>
      <c r="AA667" t="s">
        <v>12775</v>
      </c>
      <c r="AB667" t="s">
        <v>12776</v>
      </c>
      <c r="AC667" t="s">
        <v>12777</v>
      </c>
      <c r="AD667" t="s">
        <v>12778</v>
      </c>
      <c r="AE667" t="s">
        <v>12779</v>
      </c>
      <c r="AF667" t="s">
        <v>74</v>
      </c>
      <c r="AG667">
        <v>63</v>
      </c>
      <c r="AH667">
        <v>4</v>
      </c>
      <c r="AI667">
        <v>4</v>
      </c>
      <c r="AJ667">
        <v>3</v>
      </c>
      <c r="AK667">
        <v>9</v>
      </c>
      <c r="AL667" t="s">
        <v>207</v>
      </c>
      <c r="AM667" t="s">
        <v>208</v>
      </c>
      <c r="AN667" t="s">
        <v>209</v>
      </c>
      <c r="AO667" t="s">
        <v>12780</v>
      </c>
      <c r="AP667" t="s">
        <v>12781</v>
      </c>
      <c r="AQ667" t="s">
        <v>74</v>
      </c>
      <c r="AR667" t="s">
        <v>12782</v>
      </c>
      <c r="AS667" t="s">
        <v>12783</v>
      </c>
      <c r="AT667" t="s">
        <v>9001</v>
      </c>
      <c r="AU667">
        <v>2022</v>
      </c>
      <c r="AV667">
        <v>276</v>
      </c>
      <c r="AW667" t="s">
        <v>74</v>
      </c>
      <c r="AX667" t="s">
        <v>74</v>
      </c>
      <c r="AY667" t="s">
        <v>74</v>
      </c>
      <c r="AZ667" t="s">
        <v>74</v>
      </c>
      <c r="BA667" t="s">
        <v>74</v>
      </c>
      <c r="BB667" t="s">
        <v>74</v>
      </c>
      <c r="BC667" t="s">
        <v>74</v>
      </c>
      <c r="BD667">
        <v>109796</v>
      </c>
      <c r="BE667" t="s">
        <v>12784</v>
      </c>
      <c r="BF667" t="str">
        <f>HYPERLINK("http://dx.doi.org/10.1016/j.biocon.2022.109796","http://dx.doi.org/10.1016/j.biocon.2022.109796")</f>
        <v>http://dx.doi.org/10.1016/j.biocon.2022.109796</v>
      </c>
      <c r="BG667" t="s">
        <v>74</v>
      </c>
      <c r="BH667" t="s">
        <v>11396</v>
      </c>
      <c r="BI667">
        <v>10</v>
      </c>
      <c r="BJ667" t="s">
        <v>8549</v>
      </c>
      <c r="BK667" t="s">
        <v>104</v>
      </c>
      <c r="BL667" t="s">
        <v>306</v>
      </c>
      <c r="BM667" t="s">
        <v>12785</v>
      </c>
      <c r="BN667" t="s">
        <v>74</v>
      </c>
      <c r="BO667" t="s">
        <v>74</v>
      </c>
      <c r="BP667" t="s">
        <v>74</v>
      </c>
      <c r="BQ667" t="s">
        <v>74</v>
      </c>
      <c r="BR667" t="s">
        <v>108</v>
      </c>
      <c r="BS667" t="s">
        <v>12786</v>
      </c>
      <c r="BT667" t="str">
        <f>HYPERLINK("https%3A%2F%2Fwww.webofscience.com%2Fwos%2Fwoscc%2Ffull-record%2FWOS:000890316100008","View Full Record in Web of Science")</f>
        <v>View Full Record in Web of Science</v>
      </c>
    </row>
    <row r="668" spans="1:72" x14ac:dyDescent="0.15">
      <c r="A668" t="s">
        <v>72</v>
      </c>
      <c r="B668" t="s">
        <v>12787</v>
      </c>
      <c r="C668" t="s">
        <v>74</v>
      </c>
      <c r="D668" t="s">
        <v>74</v>
      </c>
      <c r="E668" t="s">
        <v>74</v>
      </c>
      <c r="F668" t="s">
        <v>12788</v>
      </c>
      <c r="G668" t="s">
        <v>74</v>
      </c>
      <c r="H668" t="s">
        <v>74</v>
      </c>
      <c r="I668" t="s">
        <v>12789</v>
      </c>
      <c r="J668" t="s">
        <v>7102</v>
      </c>
      <c r="K668" t="s">
        <v>74</v>
      </c>
      <c r="L668" t="s">
        <v>74</v>
      </c>
      <c r="M668" t="s">
        <v>78</v>
      </c>
      <c r="N668" t="s">
        <v>79</v>
      </c>
      <c r="O668" t="s">
        <v>74</v>
      </c>
      <c r="P668" t="s">
        <v>74</v>
      </c>
      <c r="Q668" t="s">
        <v>74</v>
      </c>
      <c r="R668" t="s">
        <v>74</v>
      </c>
      <c r="S668" t="s">
        <v>74</v>
      </c>
      <c r="T668" t="s">
        <v>12790</v>
      </c>
      <c r="U668" t="s">
        <v>12791</v>
      </c>
      <c r="V668" t="s">
        <v>12792</v>
      </c>
      <c r="W668" t="s">
        <v>12793</v>
      </c>
      <c r="X668" t="s">
        <v>1737</v>
      </c>
      <c r="Y668" t="s">
        <v>12794</v>
      </c>
      <c r="Z668" t="s">
        <v>12795</v>
      </c>
      <c r="AA668" t="s">
        <v>74</v>
      </c>
      <c r="AB668" t="s">
        <v>74</v>
      </c>
      <c r="AC668" t="s">
        <v>12796</v>
      </c>
      <c r="AD668" t="s">
        <v>12797</v>
      </c>
      <c r="AE668" t="s">
        <v>12798</v>
      </c>
      <c r="AF668" t="s">
        <v>74</v>
      </c>
      <c r="AG668">
        <v>36</v>
      </c>
      <c r="AH668">
        <v>0</v>
      </c>
      <c r="AI668">
        <v>0</v>
      </c>
      <c r="AJ668">
        <v>1</v>
      </c>
      <c r="AK668">
        <v>3</v>
      </c>
      <c r="AL668" t="s">
        <v>448</v>
      </c>
      <c r="AM668" t="s">
        <v>449</v>
      </c>
      <c r="AN668" t="s">
        <v>450</v>
      </c>
      <c r="AO668" t="s">
        <v>74</v>
      </c>
      <c r="AP668" t="s">
        <v>7115</v>
      </c>
      <c r="AQ668" t="s">
        <v>74</v>
      </c>
      <c r="AR668" t="s">
        <v>7116</v>
      </c>
      <c r="AS668" t="s">
        <v>7117</v>
      </c>
      <c r="AT668" t="s">
        <v>12743</v>
      </c>
      <c r="AU668">
        <v>2022</v>
      </c>
      <c r="AV668">
        <v>9</v>
      </c>
      <c r="AW668" t="s">
        <v>74</v>
      </c>
      <c r="AX668" t="s">
        <v>74</v>
      </c>
      <c r="AY668" t="s">
        <v>74</v>
      </c>
      <c r="AZ668" t="s">
        <v>74</v>
      </c>
      <c r="BA668" t="s">
        <v>74</v>
      </c>
      <c r="BB668" t="s">
        <v>74</v>
      </c>
      <c r="BC668" t="s">
        <v>74</v>
      </c>
      <c r="BD668">
        <v>1053964</v>
      </c>
      <c r="BE668" t="s">
        <v>12799</v>
      </c>
      <c r="BF668" t="str">
        <f>HYPERLINK("http://dx.doi.org/10.3389/fmars.2022.1053964","http://dx.doi.org/10.3389/fmars.2022.1053964")</f>
        <v>http://dx.doi.org/10.3389/fmars.2022.1053964</v>
      </c>
      <c r="BG668" t="s">
        <v>74</v>
      </c>
      <c r="BH668" t="s">
        <v>74</v>
      </c>
      <c r="BI668">
        <v>13</v>
      </c>
      <c r="BJ668" t="s">
        <v>6728</v>
      </c>
      <c r="BK668" t="s">
        <v>104</v>
      </c>
      <c r="BL668" t="s">
        <v>6729</v>
      </c>
      <c r="BM668" t="s">
        <v>12800</v>
      </c>
      <c r="BN668" t="s">
        <v>74</v>
      </c>
      <c r="BO668" t="s">
        <v>165</v>
      </c>
      <c r="BP668" t="s">
        <v>74</v>
      </c>
      <c r="BQ668" t="s">
        <v>74</v>
      </c>
      <c r="BR668" t="s">
        <v>108</v>
      </c>
      <c r="BS668" t="s">
        <v>12801</v>
      </c>
      <c r="BT668" t="str">
        <f>HYPERLINK("https%3A%2F%2Fwww.webofscience.com%2Fwos%2Fwoscc%2Ffull-record%2FWOS:000893839800001","View Full Record in Web of Science")</f>
        <v>View Full Record in Web of Science</v>
      </c>
    </row>
    <row r="669" spans="1:72" x14ac:dyDescent="0.15">
      <c r="A669" t="s">
        <v>72</v>
      </c>
      <c r="B669" t="s">
        <v>12802</v>
      </c>
      <c r="C669" t="s">
        <v>74</v>
      </c>
      <c r="D669" t="s">
        <v>74</v>
      </c>
      <c r="E669" t="s">
        <v>74</v>
      </c>
      <c r="F669" t="s">
        <v>12803</v>
      </c>
      <c r="G669" t="s">
        <v>74</v>
      </c>
      <c r="H669" t="s">
        <v>74</v>
      </c>
      <c r="I669" t="s">
        <v>12804</v>
      </c>
      <c r="J669" t="s">
        <v>12805</v>
      </c>
      <c r="K669" t="s">
        <v>74</v>
      </c>
      <c r="L669" t="s">
        <v>74</v>
      </c>
      <c r="M669" t="s">
        <v>78</v>
      </c>
      <c r="N669" t="s">
        <v>79</v>
      </c>
      <c r="O669" t="s">
        <v>74</v>
      </c>
      <c r="P669" t="s">
        <v>74</v>
      </c>
      <c r="Q669" t="s">
        <v>74</v>
      </c>
      <c r="R669" t="s">
        <v>74</v>
      </c>
      <c r="S669" t="s">
        <v>74</v>
      </c>
      <c r="T669" t="s">
        <v>74</v>
      </c>
      <c r="U669" t="s">
        <v>12806</v>
      </c>
      <c r="V669" t="s">
        <v>12807</v>
      </c>
      <c r="W669" t="s">
        <v>12808</v>
      </c>
      <c r="X669" t="s">
        <v>12809</v>
      </c>
      <c r="Y669" t="s">
        <v>12810</v>
      </c>
      <c r="Z669" t="s">
        <v>12811</v>
      </c>
      <c r="AA669" t="s">
        <v>12812</v>
      </c>
      <c r="AB669" t="s">
        <v>12813</v>
      </c>
      <c r="AC669" t="s">
        <v>12814</v>
      </c>
      <c r="AD669" t="s">
        <v>12815</v>
      </c>
      <c r="AE669" t="s">
        <v>12816</v>
      </c>
      <c r="AF669" t="s">
        <v>74</v>
      </c>
      <c r="AG669">
        <v>63</v>
      </c>
      <c r="AH669">
        <v>3</v>
      </c>
      <c r="AI669">
        <v>3</v>
      </c>
      <c r="AJ669">
        <v>5</v>
      </c>
      <c r="AK669">
        <v>14</v>
      </c>
      <c r="AL669" t="s">
        <v>12817</v>
      </c>
      <c r="AM669" t="s">
        <v>375</v>
      </c>
      <c r="AN669" t="s">
        <v>12818</v>
      </c>
      <c r="AO669" t="s">
        <v>12819</v>
      </c>
      <c r="AP669" t="s">
        <v>12820</v>
      </c>
      <c r="AQ669" t="s">
        <v>74</v>
      </c>
      <c r="AR669" t="s">
        <v>12821</v>
      </c>
      <c r="AS669" t="s">
        <v>12822</v>
      </c>
      <c r="AT669" t="s">
        <v>12743</v>
      </c>
      <c r="AU669">
        <v>2022</v>
      </c>
      <c r="AV669">
        <v>2022</v>
      </c>
      <c r="AW669" t="s">
        <v>74</v>
      </c>
      <c r="AX669" t="s">
        <v>74</v>
      </c>
      <c r="AY669" t="s">
        <v>74</v>
      </c>
      <c r="AZ669" t="s">
        <v>74</v>
      </c>
      <c r="BA669" t="s">
        <v>74</v>
      </c>
      <c r="BB669" t="s">
        <v>74</v>
      </c>
      <c r="BC669" t="s">
        <v>74</v>
      </c>
      <c r="BD669">
        <v>3007674</v>
      </c>
      <c r="BE669" t="s">
        <v>12823</v>
      </c>
      <c r="BF669" t="str">
        <f>HYPERLINK("http://dx.doi.org/10.1155/2022/3007674","http://dx.doi.org/10.1155/2022/3007674")</f>
        <v>http://dx.doi.org/10.1155/2022/3007674</v>
      </c>
      <c r="BG669" t="s">
        <v>74</v>
      </c>
      <c r="BH669" t="s">
        <v>74</v>
      </c>
      <c r="BI669">
        <v>13</v>
      </c>
      <c r="BJ669" t="s">
        <v>246</v>
      </c>
      <c r="BK669" t="s">
        <v>104</v>
      </c>
      <c r="BL669" t="s">
        <v>246</v>
      </c>
      <c r="BM669" t="s">
        <v>12824</v>
      </c>
      <c r="BN669">
        <v>36860462</v>
      </c>
      <c r="BO669" t="s">
        <v>192</v>
      </c>
      <c r="BP669" t="s">
        <v>74</v>
      </c>
      <c r="BQ669" t="s">
        <v>74</v>
      </c>
      <c r="BR669" t="s">
        <v>108</v>
      </c>
      <c r="BS669" t="s">
        <v>12825</v>
      </c>
      <c r="BT669" t="str">
        <f>HYPERLINK("https%3A%2F%2Fwww.webofscience.com%2Fwos%2Fwoscc%2Ffull-record%2FWOS:000893905900001","View Full Record in Web of Science")</f>
        <v>View Full Record in Web of Science</v>
      </c>
    </row>
    <row r="670" spans="1:72" x14ac:dyDescent="0.15">
      <c r="A670" t="s">
        <v>72</v>
      </c>
      <c r="B670" t="s">
        <v>12826</v>
      </c>
      <c r="C670" t="s">
        <v>74</v>
      </c>
      <c r="D670" t="s">
        <v>74</v>
      </c>
      <c r="E670" t="s">
        <v>74</v>
      </c>
      <c r="F670" t="s">
        <v>12827</v>
      </c>
      <c r="G670" t="s">
        <v>74</v>
      </c>
      <c r="H670" t="s">
        <v>74</v>
      </c>
      <c r="I670" t="s">
        <v>12828</v>
      </c>
      <c r="J670" t="s">
        <v>7102</v>
      </c>
      <c r="K670" t="s">
        <v>74</v>
      </c>
      <c r="L670" t="s">
        <v>74</v>
      </c>
      <c r="M670" t="s">
        <v>78</v>
      </c>
      <c r="N670" t="s">
        <v>79</v>
      </c>
      <c r="O670" t="s">
        <v>74</v>
      </c>
      <c r="P670" t="s">
        <v>74</v>
      </c>
      <c r="Q670" t="s">
        <v>74</v>
      </c>
      <c r="R670" t="s">
        <v>74</v>
      </c>
      <c r="S670" t="s">
        <v>74</v>
      </c>
      <c r="T670" t="s">
        <v>12829</v>
      </c>
      <c r="U670" t="s">
        <v>12830</v>
      </c>
      <c r="V670" t="s">
        <v>12831</v>
      </c>
      <c r="W670" t="s">
        <v>12832</v>
      </c>
      <c r="X670" t="s">
        <v>12833</v>
      </c>
      <c r="Y670" t="s">
        <v>12834</v>
      </c>
      <c r="Z670" t="s">
        <v>12835</v>
      </c>
      <c r="AA670" t="s">
        <v>12836</v>
      </c>
      <c r="AB670" t="s">
        <v>12837</v>
      </c>
      <c r="AC670" t="s">
        <v>12838</v>
      </c>
      <c r="AD670" t="s">
        <v>12839</v>
      </c>
      <c r="AE670" t="s">
        <v>12840</v>
      </c>
      <c r="AF670" t="s">
        <v>74</v>
      </c>
      <c r="AG670">
        <v>109</v>
      </c>
      <c r="AH670">
        <v>10</v>
      </c>
      <c r="AI670">
        <v>11</v>
      </c>
      <c r="AJ670">
        <v>1</v>
      </c>
      <c r="AK670">
        <v>13</v>
      </c>
      <c r="AL670" t="s">
        <v>448</v>
      </c>
      <c r="AM670" t="s">
        <v>449</v>
      </c>
      <c r="AN670" t="s">
        <v>450</v>
      </c>
      <c r="AO670" t="s">
        <v>74</v>
      </c>
      <c r="AP670" t="s">
        <v>7115</v>
      </c>
      <c r="AQ670" t="s">
        <v>74</v>
      </c>
      <c r="AR670" t="s">
        <v>7116</v>
      </c>
      <c r="AS670" t="s">
        <v>7117</v>
      </c>
      <c r="AT670" t="s">
        <v>12743</v>
      </c>
      <c r="AU670">
        <v>2022</v>
      </c>
      <c r="AV670">
        <v>9</v>
      </c>
      <c r="AW670" t="s">
        <v>74</v>
      </c>
      <c r="AX670" t="s">
        <v>74</v>
      </c>
      <c r="AY670" t="s">
        <v>74</v>
      </c>
      <c r="AZ670" t="s">
        <v>74</v>
      </c>
      <c r="BA670" t="s">
        <v>74</v>
      </c>
      <c r="BB670" t="s">
        <v>74</v>
      </c>
      <c r="BC670" t="s">
        <v>74</v>
      </c>
      <c r="BD670">
        <v>1036860</v>
      </c>
      <c r="BE670" t="s">
        <v>12841</v>
      </c>
      <c r="BF670" t="str">
        <f>HYPERLINK("http://dx.doi.org/10.3389/fmars.2022.1036860","http://dx.doi.org/10.3389/fmars.2022.1036860")</f>
        <v>http://dx.doi.org/10.3389/fmars.2022.1036860</v>
      </c>
      <c r="BG670" t="s">
        <v>74</v>
      </c>
      <c r="BH670" t="s">
        <v>74</v>
      </c>
      <c r="BI670">
        <v>16</v>
      </c>
      <c r="BJ670" t="s">
        <v>6728</v>
      </c>
      <c r="BK670" t="s">
        <v>104</v>
      </c>
      <c r="BL670" t="s">
        <v>6729</v>
      </c>
      <c r="BM670" t="s">
        <v>12842</v>
      </c>
      <c r="BN670" t="s">
        <v>74</v>
      </c>
      <c r="BO670" t="s">
        <v>165</v>
      </c>
      <c r="BP670" t="s">
        <v>74</v>
      </c>
      <c r="BQ670" t="s">
        <v>74</v>
      </c>
      <c r="BR670" t="s">
        <v>108</v>
      </c>
      <c r="BS670" t="s">
        <v>12843</v>
      </c>
      <c r="BT670" t="str">
        <f>HYPERLINK("https%3A%2F%2Fwww.webofscience.com%2Fwos%2Fwoscc%2Ffull-record%2FWOS:000894204200001","View Full Record in Web of Science")</f>
        <v>View Full Record in Web of Science</v>
      </c>
    </row>
    <row r="671" spans="1:72" x14ac:dyDescent="0.15">
      <c r="A671" t="s">
        <v>72</v>
      </c>
      <c r="B671" t="s">
        <v>12844</v>
      </c>
      <c r="C671" t="s">
        <v>74</v>
      </c>
      <c r="D671" t="s">
        <v>74</v>
      </c>
      <c r="E671" t="s">
        <v>74</v>
      </c>
      <c r="F671" t="s">
        <v>12845</v>
      </c>
      <c r="G671" t="s">
        <v>74</v>
      </c>
      <c r="H671" t="s">
        <v>74</v>
      </c>
      <c r="I671" t="s">
        <v>12846</v>
      </c>
      <c r="J671" t="s">
        <v>7102</v>
      </c>
      <c r="K671" t="s">
        <v>74</v>
      </c>
      <c r="L671" t="s">
        <v>74</v>
      </c>
      <c r="M671" t="s">
        <v>78</v>
      </c>
      <c r="N671" t="s">
        <v>79</v>
      </c>
      <c r="O671" t="s">
        <v>74</v>
      </c>
      <c r="P671" t="s">
        <v>74</v>
      </c>
      <c r="Q671" t="s">
        <v>74</v>
      </c>
      <c r="R671" t="s">
        <v>74</v>
      </c>
      <c r="S671" t="s">
        <v>74</v>
      </c>
      <c r="T671" t="s">
        <v>12847</v>
      </c>
      <c r="U671" t="s">
        <v>12848</v>
      </c>
      <c r="V671" t="s">
        <v>12849</v>
      </c>
      <c r="W671" t="s">
        <v>12850</v>
      </c>
      <c r="X671" t="s">
        <v>12851</v>
      </c>
      <c r="Y671" t="s">
        <v>12852</v>
      </c>
      <c r="Z671" t="s">
        <v>12853</v>
      </c>
      <c r="AA671" t="s">
        <v>12854</v>
      </c>
      <c r="AB671" t="s">
        <v>12855</v>
      </c>
      <c r="AC671" t="s">
        <v>12856</v>
      </c>
      <c r="AD671" t="s">
        <v>12857</v>
      </c>
      <c r="AE671" t="s">
        <v>12858</v>
      </c>
      <c r="AF671" t="s">
        <v>74</v>
      </c>
      <c r="AG671">
        <v>63</v>
      </c>
      <c r="AH671">
        <v>8</v>
      </c>
      <c r="AI671">
        <v>9</v>
      </c>
      <c r="AJ671">
        <v>13</v>
      </c>
      <c r="AK671">
        <v>47</v>
      </c>
      <c r="AL671" t="s">
        <v>448</v>
      </c>
      <c r="AM671" t="s">
        <v>449</v>
      </c>
      <c r="AN671" t="s">
        <v>450</v>
      </c>
      <c r="AO671" t="s">
        <v>74</v>
      </c>
      <c r="AP671" t="s">
        <v>7115</v>
      </c>
      <c r="AQ671" t="s">
        <v>74</v>
      </c>
      <c r="AR671" t="s">
        <v>7116</v>
      </c>
      <c r="AS671" t="s">
        <v>7117</v>
      </c>
      <c r="AT671" t="s">
        <v>12743</v>
      </c>
      <c r="AU671">
        <v>2022</v>
      </c>
      <c r="AV671">
        <v>9</v>
      </c>
      <c r="AW671" t="s">
        <v>74</v>
      </c>
      <c r="AX671" t="s">
        <v>74</v>
      </c>
      <c r="AY671" t="s">
        <v>74</v>
      </c>
      <c r="AZ671" t="s">
        <v>74</v>
      </c>
      <c r="BA671" t="s">
        <v>74</v>
      </c>
      <c r="BB671" t="s">
        <v>74</v>
      </c>
      <c r="BC671" t="s">
        <v>74</v>
      </c>
      <c r="BD671">
        <v>1056081</v>
      </c>
      <c r="BE671" t="s">
        <v>12859</v>
      </c>
      <c r="BF671" t="str">
        <f>HYPERLINK("http://dx.doi.org/10.3389/fmars.2022.1056081","http://dx.doi.org/10.3389/fmars.2022.1056081")</f>
        <v>http://dx.doi.org/10.3389/fmars.2022.1056081</v>
      </c>
      <c r="BG671" t="s">
        <v>74</v>
      </c>
      <c r="BH671" t="s">
        <v>74</v>
      </c>
      <c r="BI671">
        <v>13</v>
      </c>
      <c r="BJ671" t="s">
        <v>6728</v>
      </c>
      <c r="BK671" t="s">
        <v>104</v>
      </c>
      <c r="BL671" t="s">
        <v>6729</v>
      </c>
      <c r="BM671" t="s">
        <v>12860</v>
      </c>
      <c r="BN671" t="s">
        <v>74</v>
      </c>
      <c r="BO671" t="s">
        <v>7465</v>
      </c>
      <c r="BP671" t="s">
        <v>74</v>
      </c>
      <c r="BQ671" t="s">
        <v>74</v>
      </c>
      <c r="BR671" t="s">
        <v>108</v>
      </c>
      <c r="BS671" t="s">
        <v>12861</v>
      </c>
      <c r="BT671" t="str">
        <f>HYPERLINK("https%3A%2F%2Fwww.webofscience.com%2Fwos%2Fwoscc%2Ffull-record%2FWOS:000893405200001","View Full Record in Web of Science")</f>
        <v>View Full Record in Web of Science</v>
      </c>
    </row>
    <row r="672" spans="1:72" x14ac:dyDescent="0.15">
      <c r="A672" t="s">
        <v>72</v>
      </c>
      <c r="B672" t="s">
        <v>12862</v>
      </c>
      <c r="C672" t="s">
        <v>74</v>
      </c>
      <c r="D672" t="s">
        <v>74</v>
      </c>
      <c r="E672" t="s">
        <v>74</v>
      </c>
      <c r="F672" t="s">
        <v>12863</v>
      </c>
      <c r="G672" t="s">
        <v>74</v>
      </c>
      <c r="H672" t="s">
        <v>74</v>
      </c>
      <c r="I672" t="s">
        <v>12864</v>
      </c>
      <c r="J672" t="s">
        <v>8668</v>
      </c>
      <c r="K672" t="s">
        <v>74</v>
      </c>
      <c r="L672" t="s">
        <v>74</v>
      </c>
      <c r="M672" t="s">
        <v>78</v>
      </c>
      <c r="N672" t="s">
        <v>79</v>
      </c>
      <c r="O672" t="s">
        <v>74</v>
      </c>
      <c r="P672" t="s">
        <v>74</v>
      </c>
      <c r="Q672" t="s">
        <v>74</v>
      </c>
      <c r="R672" t="s">
        <v>74</v>
      </c>
      <c r="S672" t="s">
        <v>74</v>
      </c>
      <c r="T672" t="s">
        <v>74</v>
      </c>
      <c r="U672" t="s">
        <v>12865</v>
      </c>
      <c r="V672" t="s">
        <v>12866</v>
      </c>
      <c r="W672" t="s">
        <v>12867</v>
      </c>
      <c r="X672" t="s">
        <v>12868</v>
      </c>
      <c r="Y672" t="s">
        <v>12869</v>
      </c>
      <c r="Z672" t="s">
        <v>12870</v>
      </c>
      <c r="AA672" t="s">
        <v>12871</v>
      </c>
      <c r="AB672" t="s">
        <v>12872</v>
      </c>
      <c r="AC672" t="s">
        <v>12873</v>
      </c>
      <c r="AD672" t="s">
        <v>12874</v>
      </c>
      <c r="AE672" t="s">
        <v>12875</v>
      </c>
      <c r="AF672" t="s">
        <v>74</v>
      </c>
      <c r="AG672">
        <v>87</v>
      </c>
      <c r="AH672">
        <v>2</v>
      </c>
      <c r="AI672">
        <v>2</v>
      </c>
      <c r="AJ672">
        <v>0</v>
      </c>
      <c r="AK672">
        <v>1</v>
      </c>
      <c r="AL672" t="s">
        <v>297</v>
      </c>
      <c r="AM672" t="s">
        <v>298</v>
      </c>
      <c r="AN672" t="s">
        <v>299</v>
      </c>
      <c r="AO672" t="s">
        <v>8680</v>
      </c>
      <c r="AP672" t="s">
        <v>8681</v>
      </c>
      <c r="AQ672" t="s">
        <v>74</v>
      </c>
      <c r="AR672" t="s">
        <v>8682</v>
      </c>
      <c r="AS672" t="s">
        <v>8683</v>
      </c>
      <c r="AT672" t="s">
        <v>9001</v>
      </c>
      <c r="AU672">
        <v>2022</v>
      </c>
      <c r="AV672">
        <v>57</v>
      </c>
      <c r="AW672">
        <v>12</v>
      </c>
      <c r="AX672" t="s">
        <v>74</v>
      </c>
      <c r="AY672" t="s">
        <v>74</v>
      </c>
      <c r="AZ672" t="s">
        <v>74</v>
      </c>
      <c r="BA672" t="s">
        <v>74</v>
      </c>
      <c r="BB672">
        <v>2248</v>
      </c>
      <c r="BC672">
        <v>2275</v>
      </c>
      <c r="BD672" t="s">
        <v>74</v>
      </c>
      <c r="BE672" t="s">
        <v>12876</v>
      </c>
      <c r="BF672" t="str">
        <f>HYPERLINK("http://dx.doi.org/10.1111/maps.13930","http://dx.doi.org/10.1111/maps.13930")</f>
        <v>http://dx.doi.org/10.1111/maps.13930</v>
      </c>
      <c r="BG672" t="s">
        <v>74</v>
      </c>
      <c r="BH672" t="s">
        <v>11396</v>
      </c>
      <c r="BI672">
        <v>28</v>
      </c>
      <c r="BJ672" t="s">
        <v>430</v>
      </c>
      <c r="BK672" t="s">
        <v>104</v>
      </c>
      <c r="BL672" t="s">
        <v>430</v>
      </c>
      <c r="BM672" t="s">
        <v>12877</v>
      </c>
      <c r="BN672" t="s">
        <v>74</v>
      </c>
      <c r="BO672" t="s">
        <v>660</v>
      </c>
      <c r="BP672" t="s">
        <v>74</v>
      </c>
      <c r="BQ672" t="s">
        <v>74</v>
      </c>
      <c r="BR672" t="s">
        <v>108</v>
      </c>
      <c r="BS672" t="s">
        <v>12878</v>
      </c>
      <c r="BT672" t="str">
        <f>HYPERLINK("https%3A%2F%2Fwww.webofscience.com%2Fwos%2Fwoscc%2Ffull-record%2FWOS:000888645000001","View Full Record in Web of Science")</f>
        <v>View Full Record in Web of Science</v>
      </c>
    </row>
    <row r="673" spans="1:72" x14ac:dyDescent="0.15">
      <c r="A673" t="s">
        <v>72</v>
      </c>
      <c r="B673" t="s">
        <v>12879</v>
      </c>
      <c r="C673" t="s">
        <v>74</v>
      </c>
      <c r="D673" t="s">
        <v>74</v>
      </c>
      <c r="E673" t="s">
        <v>74</v>
      </c>
      <c r="F673" t="s">
        <v>12880</v>
      </c>
      <c r="G673" t="s">
        <v>74</v>
      </c>
      <c r="H673" t="s">
        <v>74</v>
      </c>
      <c r="I673" t="s">
        <v>12881</v>
      </c>
      <c r="J673" t="s">
        <v>7370</v>
      </c>
      <c r="K673" t="s">
        <v>74</v>
      </c>
      <c r="L673" t="s">
        <v>74</v>
      </c>
      <c r="M673" t="s">
        <v>78</v>
      </c>
      <c r="N673" t="s">
        <v>79</v>
      </c>
      <c r="O673" t="s">
        <v>74</v>
      </c>
      <c r="P673" t="s">
        <v>74</v>
      </c>
      <c r="Q673" t="s">
        <v>74</v>
      </c>
      <c r="R673" t="s">
        <v>74</v>
      </c>
      <c r="S673" t="s">
        <v>74</v>
      </c>
      <c r="T673" t="s">
        <v>74</v>
      </c>
      <c r="U673" t="s">
        <v>12882</v>
      </c>
      <c r="V673" t="s">
        <v>12883</v>
      </c>
      <c r="W673" t="s">
        <v>12884</v>
      </c>
      <c r="X673" t="s">
        <v>12885</v>
      </c>
      <c r="Y673" t="s">
        <v>12886</v>
      </c>
      <c r="Z673" t="s">
        <v>12887</v>
      </c>
      <c r="AA673" t="s">
        <v>12888</v>
      </c>
      <c r="AB673" t="s">
        <v>12889</v>
      </c>
      <c r="AC673" t="s">
        <v>12890</v>
      </c>
      <c r="AD673" t="s">
        <v>12891</v>
      </c>
      <c r="AE673" t="s">
        <v>12892</v>
      </c>
      <c r="AF673" t="s">
        <v>74</v>
      </c>
      <c r="AG673">
        <v>97</v>
      </c>
      <c r="AH673">
        <v>13</v>
      </c>
      <c r="AI673">
        <v>13</v>
      </c>
      <c r="AJ673">
        <v>5</v>
      </c>
      <c r="AK673">
        <v>18</v>
      </c>
      <c r="AL673" t="s">
        <v>182</v>
      </c>
      <c r="AM673" t="s">
        <v>183</v>
      </c>
      <c r="AN673" t="s">
        <v>184</v>
      </c>
      <c r="AO673" t="s">
        <v>7382</v>
      </c>
      <c r="AP673" t="s">
        <v>7383</v>
      </c>
      <c r="AQ673" t="s">
        <v>74</v>
      </c>
      <c r="AR673" t="s">
        <v>7384</v>
      </c>
      <c r="AS673" t="s">
        <v>7385</v>
      </c>
      <c r="AT673" t="s">
        <v>276</v>
      </c>
      <c r="AU673">
        <v>2023</v>
      </c>
      <c r="AV673">
        <v>16</v>
      </c>
      <c r="AW673">
        <v>1</v>
      </c>
      <c r="AX673" t="s">
        <v>74</v>
      </c>
      <c r="AY673" t="s">
        <v>74</v>
      </c>
      <c r="AZ673" t="s">
        <v>74</v>
      </c>
      <c r="BA673" t="s">
        <v>74</v>
      </c>
      <c r="BB673">
        <v>82</v>
      </c>
      <c r="BC673" t="s">
        <v>351</v>
      </c>
      <c r="BD673" t="s">
        <v>74</v>
      </c>
      <c r="BE673" t="s">
        <v>12893</v>
      </c>
      <c r="BF673" t="str">
        <f>HYPERLINK("http://dx.doi.org/10.1038/s41561-022-01069-z","http://dx.doi.org/10.1038/s41561-022-01069-z")</f>
        <v>http://dx.doi.org/10.1038/s41561-022-01069-z</v>
      </c>
      <c r="BG673" t="s">
        <v>74</v>
      </c>
      <c r="BH673" t="s">
        <v>11396</v>
      </c>
      <c r="BI673">
        <v>21</v>
      </c>
      <c r="BJ673" t="s">
        <v>455</v>
      </c>
      <c r="BK673" t="s">
        <v>104</v>
      </c>
      <c r="BL673" t="s">
        <v>456</v>
      </c>
      <c r="BM673" t="s">
        <v>7387</v>
      </c>
      <c r="BN673" t="s">
        <v>74</v>
      </c>
      <c r="BO673" t="s">
        <v>12894</v>
      </c>
      <c r="BP673" t="s">
        <v>74</v>
      </c>
      <c r="BQ673" t="s">
        <v>74</v>
      </c>
      <c r="BR673" t="s">
        <v>108</v>
      </c>
      <c r="BS673" t="s">
        <v>12895</v>
      </c>
      <c r="BT673" t="str">
        <f>HYPERLINK("https%3A%2F%2Fwww.webofscience.com%2Fwos%2Fwoscc%2Ffull-record%2FWOS:000886195100003","View Full Record in Web of Science")</f>
        <v>View Full Record in Web of Science</v>
      </c>
    </row>
    <row r="674" spans="1:72" x14ac:dyDescent="0.15">
      <c r="A674" t="s">
        <v>72</v>
      </c>
      <c r="B674" t="s">
        <v>12896</v>
      </c>
      <c r="C674" t="s">
        <v>74</v>
      </c>
      <c r="D674" t="s">
        <v>74</v>
      </c>
      <c r="E674" t="s">
        <v>74</v>
      </c>
      <c r="F674" t="s">
        <v>12897</v>
      </c>
      <c r="G674" t="s">
        <v>74</v>
      </c>
      <c r="H674" t="s">
        <v>74</v>
      </c>
      <c r="I674" t="s">
        <v>12898</v>
      </c>
      <c r="J674" t="s">
        <v>12899</v>
      </c>
      <c r="K674" t="s">
        <v>74</v>
      </c>
      <c r="L674" t="s">
        <v>74</v>
      </c>
      <c r="M674" t="s">
        <v>78</v>
      </c>
      <c r="N674" t="s">
        <v>256</v>
      </c>
      <c r="O674" t="s">
        <v>74</v>
      </c>
      <c r="P674" t="s">
        <v>74</v>
      </c>
      <c r="Q674" t="s">
        <v>74</v>
      </c>
      <c r="R674" t="s">
        <v>74</v>
      </c>
      <c r="S674" t="s">
        <v>74</v>
      </c>
      <c r="T674" t="s">
        <v>12900</v>
      </c>
      <c r="U674" t="s">
        <v>12901</v>
      </c>
      <c r="V674" t="s">
        <v>12902</v>
      </c>
      <c r="W674" t="s">
        <v>12903</v>
      </c>
      <c r="X674" t="s">
        <v>12904</v>
      </c>
      <c r="Y674" t="s">
        <v>12905</v>
      </c>
      <c r="Z674" t="s">
        <v>12906</v>
      </c>
      <c r="AA674" t="s">
        <v>12907</v>
      </c>
      <c r="AB674" t="s">
        <v>12908</v>
      </c>
      <c r="AC674" t="s">
        <v>12909</v>
      </c>
      <c r="AD674" t="s">
        <v>12910</v>
      </c>
      <c r="AE674" t="s">
        <v>12911</v>
      </c>
      <c r="AF674" t="s">
        <v>74</v>
      </c>
      <c r="AG674">
        <v>143</v>
      </c>
      <c r="AH674">
        <v>13</v>
      </c>
      <c r="AI674">
        <v>13</v>
      </c>
      <c r="AJ674">
        <v>12</v>
      </c>
      <c r="AK674">
        <v>66</v>
      </c>
      <c r="AL674" t="s">
        <v>237</v>
      </c>
      <c r="AM674" t="s">
        <v>238</v>
      </c>
      <c r="AN674" t="s">
        <v>239</v>
      </c>
      <c r="AO674" t="s">
        <v>12912</v>
      </c>
      <c r="AP674" t="s">
        <v>12913</v>
      </c>
      <c r="AQ674" t="s">
        <v>74</v>
      </c>
      <c r="AR674" t="s">
        <v>12914</v>
      </c>
      <c r="AS674" t="s">
        <v>12915</v>
      </c>
      <c r="AT674" t="s">
        <v>11496</v>
      </c>
      <c r="AU674">
        <v>2023</v>
      </c>
      <c r="AV674">
        <v>444</v>
      </c>
      <c r="AW674" t="s">
        <v>74</v>
      </c>
      <c r="AX674" t="s">
        <v>12005</v>
      </c>
      <c r="AY674" t="s">
        <v>74</v>
      </c>
      <c r="AZ674" t="s">
        <v>74</v>
      </c>
      <c r="BA674" t="s">
        <v>74</v>
      </c>
      <c r="BB674" t="s">
        <v>74</v>
      </c>
      <c r="BC674" t="s">
        <v>74</v>
      </c>
      <c r="BD674">
        <v>130382</v>
      </c>
      <c r="BE674" t="s">
        <v>12916</v>
      </c>
      <c r="BF674" t="str">
        <f>HYPERLINK("http://dx.doi.org/10.1016/j.jhazmat.2022.130382","http://dx.doi.org/10.1016/j.jhazmat.2022.130382")</f>
        <v>http://dx.doi.org/10.1016/j.jhazmat.2022.130382</v>
      </c>
      <c r="BG674" t="s">
        <v>74</v>
      </c>
      <c r="BH674" t="s">
        <v>11396</v>
      </c>
      <c r="BI674">
        <v>26</v>
      </c>
      <c r="BJ674" t="s">
        <v>7364</v>
      </c>
      <c r="BK674" t="s">
        <v>104</v>
      </c>
      <c r="BL674" t="s">
        <v>5758</v>
      </c>
      <c r="BM674" t="s">
        <v>12917</v>
      </c>
      <c r="BN674">
        <v>36417779</v>
      </c>
      <c r="BO674" t="s">
        <v>74</v>
      </c>
      <c r="BP674" t="s">
        <v>74</v>
      </c>
      <c r="BQ674" t="s">
        <v>74</v>
      </c>
      <c r="BR674" t="s">
        <v>108</v>
      </c>
      <c r="BS674" t="s">
        <v>12918</v>
      </c>
      <c r="BT674" t="str">
        <f>HYPERLINK("https%3A%2F%2Fwww.webofscience.com%2Fwos%2Fwoscc%2Ffull-record%2FWOS:000903704200005","View Full Record in Web of Science")</f>
        <v>View Full Record in Web of Science</v>
      </c>
    </row>
    <row r="675" spans="1:72" x14ac:dyDescent="0.15">
      <c r="A675" t="s">
        <v>72</v>
      </c>
      <c r="B675" t="s">
        <v>12919</v>
      </c>
      <c r="C675" t="s">
        <v>74</v>
      </c>
      <c r="D675" t="s">
        <v>74</v>
      </c>
      <c r="E675" t="s">
        <v>74</v>
      </c>
      <c r="F675" t="s">
        <v>12920</v>
      </c>
      <c r="G675" t="s">
        <v>74</v>
      </c>
      <c r="H675" t="s">
        <v>74</v>
      </c>
      <c r="I675" t="s">
        <v>12921</v>
      </c>
      <c r="J675" t="s">
        <v>12922</v>
      </c>
      <c r="K675" t="s">
        <v>74</v>
      </c>
      <c r="L675" t="s">
        <v>74</v>
      </c>
      <c r="M675" t="s">
        <v>78</v>
      </c>
      <c r="N675" t="s">
        <v>79</v>
      </c>
      <c r="O675" t="s">
        <v>74</v>
      </c>
      <c r="P675" t="s">
        <v>74</v>
      </c>
      <c r="Q675" t="s">
        <v>74</v>
      </c>
      <c r="R675" t="s">
        <v>74</v>
      </c>
      <c r="S675" t="s">
        <v>74</v>
      </c>
      <c r="T675" t="s">
        <v>12923</v>
      </c>
      <c r="U675" t="s">
        <v>12924</v>
      </c>
      <c r="V675" t="s">
        <v>12925</v>
      </c>
      <c r="W675" t="s">
        <v>12926</v>
      </c>
      <c r="X675" t="s">
        <v>12927</v>
      </c>
      <c r="Y675" t="s">
        <v>12928</v>
      </c>
      <c r="Z675" t="s">
        <v>12929</v>
      </c>
      <c r="AA675" t="s">
        <v>74</v>
      </c>
      <c r="AB675" t="s">
        <v>12930</v>
      </c>
      <c r="AC675" t="s">
        <v>12931</v>
      </c>
      <c r="AD675" t="s">
        <v>12932</v>
      </c>
      <c r="AE675" t="s">
        <v>12933</v>
      </c>
      <c r="AF675" t="s">
        <v>74</v>
      </c>
      <c r="AG675">
        <v>45</v>
      </c>
      <c r="AH675">
        <v>0</v>
      </c>
      <c r="AI675">
        <v>1</v>
      </c>
      <c r="AJ675">
        <v>1</v>
      </c>
      <c r="AK675">
        <v>2</v>
      </c>
      <c r="AL675" t="s">
        <v>297</v>
      </c>
      <c r="AM675" t="s">
        <v>298</v>
      </c>
      <c r="AN675" t="s">
        <v>299</v>
      </c>
      <c r="AO675" t="s">
        <v>12934</v>
      </c>
      <c r="AP675" t="s">
        <v>12935</v>
      </c>
      <c r="AQ675" t="s">
        <v>74</v>
      </c>
      <c r="AR675" t="s">
        <v>12936</v>
      </c>
      <c r="AS675" t="s">
        <v>12937</v>
      </c>
      <c r="AT675" t="s">
        <v>530</v>
      </c>
      <c r="AU675">
        <v>2023</v>
      </c>
      <c r="AV675">
        <v>48</v>
      </c>
      <c r="AW675">
        <v>3</v>
      </c>
      <c r="AX675" t="s">
        <v>74</v>
      </c>
      <c r="AY675" t="s">
        <v>74</v>
      </c>
      <c r="AZ675" t="s">
        <v>74</v>
      </c>
      <c r="BA675" t="s">
        <v>74</v>
      </c>
      <c r="BB675">
        <v>555</v>
      </c>
      <c r="BC675">
        <v>568</v>
      </c>
      <c r="BD675" t="s">
        <v>74</v>
      </c>
      <c r="BE675" t="s">
        <v>12938</v>
      </c>
      <c r="BF675" t="str">
        <f>HYPERLINK("http://dx.doi.org/10.1002/esp.5502","http://dx.doi.org/10.1002/esp.5502")</f>
        <v>http://dx.doi.org/10.1002/esp.5502</v>
      </c>
      <c r="BG675" t="s">
        <v>74</v>
      </c>
      <c r="BH675" t="s">
        <v>11396</v>
      </c>
      <c r="BI675">
        <v>14</v>
      </c>
      <c r="BJ675" t="s">
        <v>611</v>
      </c>
      <c r="BK675" t="s">
        <v>104</v>
      </c>
      <c r="BL675" t="s">
        <v>612</v>
      </c>
      <c r="BM675" t="s">
        <v>12939</v>
      </c>
      <c r="BN675" t="s">
        <v>74</v>
      </c>
      <c r="BO675" t="s">
        <v>74</v>
      </c>
      <c r="BP675" t="s">
        <v>74</v>
      </c>
      <c r="BQ675" t="s">
        <v>74</v>
      </c>
      <c r="BR675" t="s">
        <v>108</v>
      </c>
      <c r="BS675" t="s">
        <v>12940</v>
      </c>
      <c r="BT675" t="str">
        <f>HYPERLINK("https%3A%2F%2Fwww.webofscience.com%2Fwos%2Fwoscc%2Ffull-record%2FWOS:000888661000001","View Full Record in Web of Science")</f>
        <v>View Full Record in Web of Science</v>
      </c>
    </row>
    <row r="676" spans="1:72" x14ac:dyDescent="0.15">
      <c r="A676" t="s">
        <v>72</v>
      </c>
      <c r="B676" t="s">
        <v>12941</v>
      </c>
      <c r="C676" t="s">
        <v>74</v>
      </c>
      <c r="D676" t="s">
        <v>74</v>
      </c>
      <c r="E676" t="s">
        <v>74</v>
      </c>
      <c r="F676" t="s">
        <v>12942</v>
      </c>
      <c r="G676" t="s">
        <v>74</v>
      </c>
      <c r="H676" t="s">
        <v>74</v>
      </c>
      <c r="I676" t="s">
        <v>12943</v>
      </c>
      <c r="J676" t="s">
        <v>12944</v>
      </c>
      <c r="K676" t="s">
        <v>74</v>
      </c>
      <c r="L676" t="s">
        <v>74</v>
      </c>
      <c r="M676" t="s">
        <v>78</v>
      </c>
      <c r="N676" t="s">
        <v>256</v>
      </c>
      <c r="O676" t="s">
        <v>74</v>
      </c>
      <c r="P676" t="s">
        <v>74</v>
      </c>
      <c r="Q676" t="s">
        <v>74</v>
      </c>
      <c r="R676" t="s">
        <v>74</v>
      </c>
      <c r="S676" t="s">
        <v>74</v>
      </c>
      <c r="T676" t="s">
        <v>12945</v>
      </c>
      <c r="U676" t="s">
        <v>12946</v>
      </c>
      <c r="V676" t="s">
        <v>12947</v>
      </c>
      <c r="W676" t="s">
        <v>12948</v>
      </c>
      <c r="X676" t="s">
        <v>12949</v>
      </c>
      <c r="Y676" t="s">
        <v>12950</v>
      </c>
      <c r="Z676" t="s">
        <v>12951</v>
      </c>
      <c r="AA676" t="s">
        <v>74</v>
      </c>
      <c r="AB676" t="s">
        <v>12952</v>
      </c>
      <c r="AC676" t="s">
        <v>12953</v>
      </c>
      <c r="AD676" t="s">
        <v>12954</v>
      </c>
      <c r="AE676" t="s">
        <v>12955</v>
      </c>
      <c r="AF676" t="s">
        <v>74</v>
      </c>
      <c r="AG676">
        <v>78</v>
      </c>
      <c r="AH676">
        <v>1</v>
      </c>
      <c r="AI676">
        <v>1</v>
      </c>
      <c r="AJ676">
        <v>2</v>
      </c>
      <c r="AK676">
        <v>8</v>
      </c>
      <c r="AL676" t="s">
        <v>12956</v>
      </c>
      <c r="AM676" t="s">
        <v>12957</v>
      </c>
      <c r="AN676" t="s">
        <v>12958</v>
      </c>
      <c r="AO676" t="s">
        <v>12959</v>
      </c>
      <c r="AP676" t="s">
        <v>12960</v>
      </c>
      <c r="AQ676" t="s">
        <v>74</v>
      </c>
      <c r="AR676" t="s">
        <v>12961</v>
      </c>
      <c r="AS676" t="s">
        <v>12962</v>
      </c>
      <c r="AT676" t="s">
        <v>276</v>
      </c>
      <c r="AU676">
        <v>2023</v>
      </c>
      <c r="AV676">
        <v>247</v>
      </c>
      <c r="AW676" t="s">
        <v>74</v>
      </c>
      <c r="AX676" t="s">
        <v>74</v>
      </c>
      <c r="AY676" t="s">
        <v>74</v>
      </c>
      <c r="AZ676" t="s">
        <v>74</v>
      </c>
      <c r="BA676" t="s">
        <v>74</v>
      </c>
      <c r="BB676" t="s">
        <v>74</v>
      </c>
      <c r="BC676" t="s">
        <v>74</v>
      </c>
      <c r="BD676">
        <v>114060</v>
      </c>
      <c r="BE676" t="s">
        <v>12963</v>
      </c>
      <c r="BF676" t="str">
        <f>HYPERLINK("http://dx.doi.org/10.1016/j.ijheh.2022.114060","http://dx.doi.org/10.1016/j.ijheh.2022.114060")</f>
        <v>http://dx.doi.org/10.1016/j.ijheh.2022.114060</v>
      </c>
      <c r="BG676" t="s">
        <v>74</v>
      </c>
      <c r="BH676" t="s">
        <v>11396</v>
      </c>
      <c r="BI676">
        <v>12</v>
      </c>
      <c r="BJ676" t="s">
        <v>12964</v>
      </c>
      <c r="BK676" t="s">
        <v>104</v>
      </c>
      <c r="BL676" t="s">
        <v>12964</v>
      </c>
      <c r="BM676" t="s">
        <v>12965</v>
      </c>
      <c r="BN676">
        <v>36413873</v>
      </c>
      <c r="BO676" t="s">
        <v>107</v>
      </c>
      <c r="BP676" t="s">
        <v>74</v>
      </c>
      <c r="BQ676" t="s">
        <v>74</v>
      </c>
      <c r="BR676" t="s">
        <v>108</v>
      </c>
      <c r="BS676" t="s">
        <v>12966</v>
      </c>
      <c r="BT676" t="str">
        <f>HYPERLINK("https%3A%2F%2Fwww.webofscience.com%2Fwos%2Fwoscc%2Ffull-record%2FWOS:000928180600005","View Full Record in Web of Science")</f>
        <v>View Full Record in Web of Science</v>
      </c>
    </row>
    <row r="677" spans="1:72" x14ac:dyDescent="0.15">
      <c r="A677" t="s">
        <v>72</v>
      </c>
      <c r="B677" t="s">
        <v>12967</v>
      </c>
      <c r="C677" t="s">
        <v>74</v>
      </c>
      <c r="D677" t="s">
        <v>74</v>
      </c>
      <c r="E677" t="s">
        <v>74</v>
      </c>
      <c r="F677" t="s">
        <v>12968</v>
      </c>
      <c r="G677" t="s">
        <v>74</v>
      </c>
      <c r="H677" t="s">
        <v>74</v>
      </c>
      <c r="I677" t="s">
        <v>12969</v>
      </c>
      <c r="J677" t="s">
        <v>12970</v>
      </c>
      <c r="K677" t="s">
        <v>74</v>
      </c>
      <c r="L677" t="s">
        <v>74</v>
      </c>
      <c r="M677" t="s">
        <v>78</v>
      </c>
      <c r="N677" t="s">
        <v>79</v>
      </c>
      <c r="O677" t="s">
        <v>74</v>
      </c>
      <c r="P677" t="s">
        <v>74</v>
      </c>
      <c r="Q677" t="s">
        <v>74</v>
      </c>
      <c r="R677" t="s">
        <v>74</v>
      </c>
      <c r="S677" t="s">
        <v>74</v>
      </c>
      <c r="T677" t="s">
        <v>12971</v>
      </c>
      <c r="U677" t="s">
        <v>12972</v>
      </c>
      <c r="V677" t="s">
        <v>12973</v>
      </c>
      <c r="W677" t="s">
        <v>12974</v>
      </c>
      <c r="X677" t="s">
        <v>12975</v>
      </c>
      <c r="Y677" t="s">
        <v>12976</v>
      </c>
      <c r="Z677" t="s">
        <v>12977</v>
      </c>
      <c r="AA677" t="s">
        <v>74</v>
      </c>
      <c r="AB677" t="s">
        <v>12978</v>
      </c>
      <c r="AC677" t="s">
        <v>12979</v>
      </c>
      <c r="AD677" t="s">
        <v>12980</v>
      </c>
      <c r="AE677" t="s">
        <v>12981</v>
      </c>
      <c r="AF677" t="s">
        <v>74</v>
      </c>
      <c r="AG677">
        <v>61</v>
      </c>
      <c r="AH677">
        <v>3</v>
      </c>
      <c r="AI677">
        <v>3</v>
      </c>
      <c r="AJ677">
        <v>1</v>
      </c>
      <c r="AK677">
        <v>10</v>
      </c>
      <c r="AL677" t="s">
        <v>297</v>
      </c>
      <c r="AM677" t="s">
        <v>298</v>
      </c>
      <c r="AN677" t="s">
        <v>299</v>
      </c>
      <c r="AO677" t="s">
        <v>12982</v>
      </c>
      <c r="AP677" t="s">
        <v>12983</v>
      </c>
      <c r="AQ677" t="s">
        <v>74</v>
      </c>
      <c r="AR677" t="s">
        <v>12984</v>
      </c>
      <c r="AS677" t="s">
        <v>12985</v>
      </c>
      <c r="AT677" t="s">
        <v>214</v>
      </c>
      <c r="AU677">
        <v>2023</v>
      </c>
      <c r="AV677">
        <v>18</v>
      </c>
      <c r="AW677">
        <v>2</v>
      </c>
      <c r="AX677" t="s">
        <v>74</v>
      </c>
      <c r="AY677" t="s">
        <v>74</v>
      </c>
      <c r="AZ677" t="s">
        <v>74</v>
      </c>
      <c r="BA677" t="s">
        <v>74</v>
      </c>
      <c r="BB677">
        <v>372</v>
      </c>
      <c r="BC677">
        <v>384</v>
      </c>
      <c r="BD677" t="s">
        <v>74</v>
      </c>
      <c r="BE677" t="s">
        <v>12986</v>
      </c>
      <c r="BF677" t="str">
        <f>HYPERLINK("http://dx.doi.org/10.1111/1749-4877.12692","http://dx.doi.org/10.1111/1749-4877.12692")</f>
        <v>http://dx.doi.org/10.1111/1749-4877.12692</v>
      </c>
      <c r="BG677" t="s">
        <v>74</v>
      </c>
      <c r="BH677" t="s">
        <v>11396</v>
      </c>
      <c r="BI677">
        <v>13</v>
      </c>
      <c r="BJ677" t="s">
        <v>2468</v>
      </c>
      <c r="BK677" t="s">
        <v>104</v>
      </c>
      <c r="BL677" t="s">
        <v>2468</v>
      </c>
      <c r="BM677" t="s">
        <v>12987</v>
      </c>
      <c r="BN677">
        <v>36300714</v>
      </c>
      <c r="BO677" t="s">
        <v>74</v>
      </c>
      <c r="BP677" t="s">
        <v>74</v>
      </c>
      <c r="BQ677" t="s">
        <v>74</v>
      </c>
      <c r="BR677" t="s">
        <v>108</v>
      </c>
      <c r="BS677" t="s">
        <v>12988</v>
      </c>
      <c r="BT677" t="str">
        <f>HYPERLINK("https%3A%2F%2Fwww.webofscience.com%2Fwos%2Fwoscc%2Ffull-record%2FWOS:000888660000001","View Full Record in Web of Science")</f>
        <v>View Full Record in Web of Science</v>
      </c>
    </row>
    <row r="678" spans="1:72" x14ac:dyDescent="0.15">
      <c r="A678" t="s">
        <v>72</v>
      </c>
      <c r="B678" t="s">
        <v>12989</v>
      </c>
      <c r="C678" t="s">
        <v>74</v>
      </c>
      <c r="D678" t="s">
        <v>74</v>
      </c>
      <c r="E678" t="s">
        <v>74</v>
      </c>
      <c r="F678" t="s">
        <v>12990</v>
      </c>
      <c r="G678" t="s">
        <v>74</v>
      </c>
      <c r="H678" t="s">
        <v>74</v>
      </c>
      <c r="I678" t="s">
        <v>12991</v>
      </c>
      <c r="J678" t="s">
        <v>12453</v>
      </c>
      <c r="K678" t="s">
        <v>74</v>
      </c>
      <c r="L678" t="s">
        <v>74</v>
      </c>
      <c r="M678" t="s">
        <v>78</v>
      </c>
      <c r="N678" t="s">
        <v>79</v>
      </c>
      <c r="O678" t="s">
        <v>74</v>
      </c>
      <c r="P678" t="s">
        <v>74</v>
      </c>
      <c r="Q678" t="s">
        <v>74</v>
      </c>
      <c r="R678" t="s">
        <v>74</v>
      </c>
      <c r="S678" t="s">
        <v>74</v>
      </c>
      <c r="T678" t="s">
        <v>12992</v>
      </c>
      <c r="U678" t="s">
        <v>12993</v>
      </c>
      <c r="V678" t="s">
        <v>12994</v>
      </c>
      <c r="W678" t="s">
        <v>12995</v>
      </c>
      <c r="X678" t="s">
        <v>12996</v>
      </c>
      <c r="Y678" t="s">
        <v>12997</v>
      </c>
      <c r="Z678" t="s">
        <v>12998</v>
      </c>
      <c r="AA678" t="s">
        <v>74</v>
      </c>
      <c r="AB678" t="s">
        <v>74</v>
      </c>
      <c r="AC678" t="s">
        <v>12999</v>
      </c>
      <c r="AD678" t="s">
        <v>13000</v>
      </c>
      <c r="AE678" t="s">
        <v>13001</v>
      </c>
      <c r="AF678" t="s">
        <v>74</v>
      </c>
      <c r="AG678">
        <v>53</v>
      </c>
      <c r="AH678">
        <v>0</v>
      </c>
      <c r="AI678">
        <v>0</v>
      </c>
      <c r="AJ678">
        <v>4</v>
      </c>
      <c r="AK678">
        <v>13</v>
      </c>
      <c r="AL678" t="s">
        <v>269</v>
      </c>
      <c r="AM678" t="s">
        <v>93</v>
      </c>
      <c r="AN678" t="s">
        <v>397</v>
      </c>
      <c r="AO678" t="s">
        <v>12466</v>
      </c>
      <c r="AP678" t="s">
        <v>12467</v>
      </c>
      <c r="AQ678" t="s">
        <v>74</v>
      </c>
      <c r="AR678" t="s">
        <v>12468</v>
      </c>
      <c r="AS678" t="s">
        <v>12469</v>
      </c>
      <c r="AT678" t="s">
        <v>13002</v>
      </c>
      <c r="AU678">
        <v>2023</v>
      </c>
      <c r="AV678">
        <v>61</v>
      </c>
      <c r="AW678" t="s">
        <v>10320</v>
      </c>
      <c r="AX678" t="s">
        <v>74</v>
      </c>
      <c r="AY678" t="s">
        <v>74</v>
      </c>
      <c r="AZ678" t="s">
        <v>74</v>
      </c>
      <c r="BA678" t="s">
        <v>74</v>
      </c>
      <c r="BB678">
        <v>399</v>
      </c>
      <c r="BC678">
        <v>412</v>
      </c>
      <c r="BD678" t="s">
        <v>74</v>
      </c>
      <c r="BE678" t="s">
        <v>13003</v>
      </c>
      <c r="BF678" t="str">
        <f>HYPERLINK("http://dx.doi.org/10.1007/s00382-022-06592-8","http://dx.doi.org/10.1007/s00382-022-06592-8")</f>
        <v>http://dx.doi.org/10.1007/s00382-022-06592-8</v>
      </c>
      <c r="BG678" t="s">
        <v>74</v>
      </c>
      <c r="BH678" t="s">
        <v>11396</v>
      </c>
      <c r="BI678">
        <v>14</v>
      </c>
      <c r="BJ678" t="s">
        <v>532</v>
      </c>
      <c r="BK678" t="s">
        <v>104</v>
      </c>
      <c r="BL678" t="s">
        <v>532</v>
      </c>
      <c r="BM678" t="s">
        <v>13004</v>
      </c>
      <c r="BN678" t="s">
        <v>74</v>
      </c>
      <c r="BO678" t="s">
        <v>219</v>
      </c>
      <c r="BP678" t="s">
        <v>74</v>
      </c>
      <c r="BQ678" t="s">
        <v>74</v>
      </c>
      <c r="BR678" t="s">
        <v>108</v>
      </c>
      <c r="BS678" t="s">
        <v>13005</v>
      </c>
      <c r="BT678" t="str">
        <f>HYPERLINK("https%3A%2F%2Fwww.webofscience.com%2Fwos%2Fwoscc%2Ffull-record%2FWOS:000885404300001","View Full Record in Web of Science")</f>
        <v>View Full Record in Web of Science</v>
      </c>
    </row>
    <row r="679" spans="1:72" x14ac:dyDescent="0.15">
      <c r="A679" t="s">
        <v>72</v>
      </c>
      <c r="B679" t="s">
        <v>13006</v>
      </c>
      <c r="C679" t="s">
        <v>74</v>
      </c>
      <c r="D679" t="s">
        <v>74</v>
      </c>
      <c r="E679" t="s">
        <v>74</v>
      </c>
      <c r="F679" t="s">
        <v>13007</v>
      </c>
      <c r="G679" t="s">
        <v>74</v>
      </c>
      <c r="H679" t="s">
        <v>74</v>
      </c>
      <c r="I679" t="s">
        <v>13008</v>
      </c>
      <c r="J679" t="s">
        <v>9138</v>
      </c>
      <c r="K679" t="s">
        <v>74</v>
      </c>
      <c r="L679" t="s">
        <v>74</v>
      </c>
      <c r="M679" t="s">
        <v>78</v>
      </c>
      <c r="N679" t="s">
        <v>79</v>
      </c>
      <c r="O679" t="s">
        <v>74</v>
      </c>
      <c r="P679" t="s">
        <v>74</v>
      </c>
      <c r="Q679" t="s">
        <v>74</v>
      </c>
      <c r="R679" t="s">
        <v>74</v>
      </c>
      <c r="S679" t="s">
        <v>74</v>
      </c>
      <c r="T679" t="s">
        <v>13009</v>
      </c>
      <c r="U679" t="s">
        <v>13010</v>
      </c>
      <c r="V679" t="s">
        <v>13011</v>
      </c>
      <c r="W679" t="s">
        <v>13012</v>
      </c>
      <c r="X679" t="s">
        <v>13013</v>
      </c>
      <c r="Y679" t="s">
        <v>13014</v>
      </c>
      <c r="Z679" t="s">
        <v>13015</v>
      </c>
      <c r="AA679" t="s">
        <v>13016</v>
      </c>
      <c r="AB679" t="s">
        <v>13017</v>
      </c>
      <c r="AC679" t="s">
        <v>13018</v>
      </c>
      <c r="AD679" t="s">
        <v>13019</v>
      </c>
      <c r="AE679" t="s">
        <v>13020</v>
      </c>
      <c r="AF679" t="s">
        <v>74</v>
      </c>
      <c r="AG679">
        <v>89</v>
      </c>
      <c r="AH679">
        <v>1</v>
      </c>
      <c r="AI679">
        <v>1</v>
      </c>
      <c r="AJ679">
        <v>2</v>
      </c>
      <c r="AK679">
        <v>13</v>
      </c>
      <c r="AL679" t="s">
        <v>448</v>
      </c>
      <c r="AM679" t="s">
        <v>449</v>
      </c>
      <c r="AN679" t="s">
        <v>450</v>
      </c>
      <c r="AO679" t="s">
        <v>74</v>
      </c>
      <c r="AP679" t="s">
        <v>9145</v>
      </c>
      <c r="AQ679" t="s">
        <v>74</v>
      </c>
      <c r="AR679" t="s">
        <v>9146</v>
      </c>
      <c r="AS679" t="s">
        <v>9147</v>
      </c>
      <c r="AT679" t="s">
        <v>13021</v>
      </c>
      <c r="AU679">
        <v>2022</v>
      </c>
      <c r="AV679">
        <v>13</v>
      </c>
      <c r="AW679" t="s">
        <v>74</v>
      </c>
      <c r="AX679" t="s">
        <v>74</v>
      </c>
      <c r="AY679" t="s">
        <v>74</v>
      </c>
      <c r="AZ679" t="s">
        <v>74</v>
      </c>
      <c r="BA679" t="s">
        <v>74</v>
      </c>
      <c r="BB679" t="s">
        <v>74</v>
      </c>
      <c r="BC679" t="s">
        <v>74</v>
      </c>
      <c r="BD679">
        <v>1007225</v>
      </c>
      <c r="BE679" t="s">
        <v>13022</v>
      </c>
      <c r="BF679" t="str">
        <f>HYPERLINK("http://dx.doi.org/10.3389/fmicb.2022.1007225","http://dx.doi.org/10.3389/fmicb.2022.1007225")</f>
        <v>http://dx.doi.org/10.3389/fmicb.2022.1007225</v>
      </c>
      <c r="BG679" t="s">
        <v>74</v>
      </c>
      <c r="BH679" t="s">
        <v>74</v>
      </c>
      <c r="BI679">
        <v>16</v>
      </c>
      <c r="BJ679" t="s">
        <v>1699</v>
      </c>
      <c r="BK679" t="s">
        <v>104</v>
      </c>
      <c r="BL679" t="s">
        <v>1699</v>
      </c>
      <c r="BM679" t="s">
        <v>13023</v>
      </c>
      <c r="BN679">
        <v>36466678</v>
      </c>
      <c r="BO679" t="s">
        <v>3181</v>
      </c>
      <c r="BP679" t="s">
        <v>74</v>
      </c>
      <c r="BQ679" t="s">
        <v>74</v>
      </c>
      <c r="BR679" t="s">
        <v>108</v>
      </c>
      <c r="BS679" t="s">
        <v>13024</v>
      </c>
      <c r="BT679" t="str">
        <f>HYPERLINK("https%3A%2F%2Fwww.webofscience.com%2Fwos%2Fwoscc%2Ffull-record%2FWOS:000912312300001","View Full Record in Web of Science")</f>
        <v>View Full Record in Web of Science</v>
      </c>
    </row>
    <row r="680" spans="1:72" x14ac:dyDescent="0.15">
      <c r="A680" t="s">
        <v>72</v>
      </c>
      <c r="B680" t="s">
        <v>13025</v>
      </c>
      <c r="C680" t="s">
        <v>74</v>
      </c>
      <c r="D680" t="s">
        <v>74</v>
      </c>
      <c r="E680" t="s">
        <v>74</v>
      </c>
      <c r="F680" t="s">
        <v>13026</v>
      </c>
      <c r="G680" t="s">
        <v>74</v>
      </c>
      <c r="H680" t="s">
        <v>74</v>
      </c>
      <c r="I680" t="s">
        <v>13027</v>
      </c>
      <c r="J680" t="s">
        <v>7102</v>
      </c>
      <c r="K680" t="s">
        <v>74</v>
      </c>
      <c r="L680" t="s">
        <v>74</v>
      </c>
      <c r="M680" t="s">
        <v>78</v>
      </c>
      <c r="N680" t="s">
        <v>79</v>
      </c>
      <c r="O680" t="s">
        <v>74</v>
      </c>
      <c r="P680" t="s">
        <v>74</v>
      </c>
      <c r="Q680" t="s">
        <v>74</v>
      </c>
      <c r="R680" t="s">
        <v>74</v>
      </c>
      <c r="S680" t="s">
        <v>74</v>
      </c>
      <c r="T680" t="s">
        <v>13028</v>
      </c>
      <c r="U680" t="s">
        <v>13029</v>
      </c>
      <c r="V680" t="s">
        <v>13030</v>
      </c>
      <c r="W680" t="s">
        <v>13031</v>
      </c>
      <c r="X680" t="s">
        <v>13032</v>
      </c>
      <c r="Y680" t="s">
        <v>13033</v>
      </c>
      <c r="Z680" t="s">
        <v>13034</v>
      </c>
      <c r="AA680" t="s">
        <v>4037</v>
      </c>
      <c r="AB680" t="s">
        <v>13035</v>
      </c>
      <c r="AC680" t="s">
        <v>13036</v>
      </c>
      <c r="AD680" t="s">
        <v>13037</v>
      </c>
      <c r="AE680" t="s">
        <v>13038</v>
      </c>
      <c r="AF680" t="s">
        <v>74</v>
      </c>
      <c r="AG680">
        <v>78</v>
      </c>
      <c r="AH680">
        <v>2</v>
      </c>
      <c r="AI680">
        <v>2</v>
      </c>
      <c r="AJ680">
        <v>3</v>
      </c>
      <c r="AK680">
        <v>10</v>
      </c>
      <c r="AL680" t="s">
        <v>448</v>
      </c>
      <c r="AM680" t="s">
        <v>449</v>
      </c>
      <c r="AN680" t="s">
        <v>450</v>
      </c>
      <c r="AO680" t="s">
        <v>74</v>
      </c>
      <c r="AP680" t="s">
        <v>7115</v>
      </c>
      <c r="AQ680" t="s">
        <v>74</v>
      </c>
      <c r="AR680" t="s">
        <v>7116</v>
      </c>
      <c r="AS680" t="s">
        <v>7117</v>
      </c>
      <c r="AT680" t="s">
        <v>13021</v>
      </c>
      <c r="AU680">
        <v>2022</v>
      </c>
      <c r="AV680">
        <v>9</v>
      </c>
      <c r="AW680" t="s">
        <v>74</v>
      </c>
      <c r="AX680" t="s">
        <v>74</v>
      </c>
      <c r="AY680" t="s">
        <v>74</v>
      </c>
      <c r="AZ680" t="s">
        <v>74</v>
      </c>
      <c r="BA680" t="s">
        <v>74</v>
      </c>
      <c r="BB680" t="s">
        <v>74</v>
      </c>
      <c r="BC680" t="s">
        <v>74</v>
      </c>
      <c r="BD680">
        <v>1006120</v>
      </c>
      <c r="BE680" t="s">
        <v>13039</v>
      </c>
      <c r="BF680" t="str">
        <f>HYPERLINK("http://dx.doi.org/10.3389/fmars.2022.1006120","http://dx.doi.org/10.3389/fmars.2022.1006120")</f>
        <v>http://dx.doi.org/10.3389/fmars.2022.1006120</v>
      </c>
      <c r="BG680" t="s">
        <v>74</v>
      </c>
      <c r="BH680" t="s">
        <v>74</v>
      </c>
      <c r="BI680">
        <v>16</v>
      </c>
      <c r="BJ680" t="s">
        <v>6728</v>
      </c>
      <c r="BK680" t="s">
        <v>104</v>
      </c>
      <c r="BL680" t="s">
        <v>6729</v>
      </c>
      <c r="BM680" t="s">
        <v>13040</v>
      </c>
      <c r="BN680" t="s">
        <v>74</v>
      </c>
      <c r="BO680" t="s">
        <v>165</v>
      </c>
      <c r="BP680" t="s">
        <v>74</v>
      </c>
      <c r="BQ680" t="s">
        <v>74</v>
      </c>
      <c r="BR680" t="s">
        <v>108</v>
      </c>
      <c r="BS680" t="s">
        <v>13041</v>
      </c>
      <c r="BT680" t="str">
        <f>HYPERLINK("https%3A%2F%2Fwww.webofscience.com%2Fwos%2Fwoscc%2Ffull-record%2FWOS:000912242800001","View Full Record in Web of Science")</f>
        <v>View Full Record in Web of Science</v>
      </c>
    </row>
    <row r="681" spans="1:72" x14ac:dyDescent="0.15">
      <c r="A681" t="s">
        <v>72</v>
      </c>
      <c r="B681" t="s">
        <v>13042</v>
      </c>
      <c r="C681" t="s">
        <v>74</v>
      </c>
      <c r="D681" t="s">
        <v>74</v>
      </c>
      <c r="E681" t="s">
        <v>74</v>
      </c>
      <c r="F681" t="s">
        <v>13043</v>
      </c>
      <c r="G681" t="s">
        <v>74</v>
      </c>
      <c r="H681" t="s">
        <v>74</v>
      </c>
      <c r="I681" t="s">
        <v>13044</v>
      </c>
      <c r="J681" t="s">
        <v>9138</v>
      </c>
      <c r="K681" t="s">
        <v>74</v>
      </c>
      <c r="L681" t="s">
        <v>74</v>
      </c>
      <c r="M681" t="s">
        <v>78</v>
      </c>
      <c r="N681" t="s">
        <v>79</v>
      </c>
      <c r="O681" t="s">
        <v>74</v>
      </c>
      <c r="P681" t="s">
        <v>74</v>
      </c>
      <c r="Q681" t="s">
        <v>74</v>
      </c>
      <c r="R681" t="s">
        <v>74</v>
      </c>
      <c r="S681" t="s">
        <v>74</v>
      </c>
      <c r="T681" t="s">
        <v>13045</v>
      </c>
      <c r="U681" t="s">
        <v>13046</v>
      </c>
      <c r="V681" t="s">
        <v>13047</v>
      </c>
      <c r="W681" t="s">
        <v>13048</v>
      </c>
      <c r="X681" t="s">
        <v>13049</v>
      </c>
      <c r="Y681" t="s">
        <v>13050</v>
      </c>
      <c r="Z681" t="s">
        <v>13051</v>
      </c>
      <c r="AA681" t="s">
        <v>13052</v>
      </c>
      <c r="AB681" t="s">
        <v>13053</v>
      </c>
      <c r="AC681" t="s">
        <v>74</v>
      </c>
      <c r="AD681" t="s">
        <v>74</v>
      </c>
      <c r="AE681" t="s">
        <v>74</v>
      </c>
      <c r="AF681" t="s">
        <v>74</v>
      </c>
      <c r="AG681">
        <v>79</v>
      </c>
      <c r="AH681">
        <v>0</v>
      </c>
      <c r="AI681">
        <v>0</v>
      </c>
      <c r="AJ681">
        <v>4</v>
      </c>
      <c r="AK681">
        <v>9</v>
      </c>
      <c r="AL681" t="s">
        <v>448</v>
      </c>
      <c r="AM681" t="s">
        <v>449</v>
      </c>
      <c r="AN681" t="s">
        <v>450</v>
      </c>
      <c r="AO681" t="s">
        <v>74</v>
      </c>
      <c r="AP681" t="s">
        <v>9145</v>
      </c>
      <c r="AQ681" t="s">
        <v>74</v>
      </c>
      <c r="AR681" t="s">
        <v>9146</v>
      </c>
      <c r="AS681" t="s">
        <v>9147</v>
      </c>
      <c r="AT681" t="s">
        <v>13021</v>
      </c>
      <c r="AU681">
        <v>2022</v>
      </c>
      <c r="AV681">
        <v>13</v>
      </c>
      <c r="AW681" t="s">
        <v>74</v>
      </c>
      <c r="AX681" t="s">
        <v>74</v>
      </c>
      <c r="AY681" t="s">
        <v>74</v>
      </c>
      <c r="AZ681" t="s">
        <v>74</v>
      </c>
      <c r="BA681" t="s">
        <v>74</v>
      </c>
      <c r="BB681" t="s">
        <v>74</v>
      </c>
      <c r="BC681" t="s">
        <v>74</v>
      </c>
      <c r="BD681">
        <v>1026463</v>
      </c>
      <c r="BE681" t="s">
        <v>13054</v>
      </c>
      <c r="BF681" t="str">
        <f>HYPERLINK("http://dx.doi.org/10.3389/fmicb.2022.1026463","http://dx.doi.org/10.3389/fmicb.2022.1026463")</f>
        <v>http://dx.doi.org/10.3389/fmicb.2022.1026463</v>
      </c>
      <c r="BG681" t="s">
        <v>74</v>
      </c>
      <c r="BH681" t="s">
        <v>74</v>
      </c>
      <c r="BI681">
        <v>20</v>
      </c>
      <c r="BJ681" t="s">
        <v>1699</v>
      </c>
      <c r="BK681" t="s">
        <v>104</v>
      </c>
      <c r="BL681" t="s">
        <v>1699</v>
      </c>
      <c r="BM681" t="s">
        <v>13055</v>
      </c>
      <c r="BN681">
        <v>36466687</v>
      </c>
      <c r="BO681" t="s">
        <v>192</v>
      </c>
      <c r="BP681" t="s">
        <v>74</v>
      </c>
      <c r="BQ681" t="s">
        <v>74</v>
      </c>
      <c r="BR681" t="s">
        <v>108</v>
      </c>
      <c r="BS681" t="s">
        <v>13056</v>
      </c>
      <c r="BT681" t="str">
        <f>HYPERLINK("https%3A%2F%2Fwww.webofscience.com%2Fwos%2Fwoscc%2Ffull-record%2FWOS:000910736500001","View Full Record in Web of Science")</f>
        <v>View Full Record in Web of Science</v>
      </c>
    </row>
    <row r="682" spans="1:72" x14ac:dyDescent="0.15">
      <c r="A682" t="s">
        <v>72</v>
      </c>
      <c r="B682" t="s">
        <v>13057</v>
      </c>
      <c r="C682" t="s">
        <v>74</v>
      </c>
      <c r="D682" t="s">
        <v>74</v>
      </c>
      <c r="E682" t="s">
        <v>74</v>
      </c>
      <c r="F682" t="s">
        <v>13058</v>
      </c>
      <c r="G682" t="s">
        <v>74</v>
      </c>
      <c r="H682" t="s">
        <v>74</v>
      </c>
      <c r="I682" t="s">
        <v>13059</v>
      </c>
      <c r="J682" t="s">
        <v>7798</v>
      </c>
      <c r="K682" t="s">
        <v>74</v>
      </c>
      <c r="L682" t="s">
        <v>74</v>
      </c>
      <c r="M682" t="s">
        <v>78</v>
      </c>
      <c r="N682" t="s">
        <v>79</v>
      </c>
      <c r="O682" t="s">
        <v>74</v>
      </c>
      <c r="P682" t="s">
        <v>74</v>
      </c>
      <c r="Q682" t="s">
        <v>74</v>
      </c>
      <c r="R682" t="s">
        <v>74</v>
      </c>
      <c r="S682" t="s">
        <v>74</v>
      </c>
      <c r="T682" t="s">
        <v>13060</v>
      </c>
      <c r="U682" t="s">
        <v>13061</v>
      </c>
      <c r="V682" t="s">
        <v>13062</v>
      </c>
      <c r="W682" t="s">
        <v>13063</v>
      </c>
      <c r="X682" t="s">
        <v>13064</v>
      </c>
      <c r="Y682" t="s">
        <v>13065</v>
      </c>
      <c r="Z682" t="s">
        <v>13066</v>
      </c>
      <c r="AA682" t="s">
        <v>13067</v>
      </c>
      <c r="AB682" t="s">
        <v>13068</v>
      </c>
      <c r="AC682" t="s">
        <v>13069</v>
      </c>
      <c r="AD682" t="s">
        <v>13070</v>
      </c>
      <c r="AE682" t="s">
        <v>13071</v>
      </c>
      <c r="AF682" t="s">
        <v>74</v>
      </c>
      <c r="AG682">
        <v>70</v>
      </c>
      <c r="AH682">
        <v>1</v>
      </c>
      <c r="AI682">
        <v>1</v>
      </c>
      <c r="AJ682">
        <v>12</v>
      </c>
      <c r="AK682">
        <v>25</v>
      </c>
      <c r="AL682" t="s">
        <v>92</v>
      </c>
      <c r="AM682" t="s">
        <v>7640</v>
      </c>
      <c r="AN682" t="s">
        <v>7811</v>
      </c>
      <c r="AO682" t="s">
        <v>7812</v>
      </c>
      <c r="AP682" t="s">
        <v>7813</v>
      </c>
      <c r="AQ682" t="s">
        <v>74</v>
      </c>
      <c r="AR682" t="s">
        <v>7814</v>
      </c>
      <c r="AS682" t="s">
        <v>7815</v>
      </c>
      <c r="AT682" t="s">
        <v>7816</v>
      </c>
      <c r="AU682">
        <v>2023</v>
      </c>
      <c r="AV682">
        <v>69</v>
      </c>
      <c r="AW682">
        <v>276</v>
      </c>
      <c r="AX682" t="s">
        <v>74</v>
      </c>
      <c r="AY682" t="s">
        <v>74</v>
      </c>
      <c r="AZ682" t="s">
        <v>74</v>
      </c>
      <c r="BA682" t="s">
        <v>74</v>
      </c>
      <c r="BB682">
        <v>723</v>
      </c>
      <c r="BC682">
        <v>736</v>
      </c>
      <c r="BD682" t="s">
        <v>13072</v>
      </c>
      <c r="BE682" t="s">
        <v>13073</v>
      </c>
      <c r="BF682" t="str">
        <f>HYPERLINK("http://dx.doi.org/10.1017/jog.2022.93","http://dx.doi.org/10.1017/jog.2022.93")</f>
        <v>http://dx.doi.org/10.1017/jog.2022.93</v>
      </c>
      <c r="BG682" t="s">
        <v>74</v>
      </c>
      <c r="BH682" t="s">
        <v>11396</v>
      </c>
      <c r="BI682">
        <v>14</v>
      </c>
      <c r="BJ682" t="s">
        <v>611</v>
      </c>
      <c r="BK682" t="s">
        <v>104</v>
      </c>
      <c r="BL682" t="s">
        <v>612</v>
      </c>
      <c r="BM682" t="s">
        <v>7819</v>
      </c>
      <c r="BN682" t="s">
        <v>74</v>
      </c>
      <c r="BO682" t="s">
        <v>4658</v>
      </c>
      <c r="BP682" t="s">
        <v>74</v>
      </c>
      <c r="BQ682" t="s">
        <v>74</v>
      </c>
      <c r="BR682" t="s">
        <v>108</v>
      </c>
      <c r="BS682" t="s">
        <v>13074</v>
      </c>
      <c r="BT682" t="str">
        <f>HYPERLINK("https%3A%2F%2Fwww.webofscience.com%2Fwos%2Fwoscc%2Ffull-record%2FWOS:000889913100001","View Full Record in Web of Science")</f>
        <v>View Full Record in Web of Science</v>
      </c>
    </row>
    <row r="683" spans="1:72" x14ac:dyDescent="0.15">
      <c r="A683" t="s">
        <v>72</v>
      </c>
      <c r="B683" t="s">
        <v>13075</v>
      </c>
      <c r="C683" t="s">
        <v>74</v>
      </c>
      <c r="D683" t="s">
        <v>74</v>
      </c>
      <c r="E683" t="s">
        <v>74</v>
      </c>
      <c r="F683" t="s">
        <v>13076</v>
      </c>
      <c r="G683" t="s">
        <v>74</v>
      </c>
      <c r="H683" t="s">
        <v>74</v>
      </c>
      <c r="I683" t="s">
        <v>13077</v>
      </c>
      <c r="J683" t="s">
        <v>7798</v>
      </c>
      <c r="K683" t="s">
        <v>74</v>
      </c>
      <c r="L683" t="s">
        <v>74</v>
      </c>
      <c r="M683" t="s">
        <v>78</v>
      </c>
      <c r="N683" t="s">
        <v>79</v>
      </c>
      <c r="O683" t="s">
        <v>74</v>
      </c>
      <c r="P683" t="s">
        <v>74</v>
      </c>
      <c r="Q683" t="s">
        <v>74</v>
      </c>
      <c r="R683" t="s">
        <v>74</v>
      </c>
      <c r="S683" t="s">
        <v>74</v>
      </c>
      <c r="T683" t="s">
        <v>13078</v>
      </c>
      <c r="U683" t="s">
        <v>13079</v>
      </c>
      <c r="V683" t="s">
        <v>13080</v>
      </c>
      <c r="W683" t="s">
        <v>13081</v>
      </c>
      <c r="X683" t="s">
        <v>13082</v>
      </c>
      <c r="Y683" t="s">
        <v>13083</v>
      </c>
      <c r="Z683" t="s">
        <v>13084</v>
      </c>
      <c r="AA683" t="s">
        <v>74</v>
      </c>
      <c r="AB683" t="s">
        <v>13085</v>
      </c>
      <c r="AC683" t="s">
        <v>13086</v>
      </c>
      <c r="AD683" t="s">
        <v>13087</v>
      </c>
      <c r="AE683" t="s">
        <v>13088</v>
      </c>
      <c r="AF683" t="s">
        <v>74</v>
      </c>
      <c r="AG683">
        <v>35</v>
      </c>
      <c r="AH683">
        <v>1</v>
      </c>
      <c r="AI683">
        <v>1</v>
      </c>
      <c r="AJ683">
        <v>1</v>
      </c>
      <c r="AK683">
        <v>4</v>
      </c>
      <c r="AL683" t="s">
        <v>92</v>
      </c>
      <c r="AM683" t="s">
        <v>7640</v>
      </c>
      <c r="AN683" t="s">
        <v>7811</v>
      </c>
      <c r="AO683" t="s">
        <v>7812</v>
      </c>
      <c r="AP683" t="s">
        <v>7813</v>
      </c>
      <c r="AQ683" t="s">
        <v>74</v>
      </c>
      <c r="AR683" t="s">
        <v>7814</v>
      </c>
      <c r="AS683" t="s">
        <v>7815</v>
      </c>
      <c r="AT683" t="s">
        <v>7816</v>
      </c>
      <c r="AU683">
        <v>2023</v>
      </c>
      <c r="AV683">
        <v>69</v>
      </c>
      <c r="AW683">
        <v>276</v>
      </c>
      <c r="AX683" t="s">
        <v>74</v>
      </c>
      <c r="AY683" t="s">
        <v>74</v>
      </c>
      <c r="AZ683" t="s">
        <v>74</v>
      </c>
      <c r="BA683" t="s">
        <v>74</v>
      </c>
      <c r="BB683">
        <v>803</v>
      </c>
      <c r="BC683">
        <v>810</v>
      </c>
      <c r="BD683" t="s">
        <v>13089</v>
      </c>
      <c r="BE683" t="s">
        <v>13090</v>
      </c>
      <c r="BF683" t="str">
        <f>HYPERLINK("http://dx.doi.org/10.1017/jog.2022.99","http://dx.doi.org/10.1017/jog.2022.99")</f>
        <v>http://dx.doi.org/10.1017/jog.2022.99</v>
      </c>
      <c r="BG683" t="s">
        <v>74</v>
      </c>
      <c r="BH683" t="s">
        <v>11396</v>
      </c>
      <c r="BI683">
        <v>8</v>
      </c>
      <c r="BJ683" t="s">
        <v>611</v>
      </c>
      <c r="BK683" t="s">
        <v>104</v>
      </c>
      <c r="BL683" t="s">
        <v>612</v>
      </c>
      <c r="BM683" t="s">
        <v>7819</v>
      </c>
      <c r="BN683" t="s">
        <v>74</v>
      </c>
      <c r="BO683" t="s">
        <v>165</v>
      </c>
      <c r="BP683" t="s">
        <v>74</v>
      </c>
      <c r="BQ683" t="s">
        <v>74</v>
      </c>
      <c r="BR683" t="s">
        <v>108</v>
      </c>
      <c r="BS683" t="s">
        <v>13091</v>
      </c>
      <c r="BT683" t="str">
        <f>HYPERLINK("https%3A%2F%2Fwww.webofscience.com%2Fwos%2Fwoscc%2Ffull-record%2FWOS:000889226300001","View Full Record in Web of Science")</f>
        <v>View Full Record in Web of Science</v>
      </c>
    </row>
    <row r="684" spans="1:72" x14ac:dyDescent="0.15">
      <c r="A684" t="s">
        <v>72</v>
      </c>
      <c r="B684" t="s">
        <v>13092</v>
      </c>
      <c r="C684" t="s">
        <v>74</v>
      </c>
      <c r="D684" t="s">
        <v>74</v>
      </c>
      <c r="E684" t="s">
        <v>74</v>
      </c>
      <c r="F684" t="s">
        <v>13093</v>
      </c>
      <c r="G684" t="s">
        <v>74</v>
      </c>
      <c r="H684" t="s">
        <v>74</v>
      </c>
      <c r="I684" t="s">
        <v>13094</v>
      </c>
      <c r="J684" t="s">
        <v>13095</v>
      </c>
      <c r="K684" t="s">
        <v>74</v>
      </c>
      <c r="L684" t="s">
        <v>74</v>
      </c>
      <c r="M684" t="s">
        <v>78</v>
      </c>
      <c r="N684" t="s">
        <v>79</v>
      </c>
      <c r="O684" t="s">
        <v>74</v>
      </c>
      <c r="P684" t="s">
        <v>74</v>
      </c>
      <c r="Q684" t="s">
        <v>74</v>
      </c>
      <c r="R684" t="s">
        <v>74</v>
      </c>
      <c r="S684" t="s">
        <v>74</v>
      </c>
      <c r="T684" t="s">
        <v>13096</v>
      </c>
      <c r="U684" t="s">
        <v>13097</v>
      </c>
      <c r="V684" t="s">
        <v>13098</v>
      </c>
      <c r="W684" t="s">
        <v>13099</v>
      </c>
      <c r="X684" t="s">
        <v>13100</v>
      </c>
      <c r="Y684" t="s">
        <v>13101</v>
      </c>
      <c r="Z684" t="s">
        <v>13102</v>
      </c>
      <c r="AA684" t="s">
        <v>13103</v>
      </c>
      <c r="AB684" t="s">
        <v>13104</v>
      </c>
      <c r="AC684" t="s">
        <v>13105</v>
      </c>
      <c r="AD684" t="s">
        <v>13106</v>
      </c>
      <c r="AE684" t="s">
        <v>13107</v>
      </c>
      <c r="AF684" t="s">
        <v>74</v>
      </c>
      <c r="AG684">
        <v>71</v>
      </c>
      <c r="AH684">
        <v>1</v>
      </c>
      <c r="AI684">
        <v>1</v>
      </c>
      <c r="AJ684">
        <v>1</v>
      </c>
      <c r="AK684">
        <v>5</v>
      </c>
      <c r="AL684" t="s">
        <v>13108</v>
      </c>
      <c r="AM684" t="s">
        <v>13109</v>
      </c>
      <c r="AN684" t="s">
        <v>13110</v>
      </c>
      <c r="AO684" t="s">
        <v>13111</v>
      </c>
      <c r="AP684" t="s">
        <v>74</v>
      </c>
      <c r="AQ684" t="s">
        <v>74</v>
      </c>
      <c r="AR684" t="s">
        <v>13112</v>
      </c>
      <c r="AS684" t="s">
        <v>13113</v>
      </c>
      <c r="AT684" t="s">
        <v>13021</v>
      </c>
      <c r="AU684">
        <v>2022</v>
      </c>
      <c r="AV684">
        <v>12</v>
      </c>
      <c r="AW684" t="s">
        <v>74</v>
      </c>
      <c r="AX684" t="s">
        <v>74</v>
      </c>
      <c r="AY684" t="s">
        <v>74</v>
      </c>
      <c r="AZ684" t="s">
        <v>74</v>
      </c>
      <c r="BA684" t="s">
        <v>74</v>
      </c>
      <c r="BB684" t="s">
        <v>74</v>
      </c>
      <c r="BC684" t="s">
        <v>74</v>
      </c>
      <c r="BD684">
        <v>39</v>
      </c>
      <c r="BE684" t="s">
        <v>13114</v>
      </c>
      <c r="BF684" t="str">
        <f>HYPERLINK("http://dx.doi.org/10.1051/swsc/2022037","http://dx.doi.org/10.1051/swsc/2022037")</f>
        <v>http://dx.doi.org/10.1051/swsc/2022037</v>
      </c>
      <c r="BG684" t="s">
        <v>74</v>
      </c>
      <c r="BH684" t="s">
        <v>74</v>
      </c>
      <c r="BI684">
        <v>15</v>
      </c>
      <c r="BJ684" t="s">
        <v>4246</v>
      </c>
      <c r="BK684" t="s">
        <v>104</v>
      </c>
      <c r="BL684" t="s">
        <v>4246</v>
      </c>
      <c r="BM684" t="s">
        <v>13115</v>
      </c>
      <c r="BN684" t="s">
        <v>74</v>
      </c>
      <c r="BO684" t="s">
        <v>3181</v>
      </c>
      <c r="BP684" t="s">
        <v>74</v>
      </c>
      <c r="BQ684" t="s">
        <v>74</v>
      </c>
      <c r="BR684" t="s">
        <v>108</v>
      </c>
      <c r="BS684" t="s">
        <v>13116</v>
      </c>
      <c r="BT684" t="str">
        <f>HYPERLINK("https%3A%2F%2Fwww.webofscience.com%2Fwos%2Fwoscc%2Ffull-record%2FWOS:000888436100001","View Full Record in Web of Science")</f>
        <v>View Full Record in Web of Science</v>
      </c>
    </row>
    <row r="685" spans="1:72" x14ac:dyDescent="0.15">
      <c r="A685" t="s">
        <v>72</v>
      </c>
      <c r="B685" t="s">
        <v>13117</v>
      </c>
      <c r="C685" t="s">
        <v>74</v>
      </c>
      <c r="D685" t="s">
        <v>74</v>
      </c>
      <c r="E685" t="s">
        <v>74</v>
      </c>
      <c r="F685" t="s">
        <v>13118</v>
      </c>
      <c r="G685" t="s">
        <v>74</v>
      </c>
      <c r="H685" t="s">
        <v>74</v>
      </c>
      <c r="I685" t="s">
        <v>13119</v>
      </c>
      <c r="J685" t="s">
        <v>13120</v>
      </c>
      <c r="K685" t="s">
        <v>74</v>
      </c>
      <c r="L685" t="s">
        <v>74</v>
      </c>
      <c r="M685" t="s">
        <v>78</v>
      </c>
      <c r="N685" t="s">
        <v>79</v>
      </c>
      <c r="O685" t="s">
        <v>74</v>
      </c>
      <c r="P685" t="s">
        <v>74</v>
      </c>
      <c r="Q685" t="s">
        <v>74</v>
      </c>
      <c r="R685" t="s">
        <v>74</v>
      </c>
      <c r="S685" t="s">
        <v>74</v>
      </c>
      <c r="T685" t="s">
        <v>74</v>
      </c>
      <c r="U685" t="s">
        <v>13121</v>
      </c>
      <c r="V685" t="s">
        <v>13122</v>
      </c>
      <c r="W685" t="s">
        <v>13123</v>
      </c>
      <c r="X685" t="s">
        <v>13124</v>
      </c>
      <c r="Y685" t="s">
        <v>13125</v>
      </c>
      <c r="Z685" t="s">
        <v>13126</v>
      </c>
      <c r="AA685" t="s">
        <v>74</v>
      </c>
      <c r="AB685" t="s">
        <v>13127</v>
      </c>
      <c r="AC685" t="s">
        <v>13128</v>
      </c>
      <c r="AD685" t="s">
        <v>13129</v>
      </c>
      <c r="AE685" t="s">
        <v>13130</v>
      </c>
      <c r="AF685" t="s">
        <v>74</v>
      </c>
      <c r="AG685">
        <v>76</v>
      </c>
      <c r="AH685">
        <v>2</v>
      </c>
      <c r="AI685">
        <v>2</v>
      </c>
      <c r="AJ685">
        <v>1</v>
      </c>
      <c r="AK685">
        <v>3</v>
      </c>
      <c r="AL685" t="s">
        <v>126</v>
      </c>
      <c r="AM685" t="s">
        <v>127</v>
      </c>
      <c r="AN685" t="s">
        <v>128</v>
      </c>
      <c r="AO685" t="s">
        <v>13131</v>
      </c>
      <c r="AP685" t="s">
        <v>13132</v>
      </c>
      <c r="AQ685" t="s">
        <v>74</v>
      </c>
      <c r="AR685" t="s">
        <v>13120</v>
      </c>
      <c r="AS685" t="s">
        <v>13133</v>
      </c>
      <c r="AT685" t="s">
        <v>13021</v>
      </c>
      <c r="AU685">
        <v>2022</v>
      </c>
      <c r="AV685">
        <v>13</v>
      </c>
      <c r="AW685">
        <v>11</v>
      </c>
      <c r="AX685" t="s">
        <v>74</v>
      </c>
      <c r="AY685" t="s">
        <v>74</v>
      </c>
      <c r="AZ685" t="s">
        <v>74</v>
      </c>
      <c r="BA685" t="s">
        <v>74</v>
      </c>
      <c r="BB685">
        <v>1755</v>
      </c>
      <c r="BC685">
        <v>1780</v>
      </c>
      <c r="BD685" t="s">
        <v>74</v>
      </c>
      <c r="BE685" t="s">
        <v>13134</v>
      </c>
      <c r="BF685" t="str">
        <f>HYPERLINK("http://dx.doi.org/10.5194/se-13-1755-2022","http://dx.doi.org/10.5194/se-13-1755-2022")</f>
        <v>http://dx.doi.org/10.5194/se-13-1755-2022</v>
      </c>
      <c r="BG685" t="s">
        <v>74</v>
      </c>
      <c r="BH685" t="s">
        <v>74</v>
      </c>
      <c r="BI685">
        <v>26</v>
      </c>
      <c r="BJ685" t="s">
        <v>430</v>
      </c>
      <c r="BK685" t="s">
        <v>104</v>
      </c>
      <c r="BL685" t="s">
        <v>430</v>
      </c>
      <c r="BM685" t="s">
        <v>13135</v>
      </c>
      <c r="BN685" t="s">
        <v>74</v>
      </c>
      <c r="BO685" t="s">
        <v>1464</v>
      </c>
      <c r="BP685" t="s">
        <v>74</v>
      </c>
      <c r="BQ685" t="s">
        <v>74</v>
      </c>
      <c r="BR685" t="s">
        <v>108</v>
      </c>
      <c r="BS685" t="s">
        <v>13136</v>
      </c>
      <c r="BT685" t="str">
        <f>HYPERLINK("https%3A%2F%2Fwww.webofscience.com%2Fwos%2Fwoscc%2Ffull-record%2FWOS:000886673500001","View Full Record in Web of Science")</f>
        <v>View Full Record in Web of Science</v>
      </c>
    </row>
    <row r="686" spans="1:72" x14ac:dyDescent="0.15">
      <c r="A686" t="s">
        <v>72</v>
      </c>
      <c r="B686" t="s">
        <v>13137</v>
      </c>
      <c r="C686" t="s">
        <v>74</v>
      </c>
      <c r="D686" t="s">
        <v>74</v>
      </c>
      <c r="E686" t="s">
        <v>74</v>
      </c>
      <c r="F686" t="s">
        <v>13138</v>
      </c>
      <c r="G686" t="s">
        <v>74</v>
      </c>
      <c r="H686" t="s">
        <v>74</v>
      </c>
      <c r="I686" t="s">
        <v>13139</v>
      </c>
      <c r="J686" t="s">
        <v>7124</v>
      </c>
      <c r="K686" t="s">
        <v>74</v>
      </c>
      <c r="L686" t="s">
        <v>74</v>
      </c>
      <c r="M686" t="s">
        <v>78</v>
      </c>
      <c r="N686" t="s">
        <v>6601</v>
      </c>
      <c r="O686" t="s">
        <v>74</v>
      </c>
      <c r="P686" t="s">
        <v>74</v>
      </c>
      <c r="Q686" t="s">
        <v>74</v>
      </c>
      <c r="R686" t="s">
        <v>74</v>
      </c>
      <c r="S686" t="s">
        <v>74</v>
      </c>
      <c r="T686" t="s">
        <v>74</v>
      </c>
      <c r="U686" t="s">
        <v>13140</v>
      </c>
      <c r="V686" t="s">
        <v>13141</v>
      </c>
      <c r="W686" t="s">
        <v>13142</v>
      </c>
      <c r="X686" t="s">
        <v>13143</v>
      </c>
      <c r="Y686" t="s">
        <v>13144</v>
      </c>
      <c r="Z686" t="s">
        <v>13145</v>
      </c>
      <c r="AA686" t="s">
        <v>13146</v>
      </c>
      <c r="AB686" t="s">
        <v>13147</v>
      </c>
      <c r="AC686" t="s">
        <v>13148</v>
      </c>
      <c r="AD686" t="s">
        <v>13149</v>
      </c>
      <c r="AE686" t="s">
        <v>13150</v>
      </c>
      <c r="AF686" t="s">
        <v>74</v>
      </c>
      <c r="AG686">
        <v>96</v>
      </c>
      <c r="AH686">
        <v>6</v>
      </c>
      <c r="AI686">
        <v>6</v>
      </c>
      <c r="AJ686">
        <v>5</v>
      </c>
      <c r="AK686">
        <v>30</v>
      </c>
      <c r="AL686" t="s">
        <v>126</v>
      </c>
      <c r="AM686" t="s">
        <v>127</v>
      </c>
      <c r="AN686" t="s">
        <v>128</v>
      </c>
      <c r="AO686" t="s">
        <v>7136</v>
      </c>
      <c r="AP686" t="s">
        <v>7137</v>
      </c>
      <c r="AQ686" t="s">
        <v>74</v>
      </c>
      <c r="AR686" t="s">
        <v>7138</v>
      </c>
      <c r="AS686" t="s">
        <v>7139</v>
      </c>
      <c r="AT686" t="s">
        <v>13021</v>
      </c>
      <c r="AU686">
        <v>2022</v>
      </c>
      <c r="AV686">
        <v>14</v>
      </c>
      <c r="AW686">
        <v>11</v>
      </c>
      <c r="AX686" t="s">
        <v>74</v>
      </c>
      <c r="AY686" t="s">
        <v>74</v>
      </c>
      <c r="AZ686" t="s">
        <v>74</v>
      </c>
      <c r="BA686" t="s">
        <v>74</v>
      </c>
      <c r="BB686">
        <v>5037</v>
      </c>
      <c r="BC686">
        <v>5060</v>
      </c>
      <c r="BD686" t="s">
        <v>74</v>
      </c>
      <c r="BE686" t="s">
        <v>13151</v>
      </c>
      <c r="BF686" t="str">
        <f>HYPERLINK("http://dx.doi.org/10.5194/essd-14-5037-2022","http://dx.doi.org/10.5194/essd-14-5037-2022")</f>
        <v>http://dx.doi.org/10.5194/essd-14-5037-2022</v>
      </c>
      <c r="BG686" t="s">
        <v>74</v>
      </c>
      <c r="BH686" t="s">
        <v>74</v>
      </c>
      <c r="BI686">
        <v>24</v>
      </c>
      <c r="BJ686" t="s">
        <v>135</v>
      </c>
      <c r="BK686" t="s">
        <v>104</v>
      </c>
      <c r="BL686" t="s">
        <v>136</v>
      </c>
      <c r="BM686" t="s">
        <v>13152</v>
      </c>
      <c r="BN686" t="s">
        <v>74</v>
      </c>
      <c r="BO686" t="s">
        <v>737</v>
      </c>
      <c r="BP686" t="s">
        <v>74</v>
      </c>
      <c r="BQ686" t="s">
        <v>74</v>
      </c>
      <c r="BR686" t="s">
        <v>108</v>
      </c>
      <c r="BS686" t="s">
        <v>13153</v>
      </c>
      <c r="BT686" t="str">
        <f>HYPERLINK("https%3A%2F%2Fwww.webofscience.com%2Fwos%2Fwoscc%2Ffull-record%2FWOS:000886674600001","View Full Record in Web of Science")</f>
        <v>View Full Record in Web of Science</v>
      </c>
    </row>
    <row r="687" spans="1:72" x14ac:dyDescent="0.15">
      <c r="A687" t="s">
        <v>72</v>
      </c>
      <c r="B687" t="s">
        <v>13154</v>
      </c>
      <c r="C687" t="s">
        <v>74</v>
      </c>
      <c r="D687" t="s">
        <v>74</v>
      </c>
      <c r="E687" t="s">
        <v>74</v>
      </c>
      <c r="F687" t="s">
        <v>13155</v>
      </c>
      <c r="G687" t="s">
        <v>74</v>
      </c>
      <c r="H687" t="s">
        <v>74</v>
      </c>
      <c r="I687" t="s">
        <v>13156</v>
      </c>
      <c r="J687" t="s">
        <v>618</v>
      </c>
      <c r="K687" t="s">
        <v>74</v>
      </c>
      <c r="L687" t="s">
        <v>74</v>
      </c>
      <c r="M687" t="s">
        <v>78</v>
      </c>
      <c r="N687" t="s">
        <v>79</v>
      </c>
      <c r="O687" t="s">
        <v>74</v>
      </c>
      <c r="P687" t="s">
        <v>74</v>
      </c>
      <c r="Q687" t="s">
        <v>74</v>
      </c>
      <c r="R687" t="s">
        <v>74</v>
      </c>
      <c r="S687" t="s">
        <v>74</v>
      </c>
      <c r="T687" t="s">
        <v>13157</v>
      </c>
      <c r="U687" t="s">
        <v>13158</v>
      </c>
      <c r="V687" t="s">
        <v>13159</v>
      </c>
      <c r="W687" t="s">
        <v>13160</v>
      </c>
      <c r="X687" t="s">
        <v>778</v>
      </c>
      <c r="Y687" t="s">
        <v>13161</v>
      </c>
      <c r="Z687" t="s">
        <v>13162</v>
      </c>
      <c r="AA687" t="s">
        <v>13163</v>
      </c>
      <c r="AB687" t="s">
        <v>74</v>
      </c>
      <c r="AC687" t="s">
        <v>13164</v>
      </c>
      <c r="AD687" t="s">
        <v>13164</v>
      </c>
      <c r="AE687" t="s">
        <v>13165</v>
      </c>
      <c r="AF687" t="s">
        <v>74</v>
      </c>
      <c r="AG687">
        <v>103</v>
      </c>
      <c r="AH687">
        <v>3</v>
      </c>
      <c r="AI687">
        <v>3</v>
      </c>
      <c r="AJ687">
        <v>5</v>
      </c>
      <c r="AK687">
        <v>13</v>
      </c>
      <c r="AL687" t="s">
        <v>269</v>
      </c>
      <c r="AM687" t="s">
        <v>93</v>
      </c>
      <c r="AN687" t="s">
        <v>397</v>
      </c>
      <c r="AO687" t="s">
        <v>630</v>
      </c>
      <c r="AP687" t="s">
        <v>631</v>
      </c>
      <c r="AQ687" t="s">
        <v>74</v>
      </c>
      <c r="AR687" t="s">
        <v>632</v>
      </c>
      <c r="AS687" t="s">
        <v>633</v>
      </c>
      <c r="AT687" t="s">
        <v>9001</v>
      </c>
      <c r="AU687">
        <v>2022</v>
      </c>
      <c r="AV687">
        <v>45</v>
      </c>
      <c r="AW687">
        <v>12</v>
      </c>
      <c r="AX687" t="s">
        <v>74</v>
      </c>
      <c r="AY687" t="s">
        <v>74</v>
      </c>
      <c r="AZ687" t="s">
        <v>74</v>
      </c>
      <c r="BA687" t="s">
        <v>74</v>
      </c>
      <c r="BB687">
        <v>1673</v>
      </c>
      <c r="BC687">
        <v>1688</v>
      </c>
      <c r="BD687" t="s">
        <v>74</v>
      </c>
      <c r="BE687" t="s">
        <v>13166</v>
      </c>
      <c r="BF687" t="str">
        <f>HYPERLINK("http://dx.doi.org/10.1007/s00300-022-03099-0","http://dx.doi.org/10.1007/s00300-022-03099-0")</f>
        <v>http://dx.doi.org/10.1007/s00300-022-03099-0</v>
      </c>
      <c r="BG687" t="s">
        <v>74</v>
      </c>
      <c r="BH687" t="s">
        <v>11396</v>
      </c>
      <c r="BI687">
        <v>16</v>
      </c>
      <c r="BJ687" t="s">
        <v>305</v>
      </c>
      <c r="BK687" t="s">
        <v>104</v>
      </c>
      <c r="BL687" t="s">
        <v>306</v>
      </c>
      <c r="BM687" t="s">
        <v>13167</v>
      </c>
      <c r="BN687" t="s">
        <v>74</v>
      </c>
      <c r="BO687" t="s">
        <v>248</v>
      </c>
      <c r="BP687" t="s">
        <v>74</v>
      </c>
      <c r="BQ687" t="s">
        <v>74</v>
      </c>
      <c r="BR687" t="s">
        <v>108</v>
      </c>
      <c r="BS687" t="s">
        <v>13168</v>
      </c>
      <c r="BT687" t="str">
        <f>HYPERLINK("https%3A%2F%2Fwww.webofscience.com%2Fwos%2Fwoscc%2Ffull-record%2FWOS:000885215800001","View Full Record in Web of Science")</f>
        <v>View Full Record in Web of Science</v>
      </c>
    </row>
    <row r="688" spans="1:72" x14ac:dyDescent="0.15">
      <c r="A688" t="s">
        <v>72</v>
      </c>
      <c r="B688" t="s">
        <v>13169</v>
      </c>
      <c r="C688" t="s">
        <v>74</v>
      </c>
      <c r="D688" t="s">
        <v>74</v>
      </c>
      <c r="E688" t="s">
        <v>74</v>
      </c>
      <c r="F688" t="s">
        <v>13170</v>
      </c>
      <c r="G688" t="s">
        <v>74</v>
      </c>
      <c r="H688" t="s">
        <v>74</v>
      </c>
      <c r="I688" t="s">
        <v>13171</v>
      </c>
      <c r="J688" t="s">
        <v>13172</v>
      </c>
      <c r="K688" t="s">
        <v>74</v>
      </c>
      <c r="L688" t="s">
        <v>74</v>
      </c>
      <c r="M688" t="s">
        <v>78</v>
      </c>
      <c r="N688" t="s">
        <v>5927</v>
      </c>
      <c r="O688" t="s">
        <v>74</v>
      </c>
      <c r="P688" t="s">
        <v>74</v>
      </c>
      <c r="Q688" t="s">
        <v>74</v>
      </c>
      <c r="R688" t="s">
        <v>74</v>
      </c>
      <c r="S688" t="s">
        <v>74</v>
      </c>
      <c r="T688" t="s">
        <v>74</v>
      </c>
      <c r="U688" t="s">
        <v>74</v>
      </c>
      <c r="V688" t="s">
        <v>74</v>
      </c>
      <c r="W688" t="s">
        <v>74</v>
      </c>
      <c r="X688" t="s">
        <v>74</v>
      </c>
      <c r="Y688" t="s">
        <v>74</v>
      </c>
      <c r="Z688" t="s">
        <v>13173</v>
      </c>
      <c r="AA688" t="s">
        <v>13174</v>
      </c>
      <c r="AB688" t="s">
        <v>13175</v>
      </c>
      <c r="AC688" t="s">
        <v>74</v>
      </c>
      <c r="AD688" t="s">
        <v>74</v>
      </c>
      <c r="AE688" t="s">
        <v>74</v>
      </c>
      <c r="AF688" t="s">
        <v>74</v>
      </c>
      <c r="AG688">
        <v>1</v>
      </c>
      <c r="AH688">
        <v>0</v>
      </c>
      <c r="AI688">
        <v>0</v>
      </c>
      <c r="AJ688">
        <v>1</v>
      </c>
      <c r="AK688">
        <v>9</v>
      </c>
      <c r="AL688" t="s">
        <v>374</v>
      </c>
      <c r="AM688" t="s">
        <v>375</v>
      </c>
      <c r="AN688" t="s">
        <v>376</v>
      </c>
      <c r="AO688" t="s">
        <v>74</v>
      </c>
      <c r="AP688" t="s">
        <v>13176</v>
      </c>
      <c r="AQ688" t="s">
        <v>74</v>
      </c>
      <c r="AR688" t="s">
        <v>13177</v>
      </c>
      <c r="AS688" t="s">
        <v>13178</v>
      </c>
      <c r="AT688" t="s">
        <v>276</v>
      </c>
      <c r="AU688">
        <v>2023</v>
      </c>
      <c r="AV688">
        <v>4</v>
      </c>
      <c r="AW688">
        <v>1</v>
      </c>
      <c r="AX688" t="s">
        <v>74</v>
      </c>
      <c r="AY688" t="s">
        <v>74</v>
      </c>
      <c r="AZ688" t="s">
        <v>74</v>
      </c>
      <c r="BA688" t="s">
        <v>74</v>
      </c>
      <c r="BB688">
        <v>65</v>
      </c>
      <c r="BC688">
        <v>65</v>
      </c>
      <c r="BD688" t="s">
        <v>74</v>
      </c>
      <c r="BE688" t="s">
        <v>13179</v>
      </c>
      <c r="BF688" t="str">
        <f>HYPERLINK("http://dx.doi.org/10.1038/s43017-022-00377-7","http://dx.doi.org/10.1038/s43017-022-00377-7")</f>
        <v>http://dx.doi.org/10.1038/s43017-022-00377-7</v>
      </c>
      <c r="BG688" t="s">
        <v>74</v>
      </c>
      <c r="BH688" t="s">
        <v>11396</v>
      </c>
      <c r="BI688">
        <v>1</v>
      </c>
      <c r="BJ688" t="s">
        <v>10435</v>
      </c>
      <c r="BK688" t="s">
        <v>104</v>
      </c>
      <c r="BL688" t="s">
        <v>735</v>
      </c>
      <c r="BM688" t="s">
        <v>13180</v>
      </c>
      <c r="BN688" t="s">
        <v>74</v>
      </c>
      <c r="BO688" t="s">
        <v>660</v>
      </c>
      <c r="BP688" t="s">
        <v>74</v>
      </c>
      <c r="BQ688" t="s">
        <v>74</v>
      </c>
      <c r="BR688" t="s">
        <v>108</v>
      </c>
      <c r="BS688" t="s">
        <v>13181</v>
      </c>
      <c r="BT688" t="str">
        <f>HYPERLINK("https%3A%2F%2Fwww.webofscience.com%2Fwos%2Fwoscc%2Ffull-record%2FWOS:000885211100001","View Full Record in Web of Science")</f>
        <v>View Full Record in Web of Science</v>
      </c>
    </row>
    <row r="689" spans="1:72" x14ac:dyDescent="0.15">
      <c r="A689" t="s">
        <v>72</v>
      </c>
      <c r="B689" t="s">
        <v>13182</v>
      </c>
      <c r="C689" t="s">
        <v>74</v>
      </c>
      <c r="D689" t="s">
        <v>74</v>
      </c>
      <c r="E689" t="s">
        <v>74</v>
      </c>
      <c r="F689" t="s">
        <v>13183</v>
      </c>
      <c r="G689" t="s">
        <v>74</v>
      </c>
      <c r="H689" t="s">
        <v>74</v>
      </c>
      <c r="I689" t="s">
        <v>13184</v>
      </c>
      <c r="J689" t="s">
        <v>7102</v>
      </c>
      <c r="K689" t="s">
        <v>74</v>
      </c>
      <c r="L689" t="s">
        <v>74</v>
      </c>
      <c r="M689" t="s">
        <v>78</v>
      </c>
      <c r="N689" t="s">
        <v>79</v>
      </c>
      <c r="O689" t="s">
        <v>74</v>
      </c>
      <c r="P689" t="s">
        <v>74</v>
      </c>
      <c r="Q689" t="s">
        <v>74</v>
      </c>
      <c r="R689" t="s">
        <v>74</v>
      </c>
      <c r="S689" t="s">
        <v>74</v>
      </c>
      <c r="T689" t="s">
        <v>13185</v>
      </c>
      <c r="U689" t="s">
        <v>13186</v>
      </c>
      <c r="V689" t="s">
        <v>13187</v>
      </c>
      <c r="W689" t="s">
        <v>13188</v>
      </c>
      <c r="X689" t="s">
        <v>13189</v>
      </c>
      <c r="Y689" t="s">
        <v>13190</v>
      </c>
      <c r="Z689" t="s">
        <v>13191</v>
      </c>
      <c r="AA689" t="s">
        <v>74</v>
      </c>
      <c r="AB689" t="s">
        <v>13192</v>
      </c>
      <c r="AC689" t="s">
        <v>13193</v>
      </c>
      <c r="AD689" t="s">
        <v>13194</v>
      </c>
      <c r="AE689" t="s">
        <v>13195</v>
      </c>
      <c r="AF689" t="s">
        <v>74</v>
      </c>
      <c r="AG689">
        <v>93</v>
      </c>
      <c r="AH689">
        <v>8</v>
      </c>
      <c r="AI689">
        <v>8</v>
      </c>
      <c r="AJ689">
        <v>4</v>
      </c>
      <c r="AK689">
        <v>15</v>
      </c>
      <c r="AL689" t="s">
        <v>448</v>
      </c>
      <c r="AM689" t="s">
        <v>449</v>
      </c>
      <c r="AN689" t="s">
        <v>450</v>
      </c>
      <c r="AO689" t="s">
        <v>74</v>
      </c>
      <c r="AP689" t="s">
        <v>7115</v>
      </c>
      <c r="AQ689" t="s">
        <v>74</v>
      </c>
      <c r="AR689" t="s">
        <v>7116</v>
      </c>
      <c r="AS689" t="s">
        <v>7117</v>
      </c>
      <c r="AT689" t="s">
        <v>13196</v>
      </c>
      <c r="AU689">
        <v>2022</v>
      </c>
      <c r="AV689">
        <v>9</v>
      </c>
      <c r="AW689" t="s">
        <v>74</v>
      </c>
      <c r="AX689" t="s">
        <v>74</v>
      </c>
      <c r="AY689" t="s">
        <v>74</v>
      </c>
      <c r="AZ689" t="s">
        <v>74</v>
      </c>
      <c r="BA689" t="s">
        <v>74</v>
      </c>
      <c r="BB689" t="s">
        <v>74</v>
      </c>
      <c r="BC689" t="s">
        <v>74</v>
      </c>
      <c r="BD689">
        <v>942799</v>
      </c>
      <c r="BE689" t="s">
        <v>13197</v>
      </c>
      <c r="BF689" t="str">
        <f>HYPERLINK("http://dx.doi.org/10.3389/fmars.2022.942799","http://dx.doi.org/10.3389/fmars.2022.942799")</f>
        <v>http://dx.doi.org/10.3389/fmars.2022.942799</v>
      </c>
      <c r="BG689" t="s">
        <v>74</v>
      </c>
      <c r="BH689" t="s">
        <v>74</v>
      </c>
      <c r="BI689">
        <v>16</v>
      </c>
      <c r="BJ689" t="s">
        <v>6728</v>
      </c>
      <c r="BK689" t="s">
        <v>104</v>
      </c>
      <c r="BL689" t="s">
        <v>6729</v>
      </c>
      <c r="BM689" t="s">
        <v>13198</v>
      </c>
      <c r="BN689" t="s">
        <v>74</v>
      </c>
      <c r="BO689" t="s">
        <v>165</v>
      </c>
      <c r="BP689" t="s">
        <v>74</v>
      </c>
      <c r="BQ689" t="s">
        <v>74</v>
      </c>
      <c r="BR689" t="s">
        <v>108</v>
      </c>
      <c r="BS689" t="s">
        <v>13199</v>
      </c>
      <c r="BT689" t="str">
        <f>HYPERLINK("https%3A%2F%2Fwww.webofscience.com%2Fwos%2Fwoscc%2Ffull-record%2FWOS:000892826200001","View Full Record in Web of Science")</f>
        <v>View Full Record in Web of Science</v>
      </c>
    </row>
    <row r="690" spans="1:72" x14ac:dyDescent="0.15">
      <c r="A690" t="s">
        <v>72</v>
      </c>
      <c r="B690" t="s">
        <v>13200</v>
      </c>
      <c r="C690" t="s">
        <v>74</v>
      </c>
      <c r="D690" t="s">
        <v>74</v>
      </c>
      <c r="E690" t="s">
        <v>74</v>
      </c>
      <c r="F690" t="s">
        <v>13201</v>
      </c>
      <c r="G690" t="s">
        <v>74</v>
      </c>
      <c r="H690" t="s">
        <v>74</v>
      </c>
      <c r="I690" t="s">
        <v>13202</v>
      </c>
      <c r="J690" t="s">
        <v>7102</v>
      </c>
      <c r="K690" t="s">
        <v>74</v>
      </c>
      <c r="L690" t="s">
        <v>74</v>
      </c>
      <c r="M690" t="s">
        <v>78</v>
      </c>
      <c r="N690" t="s">
        <v>79</v>
      </c>
      <c r="O690" t="s">
        <v>74</v>
      </c>
      <c r="P690" t="s">
        <v>74</v>
      </c>
      <c r="Q690" t="s">
        <v>74</v>
      </c>
      <c r="R690" t="s">
        <v>74</v>
      </c>
      <c r="S690" t="s">
        <v>74</v>
      </c>
      <c r="T690" t="s">
        <v>13203</v>
      </c>
      <c r="U690" t="s">
        <v>13204</v>
      </c>
      <c r="V690" t="s">
        <v>13205</v>
      </c>
      <c r="W690" t="s">
        <v>13206</v>
      </c>
      <c r="X690" t="s">
        <v>13207</v>
      </c>
      <c r="Y690" t="s">
        <v>13208</v>
      </c>
      <c r="Z690" t="s">
        <v>13209</v>
      </c>
      <c r="AA690" t="s">
        <v>13210</v>
      </c>
      <c r="AB690" t="s">
        <v>13211</v>
      </c>
      <c r="AC690" t="s">
        <v>13212</v>
      </c>
      <c r="AD690" t="s">
        <v>13213</v>
      </c>
      <c r="AE690" t="s">
        <v>13214</v>
      </c>
      <c r="AF690" t="s">
        <v>74</v>
      </c>
      <c r="AG690">
        <v>66</v>
      </c>
      <c r="AH690">
        <v>1</v>
      </c>
      <c r="AI690">
        <v>1</v>
      </c>
      <c r="AJ690">
        <v>2</v>
      </c>
      <c r="AK690">
        <v>9</v>
      </c>
      <c r="AL690" t="s">
        <v>448</v>
      </c>
      <c r="AM690" t="s">
        <v>449</v>
      </c>
      <c r="AN690" t="s">
        <v>450</v>
      </c>
      <c r="AO690" t="s">
        <v>74</v>
      </c>
      <c r="AP690" t="s">
        <v>7115</v>
      </c>
      <c r="AQ690" t="s">
        <v>74</v>
      </c>
      <c r="AR690" t="s">
        <v>7116</v>
      </c>
      <c r="AS690" t="s">
        <v>7117</v>
      </c>
      <c r="AT690" t="s">
        <v>13196</v>
      </c>
      <c r="AU690">
        <v>2022</v>
      </c>
      <c r="AV690">
        <v>9</v>
      </c>
      <c r="AW690" t="s">
        <v>74</v>
      </c>
      <c r="AX690" t="s">
        <v>74</v>
      </c>
      <c r="AY690" t="s">
        <v>74</v>
      </c>
      <c r="AZ690" t="s">
        <v>74</v>
      </c>
      <c r="BA690" t="s">
        <v>74</v>
      </c>
      <c r="BB690" t="s">
        <v>74</v>
      </c>
      <c r="BC690" t="s">
        <v>74</v>
      </c>
      <c r="BD690">
        <v>1055318</v>
      </c>
      <c r="BE690" t="s">
        <v>13215</v>
      </c>
      <c r="BF690" t="str">
        <f>HYPERLINK("http://dx.doi.org/10.3389/fmars.2022.1055318","http://dx.doi.org/10.3389/fmars.2022.1055318")</f>
        <v>http://dx.doi.org/10.3389/fmars.2022.1055318</v>
      </c>
      <c r="BG690" t="s">
        <v>74</v>
      </c>
      <c r="BH690" t="s">
        <v>74</v>
      </c>
      <c r="BI690">
        <v>9</v>
      </c>
      <c r="BJ690" t="s">
        <v>6728</v>
      </c>
      <c r="BK690" t="s">
        <v>104</v>
      </c>
      <c r="BL690" t="s">
        <v>6729</v>
      </c>
      <c r="BM690" t="s">
        <v>13216</v>
      </c>
      <c r="BN690" t="s">
        <v>74</v>
      </c>
      <c r="BO690" t="s">
        <v>4658</v>
      </c>
      <c r="BP690" t="s">
        <v>74</v>
      </c>
      <c r="BQ690" t="s">
        <v>74</v>
      </c>
      <c r="BR690" t="s">
        <v>108</v>
      </c>
      <c r="BS690" t="s">
        <v>13217</v>
      </c>
      <c r="BT690" t="str">
        <f>HYPERLINK("https%3A%2F%2Fwww.webofscience.com%2Fwos%2Fwoscc%2Ffull-record%2FWOS:000892821900001","View Full Record in Web of Science")</f>
        <v>View Full Record in Web of Science</v>
      </c>
    </row>
    <row r="691" spans="1:72" x14ac:dyDescent="0.15">
      <c r="A691" t="s">
        <v>72</v>
      </c>
      <c r="B691" t="s">
        <v>13218</v>
      </c>
      <c r="C691" t="s">
        <v>74</v>
      </c>
      <c r="D691" t="s">
        <v>74</v>
      </c>
      <c r="E691" t="s">
        <v>74</v>
      </c>
      <c r="F691" t="s">
        <v>13219</v>
      </c>
      <c r="G691" t="s">
        <v>74</v>
      </c>
      <c r="H691" t="s">
        <v>74</v>
      </c>
      <c r="I691" t="s">
        <v>13220</v>
      </c>
      <c r="J691" t="s">
        <v>436</v>
      </c>
      <c r="K691" t="s">
        <v>74</v>
      </c>
      <c r="L691" t="s">
        <v>74</v>
      </c>
      <c r="M691" t="s">
        <v>78</v>
      </c>
      <c r="N691" t="s">
        <v>79</v>
      </c>
      <c r="O691" t="s">
        <v>74</v>
      </c>
      <c r="P691" t="s">
        <v>74</v>
      </c>
      <c r="Q691" t="s">
        <v>74</v>
      </c>
      <c r="R691" t="s">
        <v>74</v>
      </c>
      <c r="S691" t="s">
        <v>74</v>
      </c>
      <c r="T691" t="s">
        <v>13221</v>
      </c>
      <c r="U691" t="s">
        <v>13222</v>
      </c>
      <c r="V691" t="s">
        <v>13223</v>
      </c>
      <c r="W691" t="s">
        <v>13224</v>
      </c>
      <c r="X691" t="s">
        <v>13225</v>
      </c>
      <c r="Y691" t="s">
        <v>13226</v>
      </c>
      <c r="Z691" t="s">
        <v>13227</v>
      </c>
      <c r="AA691" t="s">
        <v>13228</v>
      </c>
      <c r="AB691" t="s">
        <v>13229</v>
      </c>
      <c r="AC691" t="s">
        <v>13230</v>
      </c>
      <c r="AD691" t="s">
        <v>13231</v>
      </c>
      <c r="AE691" t="s">
        <v>13232</v>
      </c>
      <c r="AF691" t="s">
        <v>74</v>
      </c>
      <c r="AG691">
        <v>126</v>
      </c>
      <c r="AH691">
        <v>3</v>
      </c>
      <c r="AI691">
        <v>3</v>
      </c>
      <c r="AJ691">
        <v>2</v>
      </c>
      <c r="AK691">
        <v>10</v>
      </c>
      <c r="AL691" t="s">
        <v>448</v>
      </c>
      <c r="AM691" t="s">
        <v>449</v>
      </c>
      <c r="AN691" t="s">
        <v>450</v>
      </c>
      <c r="AO691" t="s">
        <v>74</v>
      </c>
      <c r="AP691" t="s">
        <v>451</v>
      </c>
      <c r="AQ691" t="s">
        <v>74</v>
      </c>
      <c r="AR691" t="s">
        <v>452</v>
      </c>
      <c r="AS691" t="s">
        <v>453</v>
      </c>
      <c r="AT691" t="s">
        <v>13196</v>
      </c>
      <c r="AU691">
        <v>2022</v>
      </c>
      <c r="AV691">
        <v>10</v>
      </c>
      <c r="AW691" t="s">
        <v>74</v>
      </c>
      <c r="AX691" t="s">
        <v>74</v>
      </c>
      <c r="AY691" t="s">
        <v>74</v>
      </c>
      <c r="AZ691" t="s">
        <v>74</v>
      </c>
      <c r="BA691" t="s">
        <v>74</v>
      </c>
      <c r="BB691" t="s">
        <v>74</v>
      </c>
      <c r="BC691" t="s">
        <v>74</v>
      </c>
      <c r="BD691">
        <v>998237</v>
      </c>
      <c r="BE691" t="s">
        <v>13233</v>
      </c>
      <c r="BF691" t="str">
        <f>HYPERLINK("http://dx.doi.org/10.3389/feart.2022.998237","http://dx.doi.org/10.3389/feart.2022.998237")</f>
        <v>http://dx.doi.org/10.3389/feart.2022.998237</v>
      </c>
      <c r="BG691" t="s">
        <v>74</v>
      </c>
      <c r="BH691" t="s">
        <v>74</v>
      </c>
      <c r="BI691">
        <v>20</v>
      </c>
      <c r="BJ691" t="s">
        <v>455</v>
      </c>
      <c r="BK691" t="s">
        <v>104</v>
      </c>
      <c r="BL691" t="s">
        <v>456</v>
      </c>
      <c r="BM691" t="s">
        <v>13234</v>
      </c>
      <c r="BN691" t="s">
        <v>74</v>
      </c>
      <c r="BO691" t="s">
        <v>3181</v>
      </c>
      <c r="BP691" t="s">
        <v>74</v>
      </c>
      <c r="BQ691" t="s">
        <v>74</v>
      </c>
      <c r="BR691" t="s">
        <v>108</v>
      </c>
      <c r="BS691" t="s">
        <v>13235</v>
      </c>
      <c r="BT691" t="str">
        <f>HYPERLINK("https%3A%2F%2Fwww.webofscience.com%2Fwos%2Fwoscc%2Ffull-record%2FWOS:000891831100001","View Full Record in Web of Science")</f>
        <v>View Full Record in Web of Science</v>
      </c>
    </row>
    <row r="692" spans="1:72" x14ac:dyDescent="0.15">
      <c r="A692" t="s">
        <v>72</v>
      </c>
      <c r="B692" t="s">
        <v>13236</v>
      </c>
      <c r="C692" t="s">
        <v>74</v>
      </c>
      <c r="D692" t="s">
        <v>74</v>
      </c>
      <c r="E692" t="s">
        <v>74</v>
      </c>
      <c r="F692" t="s">
        <v>13237</v>
      </c>
      <c r="G692" t="s">
        <v>74</v>
      </c>
      <c r="H692" t="s">
        <v>74</v>
      </c>
      <c r="I692" t="s">
        <v>13238</v>
      </c>
      <c r="J692" t="s">
        <v>170</v>
      </c>
      <c r="K692" t="s">
        <v>74</v>
      </c>
      <c r="L692" t="s">
        <v>74</v>
      </c>
      <c r="M692" t="s">
        <v>78</v>
      </c>
      <c r="N692" t="s">
        <v>79</v>
      </c>
      <c r="O692" t="s">
        <v>74</v>
      </c>
      <c r="P692" t="s">
        <v>74</v>
      </c>
      <c r="Q692" t="s">
        <v>74</v>
      </c>
      <c r="R692" t="s">
        <v>74</v>
      </c>
      <c r="S692" t="s">
        <v>74</v>
      </c>
      <c r="T692" t="s">
        <v>74</v>
      </c>
      <c r="U692" t="s">
        <v>13239</v>
      </c>
      <c r="V692" t="s">
        <v>13240</v>
      </c>
      <c r="W692" t="s">
        <v>13241</v>
      </c>
      <c r="X692" t="s">
        <v>13242</v>
      </c>
      <c r="Y692" t="s">
        <v>13243</v>
      </c>
      <c r="Z692" t="s">
        <v>13244</v>
      </c>
      <c r="AA692" t="s">
        <v>13245</v>
      </c>
      <c r="AB692" t="s">
        <v>13246</v>
      </c>
      <c r="AC692" t="s">
        <v>13247</v>
      </c>
      <c r="AD692" t="s">
        <v>13248</v>
      </c>
      <c r="AE692" t="s">
        <v>13249</v>
      </c>
      <c r="AF692" t="s">
        <v>74</v>
      </c>
      <c r="AG692">
        <v>81</v>
      </c>
      <c r="AH692">
        <v>5</v>
      </c>
      <c r="AI692">
        <v>6</v>
      </c>
      <c r="AJ692">
        <v>0</v>
      </c>
      <c r="AK692">
        <v>2</v>
      </c>
      <c r="AL692" t="s">
        <v>182</v>
      </c>
      <c r="AM692" t="s">
        <v>183</v>
      </c>
      <c r="AN692" t="s">
        <v>184</v>
      </c>
      <c r="AO692" t="s">
        <v>185</v>
      </c>
      <c r="AP692" t="s">
        <v>74</v>
      </c>
      <c r="AQ692" t="s">
        <v>74</v>
      </c>
      <c r="AR692" t="s">
        <v>186</v>
      </c>
      <c r="AS692" t="s">
        <v>187</v>
      </c>
      <c r="AT692" t="s">
        <v>13196</v>
      </c>
      <c r="AU692">
        <v>2022</v>
      </c>
      <c r="AV692">
        <v>12</v>
      </c>
      <c r="AW692">
        <v>1</v>
      </c>
      <c r="AX692" t="s">
        <v>74</v>
      </c>
      <c r="AY692" t="s">
        <v>74</v>
      </c>
      <c r="AZ692" t="s">
        <v>74</v>
      </c>
      <c r="BA692" t="s">
        <v>74</v>
      </c>
      <c r="BB692" t="s">
        <v>74</v>
      </c>
      <c r="BC692" t="s">
        <v>74</v>
      </c>
      <c r="BD692">
        <v>19737</v>
      </c>
      <c r="BE692" t="s">
        <v>13250</v>
      </c>
      <c r="BF692" t="str">
        <f>HYPERLINK("http://dx.doi.org/10.1038/s41598-022-22258-1","http://dx.doi.org/10.1038/s41598-022-22258-1")</f>
        <v>http://dx.doi.org/10.1038/s41598-022-22258-1</v>
      </c>
      <c r="BG692" t="s">
        <v>74</v>
      </c>
      <c r="BH692" t="s">
        <v>74</v>
      </c>
      <c r="BI692">
        <v>13</v>
      </c>
      <c r="BJ692" t="s">
        <v>189</v>
      </c>
      <c r="BK692" t="s">
        <v>104</v>
      </c>
      <c r="BL692" t="s">
        <v>190</v>
      </c>
      <c r="BM692" t="s">
        <v>13251</v>
      </c>
      <c r="BN692">
        <v>36396680</v>
      </c>
      <c r="BO692" t="s">
        <v>7278</v>
      </c>
      <c r="BP692" t="s">
        <v>74</v>
      </c>
      <c r="BQ692" t="s">
        <v>74</v>
      </c>
      <c r="BR692" t="s">
        <v>108</v>
      </c>
      <c r="BS692" t="s">
        <v>13252</v>
      </c>
      <c r="BT692" t="str">
        <f>HYPERLINK("https%3A%2F%2Fwww.webofscience.com%2Fwos%2Fwoscc%2Ffull-record%2FWOS:000885172100087","View Full Record in Web of Science")</f>
        <v>View Full Record in Web of Science</v>
      </c>
    </row>
    <row r="693" spans="1:72" x14ac:dyDescent="0.15">
      <c r="A693" t="s">
        <v>72</v>
      </c>
      <c r="B693" t="s">
        <v>13253</v>
      </c>
      <c r="C693" t="s">
        <v>74</v>
      </c>
      <c r="D693" t="s">
        <v>74</v>
      </c>
      <c r="E693" t="s">
        <v>74</v>
      </c>
      <c r="F693" t="s">
        <v>13254</v>
      </c>
      <c r="G693" t="s">
        <v>74</v>
      </c>
      <c r="H693" t="s">
        <v>74</v>
      </c>
      <c r="I693" t="s">
        <v>13255</v>
      </c>
      <c r="J693" t="s">
        <v>9118</v>
      </c>
      <c r="K693" t="s">
        <v>74</v>
      </c>
      <c r="L693" t="s">
        <v>74</v>
      </c>
      <c r="M693" t="s">
        <v>78</v>
      </c>
      <c r="N693" t="s">
        <v>79</v>
      </c>
      <c r="O693" t="s">
        <v>74</v>
      </c>
      <c r="P693" t="s">
        <v>74</v>
      </c>
      <c r="Q693" t="s">
        <v>74</v>
      </c>
      <c r="R693" t="s">
        <v>74</v>
      </c>
      <c r="S693" t="s">
        <v>74</v>
      </c>
      <c r="T693" t="s">
        <v>13256</v>
      </c>
      <c r="U693" t="s">
        <v>13257</v>
      </c>
      <c r="V693" t="s">
        <v>13258</v>
      </c>
      <c r="W693" t="s">
        <v>13259</v>
      </c>
      <c r="X693" t="s">
        <v>13260</v>
      </c>
      <c r="Y693" t="s">
        <v>13261</v>
      </c>
      <c r="Z693" t="s">
        <v>13262</v>
      </c>
      <c r="AA693" t="s">
        <v>13263</v>
      </c>
      <c r="AB693" t="s">
        <v>13264</v>
      </c>
      <c r="AC693" t="s">
        <v>13265</v>
      </c>
      <c r="AD693" t="s">
        <v>13266</v>
      </c>
      <c r="AE693" t="s">
        <v>13267</v>
      </c>
      <c r="AF693" t="s">
        <v>74</v>
      </c>
      <c r="AG693">
        <v>116</v>
      </c>
      <c r="AH693">
        <v>2</v>
      </c>
      <c r="AI693">
        <v>2</v>
      </c>
      <c r="AJ693">
        <v>3</v>
      </c>
      <c r="AK693">
        <v>8</v>
      </c>
      <c r="AL693" t="s">
        <v>703</v>
      </c>
      <c r="AM693" t="s">
        <v>704</v>
      </c>
      <c r="AN693" t="s">
        <v>705</v>
      </c>
      <c r="AO693" t="s">
        <v>9127</v>
      </c>
      <c r="AP693" t="s">
        <v>9128</v>
      </c>
      <c r="AQ693" t="s">
        <v>74</v>
      </c>
      <c r="AR693" t="s">
        <v>9129</v>
      </c>
      <c r="AS693" t="s">
        <v>9130</v>
      </c>
      <c r="AT693" t="s">
        <v>9078</v>
      </c>
      <c r="AU693">
        <v>2022</v>
      </c>
      <c r="AV693">
        <v>15</v>
      </c>
      <c r="AW693" t="s">
        <v>9131</v>
      </c>
      <c r="AX693" t="s">
        <v>74</v>
      </c>
      <c r="AY693" t="s">
        <v>74</v>
      </c>
      <c r="AZ693" t="s">
        <v>754</v>
      </c>
      <c r="BA693" t="s">
        <v>74</v>
      </c>
      <c r="BB693">
        <v>183</v>
      </c>
      <c r="BC693">
        <v>198</v>
      </c>
      <c r="BD693" t="s">
        <v>74</v>
      </c>
      <c r="BE693" t="s">
        <v>13268</v>
      </c>
      <c r="BF693" t="str">
        <f>HYPERLINK("http://dx.doi.org/10.1080/17550874.2022.2144777","http://dx.doi.org/10.1080/17550874.2022.2144777")</f>
        <v>http://dx.doi.org/10.1080/17550874.2022.2144777</v>
      </c>
      <c r="BG693" t="s">
        <v>74</v>
      </c>
      <c r="BH693" t="s">
        <v>11396</v>
      </c>
      <c r="BI693">
        <v>16</v>
      </c>
      <c r="BJ693" t="s">
        <v>507</v>
      </c>
      <c r="BK693" t="s">
        <v>104</v>
      </c>
      <c r="BL693" t="s">
        <v>507</v>
      </c>
      <c r="BM693" t="s">
        <v>9133</v>
      </c>
      <c r="BN693" t="s">
        <v>74</v>
      </c>
      <c r="BO693" t="s">
        <v>74</v>
      </c>
      <c r="BP693" t="s">
        <v>74</v>
      </c>
      <c r="BQ693" t="s">
        <v>74</v>
      </c>
      <c r="BR693" t="s">
        <v>108</v>
      </c>
      <c r="BS693" t="s">
        <v>13269</v>
      </c>
      <c r="BT693" t="str">
        <f>HYPERLINK("https%3A%2F%2Fwww.webofscience.com%2Fwos%2Fwoscc%2Ffull-record%2FWOS:000884664900001","View Full Record in Web of Science")</f>
        <v>View Full Record in Web of Science</v>
      </c>
    </row>
    <row r="694" spans="1:72" x14ac:dyDescent="0.15">
      <c r="A694" t="s">
        <v>72</v>
      </c>
      <c r="B694" t="s">
        <v>13270</v>
      </c>
      <c r="C694" t="s">
        <v>74</v>
      </c>
      <c r="D694" t="s">
        <v>74</v>
      </c>
      <c r="E694" t="s">
        <v>74</v>
      </c>
      <c r="F694" t="s">
        <v>13271</v>
      </c>
      <c r="G694" t="s">
        <v>74</v>
      </c>
      <c r="H694" t="s">
        <v>74</v>
      </c>
      <c r="I694" t="s">
        <v>13272</v>
      </c>
      <c r="J694" t="s">
        <v>8444</v>
      </c>
      <c r="K694" t="s">
        <v>74</v>
      </c>
      <c r="L694" t="s">
        <v>74</v>
      </c>
      <c r="M694" t="s">
        <v>78</v>
      </c>
      <c r="N694" t="s">
        <v>79</v>
      </c>
      <c r="O694" t="s">
        <v>74</v>
      </c>
      <c r="P694" t="s">
        <v>74</v>
      </c>
      <c r="Q694" t="s">
        <v>74</v>
      </c>
      <c r="R694" t="s">
        <v>74</v>
      </c>
      <c r="S694" t="s">
        <v>74</v>
      </c>
      <c r="T694" t="s">
        <v>74</v>
      </c>
      <c r="U694" t="s">
        <v>13273</v>
      </c>
      <c r="V694" t="s">
        <v>13274</v>
      </c>
      <c r="W694" t="s">
        <v>13275</v>
      </c>
      <c r="X694" t="s">
        <v>13276</v>
      </c>
      <c r="Y694" t="s">
        <v>13277</v>
      </c>
      <c r="Z694" t="s">
        <v>13278</v>
      </c>
      <c r="AA694" t="s">
        <v>13279</v>
      </c>
      <c r="AB694" t="s">
        <v>13280</v>
      </c>
      <c r="AC694" t="s">
        <v>13281</v>
      </c>
      <c r="AD694" t="s">
        <v>13282</v>
      </c>
      <c r="AE694" t="s">
        <v>13283</v>
      </c>
      <c r="AF694" t="s">
        <v>74</v>
      </c>
      <c r="AG694">
        <v>86</v>
      </c>
      <c r="AH694">
        <v>7</v>
      </c>
      <c r="AI694">
        <v>8</v>
      </c>
      <c r="AJ694">
        <v>3</v>
      </c>
      <c r="AK694">
        <v>4</v>
      </c>
      <c r="AL694" t="s">
        <v>126</v>
      </c>
      <c r="AM694" t="s">
        <v>127</v>
      </c>
      <c r="AN694" t="s">
        <v>128</v>
      </c>
      <c r="AO694" t="s">
        <v>8456</v>
      </c>
      <c r="AP694" t="s">
        <v>8457</v>
      </c>
      <c r="AQ694" t="s">
        <v>74</v>
      </c>
      <c r="AR694" t="s">
        <v>8458</v>
      </c>
      <c r="AS694" t="s">
        <v>8459</v>
      </c>
      <c r="AT694" t="s">
        <v>13196</v>
      </c>
      <c r="AU694">
        <v>2022</v>
      </c>
      <c r="AV694">
        <v>22</v>
      </c>
      <c r="AW694">
        <v>22</v>
      </c>
      <c r="AX694" t="s">
        <v>74</v>
      </c>
      <c r="AY694" t="s">
        <v>74</v>
      </c>
      <c r="AZ694" t="s">
        <v>74</v>
      </c>
      <c r="BA694" t="s">
        <v>74</v>
      </c>
      <c r="BB694">
        <v>14603</v>
      </c>
      <c r="BC694">
        <v>14630</v>
      </c>
      <c r="BD694" t="s">
        <v>74</v>
      </c>
      <c r="BE694" t="s">
        <v>13284</v>
      </c>
      <c r="BF694" t="str">
        <f>HYPERLINK("http://dx.doi.org/10.5194/acp-22-14603-2022","http://dx.doi.org/10.5194/acp-22-14603-2022")</f>
        <v>http://dx.doi.org/10.5194/acp-22-14603-2022</v>
      </c>
      <c r="BG694" t="s">
        <v>74</v>
      </c>
      <c r="BH694" t="s">
        <v>74</v>
      </c>
      <c r="BI694">
        <v>28</v>
      </c>
      <c r="BJ694" t="s">
        <v>5429</v>
      </c>
      <c r="BK694" t="s">
        <v>104</v>
      </c>
      <c r="BL694" t="s">
        <v>355</v>
      </c>
      <c r="BM694" t="s">
        <v>13285</v>
      </c>
      <c r="BN694" t="s">
        <v>74</v>
      </c>
      <c r="BO694" t="s">
        <v>737</v>
      </c>
      <c r="BP694" t="s">
        <v>74</v>
      </c>
      <c r="BQ694" t="s">
        <v>74</v>
      </c>
      <c r="BR694" t="s">
        <v>108</v>
      </c>
      <c r="BS694" t="s">
        <v>13286</v>
      </c>
      <c r="BT694" t="str">
        <f>HYPERLINK("https%3A%2F%2Fwww.webofscience.com%2Fwos%2Fwoscc%2Ffull-record%2FWOS:000886179500001","View Full Record in Web of Science")</f>
        <v>View Full Record in Web of Science</v>
      </c>
    </row>
    <row r="695" spans="1:72" x14ac:dyDescent="0.15">
      <c r="A695" t="s">
        <v>72</v>
      </c>
      <c r="B695" t="s">
        <v>13287</v>
      </c>
      <c r="C695" t="s">
        <v>74</v>
      </c>
      <c r="D695" t="s">
        <v>74</v>
      </c>
      <c r="E695" t="s">
        <v>74</v>
      </c>
      <c r="F695" t="s">
        <v>13288</v>
      </c>
      <c r="G695" t="s">
        <v>74</v>
      </c>
      <c r="H695" t="s">
        <v>74</v>
      </c>
      <c r="I695" t="s">
        <v>13289</v>
      </c>
      <c r="J695" t="s">
        <v>462</v>
      </c>
      <c r="K695" t="s">
        <v>74</v>
      </c>
      <c r="L695" t="s">
        <v>74</v>
      </c>
      <c r="M695" t="s">
        <v>78</v>
      </c>
      <c r="N695" t="s">
        <v>79</v>
      </c>
      <c r="O695" t="s">
        <v>74</v>
      </c>
      <c r="P695" t="s">
        <v>74</v>
      </c>
      <c r="Q695" t="s">
        <v>74</v>
      </c>
      <c r="R695" t="s">
        <v>74</v>
      </c>
      <c r="S695" t="s">
        <v>74</v>
      </c>
      <c r="T695" t="s">
        <v>13290</v>
      </c>
      <c r="U695" t="s">
        <v>13291</v>
      </c>
      <c r="V695" t="s">
        <v>13292</v>
      </c>
      <c r="W695" t="s">
        <v>13293</v>
      </c>
      <c r="X695" t="s">
        <v>13294</v>
      </c>
      <c r="Y695" t="s">
        <v>13295</v>
      </c>
      <c r="Z695" t="s">
        <v>13296</v>
      </c>
      <c r="AA695" t="s">
        <v>13297</v>
      </c>
      <c r="AB695" t="s">
        <v>13298</v>
      </c>
      <c r="AC695" t="s">
        <v>13299</v>
      </c>
      <c r="AD695" t="s">
        <v>13300</v>
      </c>
      <c r="AE695" t="s">
        <v>13301</v>
      </c>
      <c r="AF695" t="s">
        <v>74</v>
      </c>
      <c r="AG695">
        <v>56</v>
      </c>
      <c r="AH695">
        <v>1</v>
      </c>
      <c r="AI695">
        <v>2</v>
      </c>
      <c r="AJ695">
        <v>22</v>
      </c>
      <c r="AK695">
        <v>87</v>
      </c>
      <c r="AL695" t="s">
        <v>237</v>
      </c>
      <c r="AM695" t="s">
        <v>238</v>
      </c>
      <c r="AN695" t="s">
        <v>239</v>
      </c>
      <c r="AO695" t="s">
        <v>475</v>
      </c>
      <c r="AP695" t="s">
        <v>476</v>
      </c>
      <c r="AQ695" t="s">
        <v>74</v>
      </c>
      <c r="AR695" t="s">
        <v>477</v>
      </c>
      <c r="AS695" t="s">
        <v>478</v>
      </c>
      <c r="AT695" t="s">
        <v>12315</v>
      </c>
      <c r="AU695">
        <v>2023</v>
      </c>
      <c r="AV695">
        <v>859</v>
      </c>
      <c r="AW695" t="s">
        <v>74</v>
      </c>
      <c r="AX695">
        <v>1</v>
      </c>
      <c r="AY695" t="s">
        <v>74</v>
      </c>
      <c r="AZ695" t="s">
        <v>74</v>
      </c>
      <c r="BA695" t="s">
        <v>74</v>
      </c>
      <c r="BB695" t="s">
        <v>74</v>
      </c>
      <c r="BC695" t="s">
        <v>74</v>
      </c>
      <c r="BD695">
        <v>160138</v>
      </c>
      <c r="BE695" t="s">
        <v>13302</v>
      </c>
      <c r="BF695" t="str">
        <f>HYPERLINK("http://dx.doi.org/10.1016/j.scitotenv.2022.160138","http://dx.doi.org/10.1016/j.scitotenv.2022.160138")</f>
        <v>http://dx.doi.org/10.1016/j.scitotenv.2022.160138</v>
      </c>
      <c r="BG695" t="s">
        <v>74</v>
      </c>
      <c r="BH695" t="s">
        <v>11396</v>
      </c>
      <c r="BI695">
        <v>10</v>
      </c>
      <c r="BJ695" t="s">
        <v>216</v>
      </c>
      <c r="BK695" t="s">
        <v>104</v>
      </c>
      <c r="BL695" t="s">
        <v>217</v>
      </c>
      <c r="BM695" t="s">
        <v>13303</v>
      </c>
      <c r="BN695">
        <v>36375559</v>
      </c>
      <c r="BO695" t="s">
        <v>219</v>
      </c>
      <c r="BP695" t="s">
        <v>74</v>
      </c>
      <c r="BQ695" t="s">
        <v>74</v>
      </c>
      <c r="BR695" t="s">
        <v>108</v>
      </c>
      <c r="BS695" t="s">
        <v>13304</v>
      </c>
      <c r="BT695" t="str">
        <f>HYPERLINK("https%3A%2F%2Fwww.webofscience.com%2Fwos%2Fwoscc%2Ffull-record%2FWOS:000916059500003","View Full Record in Web of Science")</f>
        <v>View Full Record in Web of Science</v>
      </c>
    </row>
    <row r="696" spans="1:72" x14ac:dyDescent="0.15">
      <c r="A696" t="s">
        <v>72</v>
      </c>
      <c r="B696" t="s">
        <v>13305</v>
      </c>
      <c r="C696" t="s">
        <v>74</v>
      </c>
      <c r="D696" t="s">
        <v>74</v>
      </c>
      <c r="E696" t="s">
        <v>74</v>
      </c>
      <c r="F696" t="s">
        <v>13306</v>
      </c>
      <c r="G696" t="s">
        <v>74</v>
      </c>
      <c r="H696" t="s">
        <v>74</v>
      </c>
      <c r="I696" t="s">
        <v>13307</v>
      </c>
      <c r="J696" t="s">
        <v>7283</v>
      </c>
      <c r="K696" t="s">
        <v>74</v>
      </c>
      <c r="L696" t="s">
        <v>74</v>
      </c>
      <c r="M696" t="s">
        <v>78</v>
      </c>
      <c r="N696" t="s">
        <v>256</v>
      </c>
      <c r="O696" t="s">
        <v>74</v>
      </c>
      <c r="P696" t="s">
        <v>74</v>
      </c>
      <c r="Q696" t="s">
        <v>74</v>
      </c>
      <c r="R696" t="s">
        <v>74</v>
      </c>
      <c r="S696" t="s">
        <v>74</v>
      </c>
      <c r="T696" t="s">
        <v>13308</v>
      </c>
      <c r="U696" t="s">
        <v>13309</v>
      </c>
      <c r="V696" t="s">
        <v>13310</v>
      </c>
      <c r="W696" t="s">
        <v>13311</v>
      </c>
      <c r="X696" t="s">
        <v>13312</v>
      </c>
      <c r="Y696" t="s">
        <v>13313</v>
      </c>
      <c r="Z696" t="s">
        <v>13314</v>
      </c>
      <c r="AA696" t="s">
        <v>13315</v>
      </c>
      <c r="AB696" t="s">
        <v>13316</v>
      </c>
      <c r="AC696" t="s">
        <v>13317</v>
      </c>
      <c r="AD696" t="s">
        <v>13318</v>
      </c>
      <c r="AE696" t="s">
        <v>13319</v>
      </c>
      <c r="AF696" t="s">
        <v>74</v>
      </c>
      <c r="AG696">
        <v>313</v>
      </c>
      <c r="AH696">
        <v>12</v>
      </c>
      <c r="AI696">
        <v>12</v>
      </c>
      <c r="AJ696">
        <v>13</v>
      </c>
      <c r="AK696">
        <v>28</v>
      </c>
      <c r="AL696" t="s">
        <v>448</v>
      </c>
      <c r="AM696" t="s">
        <v>449</v>
      </c>
      <c r="AN696" t="s">
        <v>450</v>
      </c>
      <c r="AO696" t="s">
        <v>74</v>
      </c>
      <c r="AP696" t="s">
        <v>7295</v>
      </c>
      <c r="AQ696" t="s">
        <v>74</v>
      </c>
      <c r="AR696" t="s">
        <v>7296</v>
      </c>
      <c r="AS696" t="s">
        <v>7297</v>
      </c>
      <c r="AT696" t="s">
        <v>13320</v>
      </c>
      <c r="AU696">
        <v>2022</v>
      </c>
      <c r="AV696">
        <v>13</v>
      </c>
      <c r="AW696" t="s">
        <v>74</v>
      </c>
      <c r="AX696" t="s">
        <v>74</v>
      </c>
      <c r="AY696" t="s">
        <v>74</v>
      </c>
      <c r="AZ696" t="s">
        <v>74</v>
      </c>
      <c r="BA696" t="s">
        <v>74</v>
      </c>
      <c r="BB696" t="s">
        <v>74</v>
      </c>
      <c r="BC696" t="s">
        <v>74</v>
      </c>
      <c r="BD696">
        <v>1038064</v>
      </c>
      <c r="BE696" t="s">
        <v>13321</v>
      </c>
      <c r="BF696" t="str">
        <f>HYPERLINK("http://dx.doi.org/10.3389/fphys.2022.1038064","http://dx.doi.org/10.3389/fphys.2022.1038064")</f>
        <v>http://dx.doi.org/10.3389/fphys.2022.1038064</v>
      </c>
      <c r="BG696" t="s">
        <v>74</v>
      </c>
      <c r="BH696" t="s">
        <v>74</v>
      </c>
      <c r="BI696">
        <v>30</v>
      </c>
      <c r="BJ696" t="s">
        <v>7299</v>
      </c>
      <c r="BK696" t="s">
        <v>104</v>
      </c>
      <c r="BL696" t="s">
        <v>7299</v>
      </c>
      <c r="BM696" t="s">
        <v>13322</v>
      </c>
      <c r="BN696">
        <v>36467695</v>
      </c>
      <c r="BO696" t="s">
        <v>5719</v>
      </c>
      <c r="BP696" t="s">
        <v>74</v>
      </c>
      <c r="BQ696" t="s">
        <v>74</v>
      </c>
      <c r="BR696" t="s">
        <v>108</v>
      </c>
      <c r="BS696" t="s">
        <v>13323</v>
      </c>
      <c r="BT696" t="str">
        <f>HYPERLINK("https%3A%2F%2Fwww.webofscience.com%2Fwos%2Fwoscc%2Ffull-record%2FWOS:000898420000001","View Full Record in Web of Science")</f>
        <v>View Full Record in Web of Science</v>
      </c>
    </row>
    <row r="697" spans="1:72" x14ac:dyDescent="0.15">
      <c r="A697" t="s">
        <v>72</v>
      </c>
      <c r="B697" t="s">
        <v>13324</v>
      </c>
      <c r="C697" t="s">
        <v>74</v>
      </c>
      <c r="D697" t="s">
        <v>74</v>
      </c>
      <c r="E697" t="s">
        <v>74</v>
      </c>
      <c r="F697" t="s">
        <v>13325</v>
      </c>
      <c r="G697" t="s">
        <v>74</v>
      </c>
      <c r="H697" t="s">
        <v>74</v>
      </c>
      <c r="I697" t="s">
        <v>13326</v>
      </c>
      <c r="J697" t="s">
        <v>12550</v>
      </c>
      <c r="K697" t="s">
        <v>74</v>
      </c>
      <c r="L697" t="s">
        <v>74</v>
      </c>
      <c r="M697" t="s">
        <v>78</v>
      </c>
      <c r="N697" t="s">
        <v>79</v>
      </c>
      <c r="O697" t="s">
        <v>74</v>
      </c>
      <c r="P697" t="s">
        <v>74</v>
      </c>
      <c r="Q697" t="s">
        <v>74</v>
      </c>
      <c r="R697" t="s">
        <v>74</v>
      </c>
      <c r="S697" t="s">
        <v>74</v>
      </c>
      <c r="T697" t="s">
        <v>13327</v>
      </c>
      <c r="U697" t="s">
        <v>13328</v>
      </c>
      <c r="V697" t="s">
        <v>13329</v>
      </c>
      <c r="W697" t="s">
        <v>13330</v>
      </c>
      <c r="X697" t="s">
        <v>13331</v>
      </c>
      <c r="Y697" t="s">
        <v>13332</v>
      </c>
      <c r="Z697" t="s">
        <v>13333</v>
      </c>
      <c r="AA697" t="s">
        <v>74</v>
      </c>
      <c r="AB697" t="s">
        <v>13334</v>
      </c>
      <c r="AC697" t="s">
        <v>13335</v>
      </c>
      <c r="AD697" t="s">
        <v>13336</v>
      </c>
      <c r="AE697" t="s">
        <v>13337</v>
      </c>
      <c r="AF697" t="s">
        <v>74</v>
      </c>
      <c r="AG697">
        <v>105</v>
      </c>
      <c r="AH697">
        <v>0</v>
      </c>
      <c r="AI697">
        <v>0</v>
      </c>
      <c r="AJ697">
        <v>7</v>
      </c>
      <c r="AK697">
        <v>28</v>
      </c>
      <c r="AL697" t="s">
        <v>603</v>
      </c>
      <c r="AM697" t="s">
        <v>208</v>
      </c>
      <c r="AN697" t="s">
        <v>604</v>
      </c>
      <c r="AO697" t="s">
        <v>12563</v>
      </c>
      <c r="AP697" t="s">
        <v>12564</v>
      </c>
      <c r="AQ697" t="s">
        <v>74</v>
      </c>
      <c r="AR697" t="s">
        <v>12565</v>
      </c>
      <c r="AS697" t="s">
        <v>12566</v>
      </c>
      <c r="AT697" t="s">
        <v>609</v>
      </c>
      <c r="AU697">
        <v>2023</v>
      </c>
      <c r="AV697">
        <v>294</v>
      </c>
      <c r="AW697" t="s">
        <v>74</v>
      </c>
      <c r="AX697" t="s">
        <v>74</v>
      </c>
      <c r="AY697" t="s">
        <v>74</v>
      </c>
      <c r="AZ697" t="s">
        <v>74</v>
      </c>
      <c r="BA697" t="s">
        <v>74</v>
      </c>
      <c r="BB697" t="s">
        <v>74</v>
      </c>
      <c r="BC697" t="s">
        <v>74</v>
      </c>
      <c r="BD697">
        <v>119470</v>
      </c>
      <c r="BE697" t="s">
        <v>13338</v>
      </c>
      <c r="BF697" t="str">
        <f>HYPERLINK("http://dx.doi.org/10.1016/j.atmosenv.2022.119470","http://dx.doi.org/10.1016/j.atmosenv.2022.119470")</f>
        <v>http://dx.doi.org/10.1016/j.atmosenv.2022.119470</v>
      </c>
      <c r="BG697" t="s">
        <v>74</v>
      </c>
      <c r="BH697" t="s">
        <v>11396</v>
      </c>
      <c r="BI697">
        <v>11</v>
      </c>
      <c r="BJ697" t="s">
        <v>5429</v>
      </c>
      <c r="BK697" t="s">
        <v>104</v>
      </c>
      <c r="BL697" t="s">
        <v>355</v>
      </c>
      <c r="BM697" t="s">
        <v>13339</v>
      </c>
      <c r="BN697" t="s">
        <v>74</v>
      </c>
      <c r="BO697" t="s">
        <v>74</v>
      </c>
      <c r="BP697" t="s">
        <v>74</v>
      </c>
      <c r="BQ697" t="s">
        <v>74</v>
      </c>
      <c r="BR697" t="s">
        <v>108</v>
      </c>
      <c r="BS697" t="s">
        <v>13340</v>
      </c>
      <c r="BT697" t="str">
        <f>HYPERLINK("https%3A%2F%2Fwww.webofscience.com%2Fwos%2Fwoscc%2Ffull-record%2FWOS:000890644900003","View Full Record in Web of Science")</f>
        <v>View Full Record in Web of Science</v>
      </c>
    </row>
    <row r="698" spans="1:72" x14ac:dyDescent="0.15">
      <c r="A698" t="s">
        <v>72</v>
      </c>
      <c r="B698" t="s">
        <v>13341</v>
      </c>
      <c r="C698" t="s">
        <v>74</v>
      </c>
      <c r="D698" t="s">
        <v>74</v>
      </c>
      <c r="E698" t="s">
        <v>74</v>
      </c>
      <c r="F698" t="s">
        <v>13342</v>
      </c>
      <c r="G698" t="s">
        <v>74</v>
      </c>
      <c r="H698" t="s">
        <v>74</v>
      </c>
      <c r="I698" t="s">
        <v>13343</v>
      </c>
      <c r="J698" t="s">
        <v>6736</v>
      </c>
      <c r="K698" t="s">
        <v>74</v>
      </c>
      <c r="L698" t="s">
        <v>74</v>
      </c>
      <c r="M698" t="s">
        <v>78</v>
      </c>
      <c r="N698" t="s">
        <v>79</v>
      </c>
      <c r="O698" t="s">
        <v>74</v>
      </c>
      <c r="P698" t="s">
        <v>74</v>
      </c>
      <c r="Q698" t="s">
        <v>74</v>
      </c>
      <c r="R698" t="s">
        <v>74</v>
      </c>
      <c r="S698" t="s">
        <v>74</v>
      </c>
      <c r="T698" t="s">
        <v>13344</v>
      </c>
      <c r="U698" t="s">
        <v>13345</v>
      </c>
      <c r="V698" t="s">
        <v>13346</v>
      </c>
      <c r="W698" t="s">
        <v>13347</v>
      </c>
      <c r="X698" t="s">
        <v>13348</v>
      </c>
      <c r="Y698" t="s">
        <v>13349</v>
      </c>
      <c r="Z698" t="s">
        <v>13350</v>
      </c>
      <c r="AA698" t="s">
        <v>13351</v>
      </c>
      <c r="AB698" t="s">
        <v>13352</v>
      </c>
      <c r="AC698" t="s">
        <v>74</v>
      </c>
      <c r="AD698" t="s">
        <v>74</v>
      </c>
      <c r="AE698" t="s">
        <v>74</v>
      </c>
      <c r="AF698" t="s">
        <v>74</v>
      </c>
      <c r="AG698">
        <v>56</v>
      </c>
      <c r="AH698">
        <v>3</v>
      </c>
      <c r="AI698">
        <v>4</v>
      </c>
      <c r="AJ698">
        <v>11</v>
      </c>
      <c r="AK698">
        <v>20</v>
      </c>
      <c r="AL698" t="s">
        <v>1791</v>
      </c>
      <c r="AM698" t="s">
        <v>576</v>
      </c>
      <c r="AN698" t="s">
        <v>1792</v>
      </c>
      <c r="AO698" t="s">
        <v>6747</v>
      </c>
      <c r="AP698" t="s">
        <v>6748</v>
      </c>
      <c r="AQ698" t="s">
        <v>74</v>
      </c>
      <c r="AR698" t="s">
        <v>6749</v>
      </c>
      <c r="AS698" t="s">
        <v>6750</v>
      </c>
      <c r="AT698" t="s">
        <v>13320</v>
      </c>
      <c r="AU698">
        <v>2022</v>
      </c>
      <c r="AV698">
        <v>49</v>
      </c>
      <c r="AW698">
        <v>21</v>
      </c>
      <c r="AX698" t="s">
        <v>74</v>
      </c>
      <c r="AY698" t="s">
        <v>74</v>
      </c>
      <c r="AZ698" t="s">
        <v>74</v>
      </c>
      <c r="BA698" t="s">
        <v>74</v>
      </c>
      <c r="BB698" t="s">
        <v>74</v>
      </c>
      <c r="BC698" t="s">
        <v>74</v>
      </c>
      <c r="BD698" t="s">
        <v>13353</v>
      </c>
      <c r="BE698" t="s">
        <v>13354</v>
      </c>
      <c r="BF698" t="str">
        <f>HYPERLINK("http://dx.doi.org/10.1029/2022GL100003","http://dx.doi.org/10.1029/2022GL100003")</f>
        <v>http://dx.doi.org/10.1029/2022GL100003</v>
      </c>
      <c r="BG698" t="s">
        <v>74</v>
      </c>
      <c r="BH698" t="s">
        <v>74</v>
      </c>
      <c r="BI698">
        <v>11</v>
      </c>
      <c r="BJ698" t="s">
        <v>455</v>
      </c>
      <c r="BK698" t="s">
        <v>104</v>
      </c>
      <c r="BL698" t="s">
        <v>456</v>
      </c>
      <c r="BM698" t="s">
        <v>13355</v>
      </c>
      <c r="BN698" t="s">
        <v>74</v>
      </c>
      <c r="BO698" t="s">
        <v>13356</v>
      </c>
      <c r="BP698" t="s">
        <v>74</v>
      </c>
      <c r="BQ698" t="s">
        <v>74</v>
      </c>
      <c r="BR698" t="s">
        <v>108</v>
      </c>
      <c r="BS698" t="s">
        <v>13357</v>
      </c>
      <c r="BT698" t="str">
        <f>HYPERLINK("https%3A%2F%2Fwww.webofscience.com%2Fwos%2Fwoscc%2Ffull-record%2FWOS:000888513600001","View Full Record in Web of Science")</f>
        <v>View Full Record in Web of Science</v>
      </c>
    </row>
    <row r="699" spans="1:72" x14ac:dyDescent="0.15">
      <c r="A699" t="s">
        <v>72</v>
      </c>
      <c r="B699" t="s">
        <v>13358</v>
      </c>
      <c r="C699" t="s">
        <v>74</v>
      </c>
      <c r="D699" t="s">
        <v>74</v>
      </c>
      <c r="E699" t="s">
        <v>74</v>
      </c>
      <c r="F699" t="s">
        <v>13359</v>
      </c>
      <c r="G699" t="s">
        <v>74</v>
      </c>
      <c r="H699" t="s">
        <v>74</v>
      </c>
      <c r="I699" t="s">
        <v>13360</v>
      </c>
      <c r="J699" t="s">
        <v>11790</v>
      </c>
      <c r="K699" t="s">
        <v>74</v>
      </c>
      <c r="L699" t="s">
        <v>74</v>
      </c>
      <c r="M699" t="s">
        <v>78</v>
      </c>
      <c r="N699" t="s">
        <v>79</v>
      </c>
      <c r="O699" t="s">
        <v>74</v>
      </c>
      <c r="P699" t="s">
        <v>74</v>
      </c>
      <c r="Q699" t="s">
        <v>74</v>
      </c>
      <c r="R699" t="s">
        <v>74</v>
      </c>
      <c r="S699" t="s">
        <v>74</v>
      </c>
      <c r="T699" t="s">
        <v>13361</v>
      </c>
      <c r="U699" t="s">
        <v>13362</v>
      </c>
      <c r="V699" t="s">
        <v>13363</v>
      </c>
      <c r="W699" t="s">
        <v>13364</v>
      </c>
      <c r="X699" t="s">
        <v>13365</v>
      </c>
      <c r="Y699" t="s">
        <v>13366</v>
      </c>
      <c r="Z699" t="s">
        <v>13367</v>
      </c>
      <c r="AA699" t="s">
        <v>74</v>
      </c>
      <c r="AB699" t="s">
        <v>13368</v>
      </c>
      <c r="AC699" t="s">
        <v>74</v>
      </c>
      <c r="AD699" t="s">
        <v>74</v>
      </c>
      <c r="AE699" t="s">
        <v>74</v>
      </c>
      <c r="AF699" t="s">
        <v>74</v>
      </c>
      <c r="AG699">
        <v>41</v>
      </c>
      <c r="AH699">
        <v>5</v>
      </c>
      <c r="AI699">
        <v>6</v>
      </c>
      <c r="AJ699">
        <v>3</v>
      </c>
      <c r="AK699">
        <v>7</v>
      </c>
      <c r="AL699" t="s">
        <v>1791</v>
      </c>
      <c r="AM699" t="s">
        <v>576</v>
      </c>
      <c r="AN699" t="s">
        <v>1792</v>
      </c>
      <c r="AO699" t="s">
        <v>11803</v>
      </c>
      <c r="AP699" t="s">
        <v>11804</v>
      </c>
      <c r="AQ699" t="s">
        <v>74</v>
      </c>
      <c r="AR699" t="s">
        <v>11805</v>
      </c>
      <c r="AS699" t="s">
        <v>11806</v>
      </c>
      <c r="AT699" t="s">
        <v>13320</v>
      </c>
      <c r="AU699">
        <v>2022</v>
      </c>
      <c r="AV699">
        <v>127</v>
      </c>
      <c r="AW699">
        <v>21</v>
      </c>
      <c r="AX699" t="s">
        <v>74</v>
      </c>
      <c r="AY699" t="s">
        <v>74</v>
      </c>
      <c r="AZ699" t="s">
        <v>74</v>
      </c>
      <c r="BA699" t="s">
        <v>74</v>
      </c>
      <c r="BB699" t="s">
        <v>74</v>
      </c>
      <c r="BC699" t="s">
        <v>74</v>
      </c>
      <c r="BD699" t="s">
        <v>13369</v>
      </c>
      <c r="BE699" t="s">
        <v>13370</v>
      </c>
      <c r="BF699" t="str">
        <f>HYPERLINK("http://dx.doi.org/10.1029/2022JD036801","http://dx.doi.org/10.1029/2022JD036801")</f>
        <v>http://dx.doi.org/10.1029/2022JD036801</v>
      </c>
      <c r="BG699" t="s">
        <v>74</v>
      </c>
      <c r="BH699" t="s">
        <v>74</v>
      </c>
      <c r="BI699">
        <v>22</v>
      </c>
      <c r="BJ699" t="s">
        <v>532</v>
      </c>
      <c r="BK699" t="s">
        <v>104</v>
      </c>
      <c r="BL699" t="s">
        <v>532</v>
      </c>
      <c r="BM699" t="s">
        <v>13371</v>
      </c>
      <c r="BN699">
        <v>37035762</v>
      </c>
      <c r="BO699" t="s">
        <v>248</v>
      </c>
      <c r="BP699" t="s">
        <v>74</v>
      </c>
      <c r="BQ699" t="s">
        <v>74</v>
      </c>
      <c r="BR699" t="s">
        <v>108</v>
      </c>
      <c r="BS699" t="s">
        <v>13372</v>
      </c>
      <c r="BT699" t="str">
        <f>HYPERLINK("https%3A%2F%2Fwww.webofscience.com%2Fwos%2Fwoscc%2Ffull-record%2FWOS:000888516100001","View Full Record in Web of Science")</f>
        <v>View Full Record in Web of Science</v>
      </c>
    </row>
    <row r="700" spans="1:72" x14ac:dyDescent="0.15">
      <c r="A700" t="s">
        <v>72</v>
      </c>
      <c r="B700" t="s">
        <v>13373</v>
      </c>
      <c r="C700" t="s">
        <v>74</v>
      </c>
      <c r="D700" t="s">
        <v>74</v>
      </c>
      <c r="E700" t="s">
        <v>74</v>
      </c>
      <c r="F700" t="s">
        <v>13374</v>
      </c>
      <c r="G700" t="s">
        <v>74</v>
      </c>
      <c r="H700" t="s">
        <v>74</v>
      </c>
      <c r="I700" t="s">
        <v>13375</v>
      </c>
      <c r="J700" t="s">
        <v>436</v>
      </c>
      <c r="K700" t="s">
        <v>74</v>
      </c>
      <c r="L700" t="s">
        <v>74</v>
      </c>
      <c r="M700" t="s">
        <v>78</v>
      </c>
      <c r="N700" t="s">
        <v>79</v>
      </c>
      <c r="O700" t="s">
        <v>74</v>
      </c>
      <c r="P700" t="s">
        <v>74</v>
      </c>
      <c r="Q700" t="s">
        <v>74</v>
      </c>
      <c r="R700" t="s">
        <v>74</v>
      </c>
      <c r="S700" t="s">
        <v>74</v>
      </c>
      <c r="T700" t="s">
        <v>13376</v>
      </c>
      <c r="U700" t="s">
        <v>13377</v>
      </c>
      <c r="V700" t="s">
        <v>13378</v>
      </c>
      <c r="W700" t="s">
        <v>13379</v>
      </c>
      <c r="X700" t="s">
        <v>13380</v>
      </c>
      <c r="Y700" t="s">
        <v>13381</v>
      </c>
      <c r="Z700" t="s">
        <v>13382</v>
      </c>
      <c r="AA700" t="s">
        <v>74</v>
      </c>
      <c r="AB700" t="s">
        <v>74</v>
      </c>
      <c r="AC700" t="s">
        <v>13383</v>
      </c>
      <c r="AD700" t="s">
        <v>13384</v>
      </c>
      <c r="AE700" t="s">
        <v>13385</v>
      </c>
      <c r="AF700" t="s">
        <v>74</v>
      </c>
      <c r="AG700">
        <v>72</v>
      </c>
      <c r="AH700">
        <v>1</v>
      </c>
      <c r="AI700">
        <v>1</v>
      </c>
      <c r="AJ700">
        <v>1</v>
      </c>
      <c r="AK700">
        <v>6</v>
      </c>
      <c r="AL700" t="s">
        <v>448</v>
      </c>
      <c r="AM700" t="s">
        <v>449</v>
      </c>
      <c r="AN700" t="s">
        <v>450</v>
      </c>
      <c r="AO700" t="s">
        <v>74</v>
      </c>
      <c r="AP700" t="s">
        <v>451</v>
      </c>
      <c r="AQ700" t="s">
        <v>74</v>
      </c>
      <c r="AR700" t="s">
        <v>452</v>
      </c>
      <c r="AS700" t="s">
        <v>453</v>
      </c>
      <c r="AT700" t="s">
        <v>13320</v>
      </c>
      <c r="AU700">
        <v>2022</v>
      </c>
      <c r="AV700">
        <v>10</v>
      </c>
      <c r="AW700" t="s">
        <v>74</v>
      </c>
      <c r="AX700" t="s">
        <v>74</v>
      </c>
      <c r="AY700" t="s">
        <v>74</v>
      </c>
      <c r="AZ700" t="s">
        <v>74</v>
      </c>
      <c r="BA700" t="s">
        <v>74</v>
      </c>
      <c r="BB700" t="s">
        <v>74</v>
      </c>
      <c r="BC700" t="s">
        <v>74</v>
      </c>
      <c r="BD700">
        <v>1002366</v>
      </c>
      <c r="BE700" t="s">
        <v>13386</v>
      </c>
      <c r="BF700" t="str">
        <f>HYPERLINK("http://dx.doi.org/10.3389/feart.2022.1002366","http://dx.doi.org/10.3389/feart.2022.1002366")</f>
        <v>http://dx.doi.org/10.3389/feart.2022.1002366</v>
      </c>
      <c r="BG700" t="s">
        <v>74</v>
      </c>
      <c r="BH700" t="s">
        <v>74</v>
      </c>
      <c r="BI700">
        <v>11</v>
      </c>
      <c r="BJ700" t="s">
        <v>455</v>
      </c>
      <c r="BK700" t="s">
        <v>104</v>
      </c>
      <c r="BL700" t="s">
        <v>456</v>
      </c>
      <c r="BM700" t="s">
        <v>13387</v>
      </c>
      <c r="BN700" t="s">
        <v>74</v>
      </c>
      <c r="BO700" t="s">
        <v>5482</v>
      </c>
      <c r="BP700" t="s">
        <v>74</v>
      </c>
      <c r="BQ700" t="s">
        <v>74</v>
      </c>
      <c r="BR700" t="s">
        <v>108</v>
      </c>
      <c r="BS700" t="s">
        <v>13388</v>
      </c>
      <c r="BT700" t="str">
        <f>HYPERLINK("https%3A%2F%2Fwww.webofscience.com%2Fwos%2Fwoscc%2Ffull-record%2FWOS:000891831500001","View Full Record in Web of Science")</f>
        <v>View Full Record in Web of Science</v>
      </c>
    </row>
    <row r="701" spans="1:72" x14ac:dyDescent="0.15">
      <c r="A701" t="s">
        <v>72</v>
      </c>
      <c r="B701" t="s">
        <v>13389</v>
      </c>
      <c r="C701" t="s">
        <v>74</v>
      </c>
      <c r="D701" t="s">
        <v>74</v>
      </c>
      <c r="E701" t="s">
        <v>74</v>
      </c>
      <c r="F701" t="s">
        <v>13390</v>
      </c>
      <c r="G701" t="s">
        <v>74</v>
      </c>
      <c r="H701" t="s">
        <v>74</v>
      </c>
      <c r="I701" t="s">
        <v>13391</v>
      </c>
      <c r="J701" t="s">
        <v>8586</v>
      </c>
      <c r="K701" t="s">
        <v>74</v>
      </c>
      <c r="L701" t="s">
        <v>74</v>
      </c>
      <c r="M701" t="s">
        <v>78</v>
      </c>
      <c r="N701" t="s">
        <v>79</v>
      </c>
      <c r="O701" t="s">
        <v>74</v>
      </c>
      <c r="P701" t="s">
        <v>74</v>
      </c>
      <c r="Q701" t="s">
        <v>74</v>
      </c>
      <c r="R701" t="s">
        <v>74</v>
      </c>
      <c r="S701" t="s">
        <v>74</v>
      </c>
      <c r="T701" t="s">
        <v>74</v>
      </c>
      <c r="U701" t="s">
        <v>74</v>
      </c>
      <c r="V701" t="s">
        <v>13392</v>
      </c>
      <c r="W701" t="s">
        <v>13393</v>
      </c>
      <c r="X701" t="s">
        <v>13394</v>
      </c>
      <c r="Y701" t="s">
        <v>13395</v>
      </c>
      <c r="Z701" t="s">
        <v>13396</v>
      </c>
      <c r="AA701" t="s">
        <v>13397</v>
      </c>
      <c r="AB701" t="s">
        <v>13398</v>
      </c>
      <c r="AC701" t="s">
        <v>13399</v>
      </c>
      <c r="AD701" t="s">
        <v>13400</v>
      </c>
      <c r="AE701" t="s">
        <v>13401</v>
      </c>
      <c r="AF701" t="s">
        <v>74</v>
      </c>
      <c r="AG701">
        <v>17</v>
      </c>
      <c r="AH701">
        <v>0</v>
      </c>
      <c r="AI701">
        <v>0</v>
      </c>
      <c r="AJ701">
        <v>0</v>
      </c>
      <c r="AK701">
        <v>4</v>
      </c>
      <c r="AL701" t="s">
        <v>8595</v>
      </c>
      <c r="AM701" t="s">
        <v>576</v>
      </c>
      <c r="AN701" t="s">
        <v>8596</v>
      </c>
      <c r="AO701" t="s">
        <v>8597</v>
      </c>
      <c r="AP701" t="s">
        <v>74</v>
      </c>
      <c r="AQ701" t="s">
        <v>74</v>
      </c>
      <c r="AR701" t="s">
        <v>8598</v>
      </c>
      <c r="AS701" t="s">
        <v>8599</v>
      </c>
      <c r="AT701" t="s">
        <v>13402</v>
      </c>
      <c r="AU701">
        <v>2022</v>
      </c>
      <c r="AV701">
        <v>11</v>
      </c>
      <c r="AW701">
        <v>12</v>
      </c>
      <c r="AX701" t="s">
        <v>74</v>
      </c>
      <c r="AY701" t="s">
        <v>74</v>
      </c>
      <c r="AZ701" t="s">
        <v>74</v>
      </c>
      <c r="BA701" t="s">
        <v>74</v>
      </c>
      <c r="BB701" t="s">
        <v>74</v>
      </c>
      <c r="BC701" t="s">
        <v>74</v>
      </c>
      <c r="BD701" t="s">
        <v>74</v>
      </c>
      <c r="BE701" t="s">
        <v>13403</v>
      </c>
      <c r="BF701" t="str">
        <f>HYPERLINK("http://dx.doi.org/10.1128/mra.00752-22","http://dx.doi.org/10.1128/mra.00752-22")</f>
        <v>http://dx.doi.org/10.1128/mra.00752-22</v>
      </c>
      <c r="BG701" t="s">
        <v>74</v>
      </c>
      <c r="BH701" t="s">
        <v>11396</v>
      </c>
      <c r="BI701">
        <v>3</v>
      </c>
      <c r="BJ701" t="s">
        <v>1699</v>
      </c>
      <c r="BK701" t="s">
        <v>757</v>
      </c>
      <c r="BL701" t="s">
        <v>1699</v>
      </c>
      <c r="BM701" t="s">
        <v>13404</v>
      </c>
      <c r="BN701">
        <v>36383001</v>
      </c>
      <c r="BO701" t="s">
        <v>3181</v>
      </c>
      <c r="BP701" t="s">
        <v>74</v>
      </c>
      <c r="BQ701" t="s">
        <v>74</v>
      </c>
      <c r="BR701" t="s">
        <v>108</v>
      </c>
      <c r="BS701" t="s">
        <v>13405</v>
      </c>
      <c r="BT701" t="str">
        <f>HYPERLINK("https%3A%2F%2Fwww.webofscience.com%2Fwos%2Fwoscc%2Ffull-record%2FWOS:000885658500001","View Full Record in Web of Science")</f>
        <v>View Full Record in Web of Science</v>
      </c>
    </row>
    <row r="702" spans="1:72" x14ac:dyDescent="0.15">
      <c r="A702" t="s">
        <v>72</v>
      </c>
      <c r="B702" t="s">
        <v>13406</v>
      </c>
      <c r="C702" t="s">
        <v>74</v>
      </c>
      <c r="D702" t="s">
        <v>74</v>
      </c>
      <c r="E702" t="s">
        <v>74</v>
      </c>
      <c r="F702" t="s">
        <v>13407</v>
      </c>
      <c r="G702" t="s">
        <v>74</v>
      </c>
      <c r="H702" t="s">
        <v>74</v>
      </c>
      <c r="I702" t="s">
        <v>13408</v>
      </c>
      <c r="J702" t="s">
        <v>8532</v>
      </c>
      <c r="K702" t="s">
        <v>74</v>
      </c>
      <c r="L702" t="s">
        <v>74</v>
      </c>
      <c r="M702" t="s">
        <v>78</v>
      </c>
      <c r="N702" t="s">
        <v>79</v>
      </c>
      <c r="O702" t="s">
        <v>74</v>
      </c>
      <c r="P702" t="s">
        <v>74</v>
      </c>
      <c r="Q702" t="s">
        <v>74</v>
      </c>
      <c r="R702" t="s">
        <v>74</v>
      </c>
      <c r="S702" t="s">
        <v>74</v>
      </c>
      <c r="T702" t="s">
        <v>13409</v>
      </c>
      <c r="U702" t="s">
        <v>13410</v>
      </c>
      <c r="V702" t="s">
        <v>13411</v>
      </c>
      <c r="W702" t="s">
        <v>13412</v>
      </c>
      <c r="X702" t="s">
        <v>13413</v>
      </c>
      <c r="Y702" t="s">
        <v>13414</v>
      </c>
      <c r="Z702" t="s">
        <v>13415</v>
      </c>
      <c r="AA702" t="s">
        <v>13416</v>
      </c>
      <c r="AB702" t="s">
        <v>13417</v>
      </c>
      <c r="AC702" t="s">
        <v>13418</v>
      </c>
      <c r="AD702" t="s">
        <v>13418</v>
      </c>
      <c r="AE702" t="s">
        <v>13419</v>
      </c>
      <c r="AF702" t="s">
        <v>74</v>
      </c>
      <c r="AG702">
        <v>69</v>
      </c>
      <c r="AH702">
        <v>0</v>
      </c>
      <c r="AI702">
        <v>0</v>
      </c>
      <c r="AJ702">
        <v>8</v>
      </c>
      <c r="AK702">
        <v>30</v>
      </c>
      <c r="AL702" t="s">
        <v>297</v>
      </c>
      <c r="AM702" t="s">
        <v>298</v>
      </c>
      <c r="AN702" t="s">
        <v>299</v>
      </c>
      <c r="AO702" t="s">
        <v>8544</v>
      </c>
      <c r="AP702" t="s">
        <v>8545</v>
      </c>
      <c r="AQ702" t="s">
        <v>74</v>
      </c>
      <c r="AR702" t="s">
        <v>8546</v>
      </c>
      <c r="AS702" t="s">
        <v>8547</v>
      </c>
      <c r="AT702" t="s">
        <v>244</v>
      </c>
      <c r="AU702">
        <v>2023</v>
      </c>
      <c r="AV702">
        <v>37</v>
      </c>
      <c r="AW702">
        <v>2</v>
      </c>
      <c r="AX702" t="s">
        <v>74</v>
      </c>
      <c r="AY702" t="s">
        <v>74</v>
      </c>
      <c r="AZ702" t="s">
        <v>74</v>
      </c>
      <c r="BA702" t="s">
        <v>74</v>
      </c>
      <c r="BB702" t="s">
        <v>74</v>
      </c>
      <c r="BC702" t="s">
        <v>74</v>
      </c>
      <c r="BD702" t="s">
        <v>13420</v>
      </c>
      <c r="BE702" t="s">
        <v>13421</v>
      </c>
      <c r="BF702" t="str">
        <f>HYPERLINK("http://dx.doi.org/10.1111/cobi.14008","http://dx.doi.org/10.1111/cobi.14008")</f>
        <v>http://dx.doi.org/10.1111/cobi.14008</v>
      </c>
      <c r="BG702" t="s">
        <v>74</v>
      </c>
      <c r="BH702" t="s">
        <v>11396</v>
      </c>
      <c r="BI702">
        <v>11</v>
      </c>
      <c r="BJ702" t="s">
        <v>8549</v>
      </c>
      <c r="BK702" t="s">
        <v>104</v>
      </c>
      <c r="BL702" t="s">
        <v>306</v>
      </c>
      <c r="BM702" t="s">
        <v>13422</v>
      </c>
      <c r="BN702">
        <v>36178033</v>
      </c>
      <c r="BO702" t="s">
        <v>248</v>
      </c>
      <c r="BP702" t="s">
        <v>74</v>
      </c>
      <c r="BQ702" t="s">
        <v>74</v>
      </c>
      <c r="BR702" t="s">
        <v>108</v>
      </c>
      <c r="BS702" t="s">
        <v>13423</v>
      </c>
      <c r="BT702" t="str">
        <f>HYPERLINK("https%3A%2F%2Fwww.webofscience.com%2Fwos%2Fwoscc%2Ffull-record%2FWOS:000884305300001","View Full Record in Web of Science")</f>
        <v>View Full Record in Web of Science</v>
      </c>
    </row>
    <row r="703" spans="1:72" x14ac:dyDescent="0.15">
      <c r="A703" t="s">
        <v>72</v>
      </c>
      <c r="B703" t="s">
        <v>13424</v>
      </c>
      <c r="C703" t="s">
        <v>74</v>
      </c>
      <c r="D703" t="s">
        <v>74</v>
      </c>
      <c r="E703" t="s">
        <v>74</v>
      </c>
      <c r="F703" t="s">
        <v>13425</v>
      </c>
      <c r="G703" t="s">
        <v>74</v>
      </c>
      <c r="H703" t="s">
        <v>74</v>
      </c>
      <c r="I703" t="s">
        <v>13426</v>
      </c>
      <c r="J703" t="s">
        <v>13427</v>
      </c>
      <c r="K703" t="s">
        <v>74</v>
      </c>
      <c r="L703" t="s">
        <v>74</v>
      </c>
      <c r="M703" t="s">
        <v>78</v>
      </c>
      <c r="N703" t="s">
        <v>256</v>
      </c>
      <c r="O703" t="s">
        <v>74</v>
      </c>
      <c r="P703" t="s">
        <v>74</v>
      </c>
      <c r="Q703" t="s">
        <v>74</v>
      </c>
      <c r="R703" t="s">
        <v>74</v>
      </c>
      <c r="S703" t="s">
        <v>74</v>
      </c>
      <c r="T703" t="s">
        <v>13428</v>
      </c>
      <c r="U703" t="s">
        <v>13429</v>
      </c>
      <c r="V703" t="s">
        <v>13430</v>
      </c>
      <c r="W703" t="s">
        <v>13431</v>
      </c>
      <c r="X703" t="s">
        <v>13432</v>
      </c>
      <c r="Y703" t="s">
        <v>13433</v>
      </c>
      <c r="Z703" t="s">
        <v>10771</v>
      </c>
      <c r="AA703" t="s">
        <v>13434</v>
      </c>
      <c r="AB703" t="s">
        <v>13435</v>
      </c>
      <c r="AC703" t="s">
        <v>13436</v>
      </c>
      <c r="AD703" t="s">
        <v>13437</v>
      </c>
      <c r="AE703" t="s">
        <v>13438</v>
      </c>
      <c r="AF703" t="s">
        <v>74</v>
      </c>
      <c r="AG703">
        <v>285</v>
      </c>
      <c r="AH703">
        <v>16</v>
      </c>
      <c r="AI703">
        <v>16</v>
      </c>
      <c r="AJ703">
        <v>39</v>
      </c>
      <c r="AK703">
        <v>123</v>
      </c>
      <c r="AL703" t="s">
        <v>297</v>
      </c>
      <c r="AM703" t="s">
        <v>298</v>
      </c>
      <c r="AN703" t="s">
        <v>299</v>
      </c>
      <c r="AO703" t="s">
        <v>13439</v>
      </c>
      <c r="AP703" t="s">
        <v>13440</v>
      </c>
      <c r="AQ703" t="s">
        <v>74</v>
      </c>
      <c r="AR703" t="s">
        <v>13441</v>
      </c>
      <c r="AS703" t="s">
        <v>13442</v>
      </c>
      <c r="AT703" t="s">
        <v>276</v>
      </c>
      <c r="AU703">
        <v>2023</v>
      </c>
      <c r="AV703">
        <v>14</v>
      </c>
      <c r="AW703">
        <v>1</v>
      </c>
      <c r="AX703" t="s">
        <v>74</v>
      </c>
      <c r="AY703" t="s">
        <v>74</v>
      </c>
      <c r="AZ703" t="s">
        <v>74</v>
      </c>
      <c r="BA703" t="s">
        <v>74</v>
      </c>
      <c r="BB703" t="s">
        <v>74</v>
      </c>
      <c r="BC703" t="s">
        <v>74</v>
      </c>
      <c r="BD703" t="s">
        <v>13443</v>
      </c>
      <c r="BE703" t="s">
        <v>13444</v>
      </c>
      <c r="BF703" t="str">
        <f>HYPERLINK("http://dx.doi.org/10.1002/wcc.810","http://dx.doi.org/10.1002/wcc.810")</f>
        <v>http://dx.doi.org/10.1002/wcc.810</v>
      </c>
      <c r="BG703" t="s">
        <v>74</v>
      </c>
      <c r="BH703" t="s">
        <v>11396</v>
      </c>
      <c r="BI703">
        <v>28</v>
      </c>
      <c r="BJ703" t="s">
        <v>13445</v>
      </c>
      <c r="BK703" t="s">
        <v>354</v>
      </c>
      <c r="BL703" t="s">
        <v>355</v>
      </c>
      <c r="BM703" t="s">
        <v>13446</v>
      </c>
      <c r="BN703" t="s">
        <v>74</v>
      </c>
      <c r="BO703" t="s">
        <v>248</v>
      </c>
      <c r="BP703" t="s">
        <v>74</v>
      </c>
      <c r="BQ703" t="s">
        <v>74</v>
      </c>
      <c r="BR703" t="s">
        <v>108</v>
      </c>
      <c r="BS703" t="s">
        <v>13447</v>
      </c>
      <c r="BT703" t="str">
        <f>HYPERLINK("https%3A%2F%2Fwww.webofscience.com%2Fwos%2Fwoscc%2Ffull-record%2FWOS:000884309400001","View Full Record in Web of Science")</f>
        <v>View Full Record in Web of Science</v>
      </c>
    </row>
    <row r="704" spans="1:72" x14ac:dyDescent="0.15">
      <c r="A704" t="s">
        <v>72</v>
      </c>
      <c r="B704" t="s">
        <v>13448</v>
      </c>
      <c r="C704" t="s">
        <v>74</v>
      </c>
      <c r="D704" t="s">
        <v>74</v>
      </c>
      <c r="E704" t="s">
        <v>74</v>
      </c>
      <c r="F704" t="s">
        <v>13449</v>
      </c>
      <c r="G704" t="s">
        <v>74</v>
      </c>
      <c r="H704" t="s">
        <v>74</v>
      </c>
      <c r="I704" t="s">
        <v>13450</v>
      </c>
      <c r="J704" t="s">
        <v>13451</v>
      </c>
      <c r="K704" t="s">
        <v>74</v>
      </c>
      <c r="L704" t="s">
        <v>74</v>
      </c>
      <c r="M704" t="s">
        <v>78</v>
      </c>
      <c r="N704" t="s">
        <v>79</v>
      </c>
      <c r="O704" t="s">
        <v>74</v>
      </c>
      <c r="P704" t="s">
        <v>74</v>
      </c>
      <c r="Q704" t="s">
        <v>74</v>
      </c>
      <c r="R704" t="s">
        <v>74</v>
      </c>
      <c r="S704" t="s">
        <v>74</v>
      </c>
      <c r="T704" t="s">
        <v>13452</v>
      </c>
      <c r="U704" t="s">
        <v>13453</v>
      </c>
      <c r="V704" t="s">
        <v>13454</v>
      </c>
      <c r="W704" t="s">
        <v>13455</v>
      </c>
      <c r="X704" t="s">
        <v>909</v>
      </c>
      <c r="Y704" t="s">
        <v>13456</v>
      </c>
      <c r="Z704" t="s">
        <v>13457</v>
      </c>
      <c r="AA704" t="s">
        <v>74</v>
      </c>
      <c r="AB704" t="s">
        <v>13458</v>
      </c>
      <c r="AC704" t="s">
        <v>13459</v>
      </c>
      <c r="AD704" t="s">
        <v>13460</v>
      </c>
      <c r="AE704" t="s">
        <v>13461</v>
      </c>
      <c r="AF704" t="s">
        <v>74</v>
      </c>
      <c r="AG704">
        <v>21</v>
      </c>
      <c r="AH704">
        <v>2</v>
      </c>
      <c r="AI704">
        <v>2</v>
      </c>
      <c r="AJ704">
        <v>18</v>
      </c>
      <c r="AK704">
        <v>43</v>
      </c>
      <c r="AL704" t="s">
        <v>703</v>
      </c>
      <c r="AM704" t="s">
        <v>704</v>
      </c>
      <c r="AN704" t="s">
        <v>705</v>
      </c>
      <c r="AO704" t="s">
        <v>13462</v>
      </c>
      <c r="AP704" t="s">
        <v>13463</v>
      </c>
      <c r="AQ704" t="s">
        <v>74</v>
      </c>
      <c r="AR704" t="s">
        <v>13464</v>
      </c>
      <c r="AS704" t="s">
        <v>13465</v>
      </c>
      <c r="AT704" t="s">
        <v>13466</v>
      </c>
      <c r="AU704">
        <v>2023</v>
      </c>
      <c r="AV704">
        <v>26</v>
      </c>
      <c r="AW704">
        <v>3</v>
      </c>
      <c r="AX704" t="s">
        <v>74</v>
      </c>
      <c r="AY704" t="s">
        <v>74</v>
      </c>
      <c r="AZ704" t="s">
        <v>74</v>
      </c>
      <c r="BA704" t="s">
        <v>74</v>
      </c>
      <c r="BB704">
        <v>465</v>
      </c>
      <c r="BC704">
        <v>479</v>
      </c>
      <c r="BD704" t="s">
        <v>74</v>
      </c>
      <c r="BE704" t="s">
        <v>13467</v>
      </c>
      <c r="BF704" t="str">
        <f>HYPERLINK("http://dx.doi.org/10.1080/10095020.2022.2124128","http://dx.doi.org/10.1080/10095020.2022.2124128")</f>
        <v>http://dx.doi.org/10.1080/10095020.2022.2124128</v>
      </c>
      <c r="BG704" t="s">
        <v>74</v>
      </c>
      <c r="BH704" t="s">
        <v>11396</v>
      </c>
      <c r="BI704">
        <v>15</v>
      </c>
      <c r="BJ704" t="s">
        <v>5604</v>
      </c>
      <c r="BK704" t="s">
        <v>104</v>
      </c>
      <c r="BL704" t="s">
        <v>5604</v>
      </c>
      <c r="BM704" t="s">
        <v>13468</v>
      </c>
      <c r="BN704" t="s">
        <v>74</v>
      </c>
      <c r="BO704" t="s">
        <v>165</v>
      </c>
      <c r="BP704" t="s">
        <v>74</v>
      </c>
      <c r="BQ704" t="s">
        <v>74</v>
      </c>
      <c r="BR704" t="s">
        <v>108</v>
      </c>
      <c r="BS704" t="s">
        <v>13469</v>
      </c>
      <c r="BT704" t="str">
        <f>HYPERLINK("https%3A%2F%2Fwww.webofscience.com%2Fwos%2Fwoscc%2Ffull-record%2FWOS:000884247100001","View Full Record in Web of Science")</f>
        <v>View Full Record in Web of Science</v>
      </c>
    </row>
    <row r="705" spans="1:72" x14ac:dyDescent="0.15">
      <c r="A705" t="s">
        <v>72</v>
      </c>
      <c r="B705" t="s">
        <v>13470</v>
      </c>
      <c r="C705" t="s">
        <v>74</v>
      </c>
      <c r="D705" t="s">
        <v>74</v>
      </c>
      <c r="E705" t="s">
        <v>74</v>
      </c>
      <c r="F705" t="s">
        <v>13471</v>
      </c>
      <c r="G705" t="s">
        <v>74</v>
      </c>
      <c r="H705" t="s">
        <v>74</v>
      </c>
      <c r="I705" t="s">
        <v>13472</v>
      </c>
      <c r="J705" t="s">
        <v>6736</v>
      </c>
      <c r="K705" t="s">
        <v>74</v>
      </c>
      <c r="L705" t="s">
        <v>74</v>
      </c>
      <c r="M705" t="s">
        <v>78</v>
      </c>
      <c r="N705" t="s">
        <v>79</v>
      </c>
      <c r="O705" t="s">
        <v>74</v>
      </c>
      <c r="P705" t="s">
        <v>74</v>
      </c>
      <c r="Q705" t="s">
        <v>74</v>
      </c>
      <c r="R705" t="s">
        <v>74</v>
      </c>
      <c r="S705" t="s">
        <v>74</v>
      </c>
      <c r="T705" t="s">
        <v>74</v>
      </c>
      <c r="U705" t="s">
        <v>13473</v>
      </c>
      <c r="V705" t="s">
        <v>13474</v>
      </c>
      <c r="W705" t="s">
        <v>13475</v>
      </c>
      <c r="X705" t="s">
        <v>13476</v>
      </c>
      <c r="Y705" t="s">
        <v>13477</v>
      </c>
      <c r="Z705" t="s">
        <v>13478</v>
      </c>
      <c r="AA705" t="s">
        <v>13479</v>
      </c>
      <c r="AB705" t="s">
        <v>13480</v>
      </c>
      <c r="AC705" t="s">
        <v>13481</v>
      </c>
      <c r="AD705" t="s">
        <v>13482</v>
      </c>
      <c r="AE705" t="s">
        <v>13483</v>
      </c>
      <c r="AF705" t="s">
        <v>74</v>
      </c>
      <c r="AG705">
        <v>35</v>
      </c>
      <c r="AH705">
        <v>1</v>
      </c>
      <c r="AI705">
        <v>2</v>
      </c>
      <c r="AJ705">
        <v>5</v>
      </c>
      <c r="AK705">
        <v>15</v>
      </c>
      <c r="AL705" t="s">
        <v>1791</v>
      </c>
      <c r="AM705" t="s">
        <v>576</v>
      </c>
      <c r="AN705" t="s">
        <v>1792</v>
      </c>
      <c r="AO705" t="s">
        <v>6747</v>
      </c>
      <c r="AP705" t="s">
        <v>6748</v>
      </c>
      <c r="AQ705" t="s">
        <v>74</v>
      </c>
      <c r="AR705" t="s">
        <v>6749</v>
      </c>
      <c r="AS705" t="s">
        <v>6750</v>
      </c>
      <c r="AT705" t="s">
        <v>13320</v>
      </c>
      <c r="AU705">
        <v>2022</v>
      </c>
      <c r="AV705">
        <v>49</v>
      </c>
      <c r="AW705">
        <v>21</v>
      </c>
      <c r="AX705" t="s">
        <v>74</v>
      </c>
      <c r="AY705" t="s">
        <v>74</v>
      </c>
      <c r="AZ705" t="s">
        <v>74</v>
      </c>
      <c r="BA705" t="s">
        <v>74</v>
      </c>
      <c r="BB705" t="s">
        <v>74</v>
      </c>
      <c r="BC705" t="s">
        <v>74</v>
      </c>
      <c r="BD705" t="s">
        <v>13484</v>
      </c>
      <c r="BE705" t="s">
        <v>13485</v>
      </c>
      <c r="BF705" t="str">
        <f>HYPERLINK("http://dx.doi.org/10.1029/2022GL099445","http://dx.doi.org/10.1029/2022GL099445")</f>
        <v>http://dx.doi.org/10.1029/2022GL099445</v>
      </c>
      <c r="BG705" t="s">
        <v>74</v>
      </c>
      <c r="BH705" t="s">
        <v>74</v>
      </c>
      <c r="BI705">
        <v>8</v>
      </c>
      <c r="BJ705" t="s">
        <v>455</v>
      </c>
      <c r="BK705" t="s">
        <v>104</v>
      </c>
      <c r="BL705" t="s">
        <v>456</v>
      </c>
      <c r="BM705" t="s">
        <v>13486</v>
      </c>
      <c r="BN705" t="s">
        <v>74</v>
      </c>
      <c r="BO705" t="s">
        <v>74</v>
      </c>
      <c r="BP705" t="s">
        <v>74</v>
      </c>
      <c r="BQ705" t="s">
        <v>74</v>
      </c>
      <c r="BR705" t="s">
        <v>108</v>
      </c>
      <c r="BS705" t="s">
        <v>13487</v>
      </c>
      <c r="BT705" t="str">
        <f>HYPERLINK("https%3A%2F%2Fwww.webofscience.com%2Fwos%2Fwoscc%2Ffull-record%2FWOS:000879814700001","View Full Record in Web of Science")</f>
        <v>View Full Record in Web of Science</v>
      </c>
    </row>
    <row r="706" spans="1:72" x14ac:dyDescent="0.15">
      <c r="A706" t="s">
        <v>72</v>
      </c>
      <c r="B706" t="s">
        <v>13488</v>
      </c>
      <c r="C706" t="s">
        <v>74</v>
      </c>
      <c r="D706" t="s">
        <v>74</v>
      </c>
      <c r="E706" t="s">
        <v>74</v>
      </c>
      <c r="F706" t="s">
        <v>13489</v>
      </c>
      <c r="G706" t="s">
        <v>74</v>
      </c>
      <c r="H706" t="s">
        <v>74</v>
      </c>
      <c r="I706" t="s">
        <v>13490</v>
      </c>
      <c r="J706" t="s">
        <v>170</v>
      </c>
      <c r="K706" t="s">
        <v>74</v>
      </c>
      <c r="L706" t="s">
        <v>74</v>
      </c>
      <c r="M706" t="s">
        <v>78</v>
      </c>
      <c r="N706" t="s">
        <v>79</v>
      </c>
      <c r="O706" t="s">
        <v>74</v>
      </c>
      <c r="P706" t="s">
        <v>74</v>
      </c>
      <c r="Q706" t="s">
        <v>74</v>
      </c>
      <c r="R706" t="s">
        <v>74</v>
      </c>
      <c r="S706" t="s">
        <v>74</v>
      </c>
      <c r="T706" t="s">
        <v>74</v>
      </c>
      <c r="U706" t="s">
        <v>13491</v>
      </c>
      <c r="V706" t="s">
        <v>13492</v>
      </c>
      <c r="W706" t="s">
        <v>13493</v>
      </c>
      <c r="X706" t="s">
        <v>13494</v>
      </c>
      <c r="Y706" t="s">
        <v>13495</v>
      </c>
      <c r="Z706" t="s">
        <v>13496</v>
      </c>
      <c r="AA706" t="s">
        <v>13497</v>
      </c>
      <c r="AB706" t="s">
        <v>13498</v>
      </c>
      <c r="AC706" t="s">
        <v>13499</v>
      </c>
      <c r="AD706" t="s">
        <v>13500</v>
      </c>
      <c r="AE706" t="s">
        <v>13501</v>
      </c>
      <c r="AF706" t="s">
        <v>74</v>
      </c>
      <c r="AG706">
        <v>61</v>
      </c>
      <c r="AH706">
        <v>3</v>
      </c>
      <c r="AI706">
        <v>3</v>
      </c>
      <c r="AJ706">
        <v>0</v>
      </c>
      <c r="AK706">
        <v>4</v>
      </c>
      <c r="AL706" t="s">
        <v>182</v>
      </c>
      <c r="AM706" t="s">
        <v>183</v>
      </c>
      <c r="AN706" t="s">
        <v>184</v>
      </c>
      <c r="AO706" t="s">
        <v>185</v>
      </c>
      <c r="AP706" t="s">
        <v>74</v>
      </c>
      <c r="AQ706" t="s">
        <v>74</v>
      </c>
      <c r="AR706" t="s">
        <v>186</v>
      </c>
      <c r="AS706" t="s">
        <v>187</v>
      </c>
      <c r="AT706" t="s">
        <v>13502</v>
      </c>
      <c r="AU706">
        <v>2022</v>
      </c>
      <c r="AV706">
        <v>12</v>
      </c>
      <c r="AW706">
        <v>1</v>
      </c>
      <c r="AX706" t="s">
        <v>74</v>
      </c>
      <c r="AY706" t="s">
        <v>74</v>
      </c>
      <c r="AZ706" t="s">
        <v>74</v>
      </c>
      <c r="BA706" t="s">
        <v>74</v>
      </c>
      <c r="BB706" t="s">
        <v>74</v>
      </c>
      <c r="BC706" t="s">
        <v>74</v>
      </c>
      <c r="BD706">
        <v>19557</v>
      </c>
      <c r="BE706" t="s">
        <v>13503</v>
      </c>
      <c r="BF706" t="str">
        <f>HYPERLINK("http://dx.doi.org/10.1038/s41598-022-23991-3","http://dx.doi.org/10.1038/s41598-022-23991-3")</f>
        <v>http://dx.doi.org/10.1038/s41598-022-23991-3</v>
      </c>
      <c r="BG706" t="s">
        <v>74</v>
      </c>
      <c r="BH706" t="s">
        <v>74</v>
      </c>
      <c r="BI706">
        <v>10</v>
      </c>
      <c r="BJ706" t="s">
        <v>189</v>
      </c>
      <c r="BK706" t="s">
        <v>104</v>
      </c>
      <c r="BL706" t="s">
        <v>190</v>
      </c>
      <c r="BM706" t="s">
        <v>13504</v>
      </c>
      <c r="BN706">
        <v>36380001</v>
      </c>
      <c r="BO706" t="s">
        <v>192</v>
      </c>
      <c r="BP706" t="s">
        <v>74</v>
      </c>
      <c r="BQ706" t="s">
        <v>74</v>
      </c>
      <c r="BR706" t="s">
        <v>108</v>
      </c>
      <c r="BS706" t="s">
        <v>13505</v>
      </c>
      <c r="BT706" t="str">
        <f>HYPERLINK("https%3A%2F%2Fwww.webofscience.com%2Fwos%2Fwoscc%2Ffull-record%2FWOS:000885139000072","View Full Record in Web of Science")</f>
        <v>View Full Record in Web of Science</v>
      </c>
    </row>
    <row r="707" spans="1:72" x14ac:dyDescent="0.15">
      <c r="A707" t="s">
        <v>72</v>
      </c>
      <c r="B707" t="s">
        <v>13506</v>
      </c>
      <c r="C707" t="s">
        <v>74</v>
      </c>
      <c r="D707" t="s">
        <v>74</v>
      </c>
      <c r="E707" t="s">
        <v>74</v>
      </c>
      <c r="F707" t="s">
        <v>13507</v>
      </c>
      <c r="G707" t="s">
        <v>74</v>
      </c>
      <c r="H707" t="s">
        <v>74</v>
      </c>
      <c r="I707" t="s">
        <v>13508</v>
      </c>
      <c r="J707" t="s">
        <v>13509</v>
      </c>
      <c r="K707" t="s">
        <v>74</v>
      </c>
      <c r="L707" t="s">
        <v>74</v>
      </c>
      <c r="M707" t="s">
        <v>78</v>
      </c>
      <c r="N707" t="s">
        <v>79</v>
      </c>
      <c r="O707" t="s">
        <v>74</v>
      </c>
      <c r="P707" t="s">
        <v>74</v>
      </c>
      <c r="Q707" t="s">
        <v>74</v>
      </c>
      <c r="R707" t="s">
        <v>74</v>
      </c>
      <c r="S707" t="s">
        <v>74</v>
      </c>
      <c r="T707" t="s">
        <v>13510</v>
      </c>
      <c r="U707" t="s">
        <v>13511</v>
      </c>
      <c r="V707" t="s">
        <v>13512</v>
      </c>
      <c r="W707" t="s">
        <v>13513</v>
      </c>
      <c r="X707" t="s">
        <v>13514</v>
      </c>
      <c r="Y707" t="s">
        <v>13515</v>
      </c>
      <c r="Z707" t="s">
        <v>13516</v>
      </c>
      <c r="AA707" t="s">
        <v>74</v>
      </c>
      <c r="AB707" t="s">
        <v>74</v>
      </c>
      <c r="AC707" t="s">
        <v>13517</v>
      </c>
      <c r="AD707" t="s">
        <v>13518</v>
      </c>
      <c r="AE707" t="s">
        <v>13519</v>
      </c>
      <c r="AF707" t="s">
        <v>74</v>
      </c>
      <c r="AG707">
        <v>66</v>
      </c>
      <c r="AH707">
        <v>0</v>
      </c>
      <c r="AI707">
        <v>0</v>
      </c>
      <c r="AJ707">
        <v>0</v>
      </c>
      <c r="AK707">
        <v>3</v>
      </c>
      <c r="AL707" t="s">
        <v>237</v>
      </c>
      <c r="AM707" t="s">
        <v>238</v>
      </c>
      <c r="AN707" t="s">
        <v>239</v>
      </c>
      <c r="AO707" t="s">
        <v>13520</v>
      </c>
      <c r="AP707" t="s">
        <v>13521</v>
      </c>
      <c r="AQ707" t="s">
        <v>74</v>
      </c>
      <c r="AR707" t="s">
        <v>13522</v>
      </c>
      <c r="AS707" t="s">
        <v>13523</v>
      </c>
      <c r="AT707" t="s">
        <v>13502</v>
      </c>
      <c r="AU707">
        <v>2022</v>
      </c>
      <c r="AV707">
        <v>606</v>
      </c>
      <c r="AW707" t="s">
        <v>74</v>
      </c>
      <c r="AX707" t="s">
        <v>74</v>
      </c>
      <c r="AY707" t="s">
        <v>74</v>
      </c>
      <c r="AZ707" t="s">
        <v>74</v>
      </c>
      <c r="BA707" t="s">
        <v>74</v>
      </c>
      <c r="BB707" t="s">
        <v>74</v>
      </c>
      <c r="BC707" t="s">
        <v>74</v>
      </c>
      <c r="BD707">
        <v>111249</v>
      </c>
      <c r="BE707" t="s">
        <v>13524</v>
      </c>
      <c r="BF707" t="str">
        <f>HYPERLINK("http://dx.doi.org/10.1016/j.palaeo.2022.111249","http://dx.doi.org/10.1016/j.palaeo.2022.111249")</f>
        <v>http://dx.doi.org/10.1016/j.palaeo.2022.111249</v>
      </c>
      <c r="BG707" t="s">
        <v>74</v>
      </c>
      <c r="BH707" t="s">
        <v>74</v>
      </c>
      <c r="BI707">
        <v>8</v>
      </c>
      <c r="BJ707" t="s">
        <v>13525</v>
      </c>
      <c r="BK707" t="s">
        <v>104</v>
      </c>
      <c r="BL707" t="s">
        <v>13526</v>
      </c>
      <c r="BM707" t="s">
        <v>13527</v>
      </c>
      <c r="BN707" t="s">
        <v>74</v>
      </c>
      <c r="BO707" t="s">
        <v>3561</v>
      </c>
      <c r="BP707" t="s">
        <v>74</v>
      </c>
      <c r="BQ707" t="s">
        <v>74</v>
      </c>
      <c r="BR707" t="s">
        <v>108</v>
      </c>
      <c r="BS707" t="s">
        <v>13528</v>
      </c>
      <c r="BT707" t="str">
        <f>HYPERLINK("https%3A%2F%2Fwww.webofscience.com%2Fwos%2Fwoscc%2Ffull-record%2FWOS:000933645500003","View Full Record in Web of Science")</f>
        <v>View Full Record in Web of Science</v>
      </c>
    </row>
    <row r="708" spans="1:72" x14ac:dyDescent="0.15">
      <c r="A708" t="s">
        <v>72</v>
      </c>
      <c r="B708" t="s">
        <v>13529</v>
      </c>
      <c r="C708" t="s">
        <v>74</v>
      </c>
      <c r="D708" t="s">
        <v>74</v>
      </c>
      <c r="E708" t="s">
        <v>74</v>
      </c>
      <c r="F708" t="s">
        <v>13530</v>
      </c>
      <c r="G708" t="s">
        <v>74</v>
      </c>
      <c r="H708" t="s">
        <v>74</v>
      </c>
      <c r="I708" t="s">
        <v>13531</v>
      </c>
      <c r="J708" t="s">
        <v>13532</v>
      </c>
      <c r="K708" t="s">
        <v>74</v>
      </c>
      <c r="L708" t="s">
        <v>74</v>
      </c>
      <c r="M708" t="s">
        <v>78</v>
      </c>
      <c r="N708" t="s">
        <v>79</v>
      </c>
      <c r="O708" t="s">
        <v>74</v>
      </c>
      <c r="P708" t="s">
        <v>74</v>
      </c>
      <c r="Q708" t="s">
        <v>74</v>
      </c>
      <c r="R708" t="s">
        <v>74</v>
      </c>
      <c r="S708" t="s">
        <v>74</v>
      </c>
      <c r="T708" t="s">
        <v>13533</v>
      </c>
      <c r="U708" t="s">
        <v>13534</v>
      </c>
      <c r="V708" t="s">
        <v>13535</v>
      </c>
      <c r="W708" t="s">
        <v>13536</v>
      </c>
      <c r="X708" t="s">
        <v>13537</v>
      </c>
      <c r="Y708" t="s">
        <v>13538</v>
      </c>
      <c r="Z708" t="s">
        <v>13539</v>
      </c>
      <c r="AA708" t="s">
        <v>74</v>
      </c>
      <c r="AB708" t="s">
        <v>13540</v>
      </c>
      <c r="AC708" t="s">
        <v>13541</v>
      </c>
      <c r="AD708" t="s">
        <v>13542</v>
      </c>
      <c r="AE708" t="s">
        <v>13543</v>
      </c>
      <c r="AF708" t="s">
        <v>74</v>
      </c>
      <c r="AG708">
        <v>66</v>
      </c>
      <c r="AH708">
        <v>2</v>
      </c>
      <c r="AI708">
        <v>2</v>
      </c>
      <c r="AJ708">
        <v>3</v>
      </c>
      <c r="AK708">
        <v>12</v>
      </c>
      <c r="AL708" t="s">
        <v>13544</v>
      </c>
      <c r="AM708" t="s">
        <v>13545</v>
      </c>
      <c r="AN708" t="s">
        <v>13546</v>
      </c>
      <c r="AO708" t="s">
        <v>13547</v>
      </c>
      <c r="AP708" t="s">
        <v>74</v>
      </c>
      <c r="AQ708" t="s">
        <v>74</v>
      </c>
      <c r="AR708" t="s">
        <v>13532</v>
      </c>
      <c r="AS708" t="s">
        <v>13548</v>
      </c>
      <c r="AT708" t="s">
        <v>13502</v>
      </c>
      <c r="AU708">
        <v>2022</v>
      </c>
      <c r="AV708">
        <v>14</v>
      </c>
      <c r="AW708">
        <v>21</v>
      </c>
      <c r="AX708" t="s">
        <v>74</v>
      </c>
      <c r="AY708" t="s">
        <v>74</v>
      </c>
      <c r="AZ708" t="s">
        <v>74</v>
      </c>
      <c r="BA708" t="s">
        <v>74</v>
      </c>
      <c r="BB708">
        <v>8661</v>
      </c>
      <c r="BC708">
        <v>8687</v>
      </c>
      <c r="BD708" t="s">
        <v>74</v>
      </c>
      <c r="BE708" t="s">
        <v>74</v>
      </c>
      <c r="BF708" t="s">
        <v>74</v>
      </c>
      <c r="BG708" t="s">
        <v>74</v>
      </c>
      <c r="BH708" t="s">
        <v>74</v>
      </c>
      <c r="BI708">
        <v>27</v>
      </c>
      <c r="BJ708" t="s">
        <v>13549</v>
      </c>
      <c r="BK708" t="s">
        <v>104</v>
      </c>
      <c r="BL708" t="s">
        <v>13549</v>
      </c>
      <c r="BM708" t="s">
        <v>13550</v>
      </c>
      <c r="BN708">
        <v>36367773</v>
      </c>
      <c r="BO708" t="s">
        <v>3181</v>
      </c>
      <c r="BP708" t="s">
        <v>74</v>
      </c>
      <c r="BQ708" t="s">
        <v>74</v>
      </c>
      <c r="BR708" t="s">
        <v>108</v>
      </c>
      <c r="BS708" t="s">
        <v>13551</v>
      </c>
      <c r="BT708" t="str">
        <f>HYPERLINK("https%3A%2F%2Fwww.webofscience.com%2Fwos%2Fwoscc%2Ffull-record%2FWOS:000886366800007","View Full Record in Web of Science")</f>
        <v>View Full Record in Web of Science</v>
      </c>
    </row>
    <row r="709" spans="1:72" x14ac:dyDescent="0.15">
      <c r="A709" t="s">
        <v>72</v>
      </c>
      <c r="B709" t="s">
        <v>13552</v>
      </c>
      <c r="C709" t="s">
        <v>74</v>
      </c>
      <c r="D709" t="s">
        <v>74</v>
      </c>
      <c r="E709" t="s">
        <v>74</v>
      </c>
      <c r="F709" t="s">
        <v>13553</v>
      </c>
      <c r="G709" t="s">
        <v>74</v>
      </c>
      <c r="H709" t="s">
        <v>74</v>
      </c>
      <c r="I709" t="s">
        <v>13554</v>
      </c>
      <c r="J709" t="s">
        <v>7124</v>
      </c>
      <c r="K709" t="s">
        <v>74</v>
      </c>
      <c r="L709" t="s">
        <v>74</v>
      </c>
      <c r="M709" t="s">
        <v>78</v>
      </c>
      <c r="N709" t="s">
        <v>79</v>
      </c>
      <c r="O709" t="s">
        <v>74</v>
      </c>
      <c r="P709" t="s">
        <v>74</v>
      </c>
      <c r="Q709" t="s">
        <v>74</v>
      </c>
      <c r="R709" t="s">
        <v>74</v>
      </c>
      <c r="S709" t="s">
        <v>74</v>
      </c>
      <c r="T709" t="s">
        <v>74</v>
      </c>
      <c r="U709" t="s">
        <v>13555</v>
      </c>
      <c r="V709" t="s">
        <v>13556</v>
      </c>
      <c r="W709" t="s">
        <v>13557</v>
      </c>
      <c r="X709" t="s">
        <v>13558</v>
      </c>
      <c r="Y709" t="s">
        <v>13559</v>
      </c>
      <c r="Z709" t="s">
        <v>13560</v>
      </c>
      <c r="AA709" t="s">
        <v>13561</v>
      </c>
      <c r="AB709" t="s">
        <v>13562</v>
      </c>
      <c r="AC709" t="s">
        <v>13563</v>
      </c>
      <c r="AD709" t="s">
        <v>13564</v>
      </c>
      <c r="AE709" t="s">
        <v>13565</v>
      </c>
      <c r="AF709" t="s">
        <v>74</v>
      </c>
      <c r="AG709">
        <v>62</v>
      </c>
      <c r="AH709">
        <v>4</v>
      </c>
      <c r="AI709">
        <v>4</v>
      </c>
      <c r="AJ709">
        <v>6</v>
      </c>
      <c r="AK709">
        <v>24</v>
      </c>
      <c r="AL709" t="s">
        <v>126</v>
      </c>
      <c r="AM709" t="s">
        <v>127</v>
      </c>
      <c r="AN709" t="s">
        <v>128</v>
      </c>
      <c r="AO709" t="s">
        <v>7136</v>
      </c>
      <c r="AP709" t="s">
        <v>7137</v>
      </c>
      <c r="AQ709" t="s">
        <v>74</v>
      </c>
      <c r="AR709" t="s">
        <v>7138</v>
      </c>
      <c r="AS709" t="s">
        <v>7139</v>
      </c>
      <c r="AT709" t="s">
        <v>13502</v>
      </c>
      <c r="AU709">
        <v>2022</v>
      </c>
      <c r="AV709">
        <v>14</v>
      </c>
      <c r="AW709">
        <v>11</v>
      </c>
      <c r="AX709" t="s">
        <v>74</v>
      </c>
      <c r="AY709" t="s">
        <v>74</v>
      </c>
      <c r="AZ709" t="s">
        <v>74</v>
      </c>
      <c r="BA709" t="s">
        <v>74</v>
      </c>
      <c r="BB709">
        <v>5019</v>
      </c>
      <c r="BC709">
        <v>5035</v>
      </c>
      <c r="BD709" t="s">
        <v>74</v>
      </c>
      <c r="BE709" t="s">
        <v>13566</v>
      </c>
      <c r="BF709" t="str">
        <f>HYPERLINK("http://dx.doi.org/10.5194/essd-14-5019-2022","http://dx.doi.org/10.5194/essd-14-5019-2022")</f>
        <v>http://dx.doi.org/10.5194/essd-14-5019-2022</v>
      </c>
      <c r="BG709" t="s">
        <v>74</v>
      </c>
      <c r="BH709" t="s">
        <v>74</v>
      </c>
      <c r="BI709">
        <v>17</v>
      </c>
      <c r="BJ709" t="s">
        <v>135</v>
      </c>
      <c r="BK709" t="s">
        <v>104</v>
      </c>
      <c r="BL709" t="s">
        <v>136</v>
      </c>
      <c r="BM709" t="s">
        <v>13567</v>
      </c>
      <c r="BN709" t="s">
        <v>74</v>
      </c>
      <c r="BO709" t="s">
        <v>737</v>
      </c>
      <c r="BP709" t="s">
        <v>74</v>
      </c>
      <c r="BQ709" t="s">
        <v>74</v>
      </c>
      <c r="BR709" t="s">
        <v>108</v>
      </c>
      <c r="BS709" t="s">
        <v>13568</v>
      </c>
      <c r="BT709" t="str">
        <f>HYPERLINK("https%3A%2F%2Fwww.webofscience.com%2Fwos%2Fwoscc%2Ffull-record%2FWOS:000890891200001","View Full Record in Web of Science")</f>
        <v>View Full Record in Web of Science</v>
      </c>
    </row>
    <row r="710" spans="1:72" x14ac:dyDescent="0.15">
      <c r="A710" t="s">
        <v>72</v>
      </c>
      <c r="B710" t="s">
        <v>13569</v>
      </c>
      <c r="C710" t="s">
        <v>74</v>
      </c>
      <c r="D710" t="s">
        <v>74</v>
      </c>
      <c r="E710" t="s">
        <v>74</v>
      </c>
      <c r="F710" t="s">
        <v>13570</v>
      </c>
      <c r="G710" t="s">
        <v>74</v>
      </c>
      <c r="H710" t="s">
        <v>74</v>
      </c>
      <c r="I710" t="s">
        <v>13571</v>
      </c>
      <c r="J710" t="s">
        <v>114</v>
      </c>
      <c r="K710" t="s">
        <v>74</v>
      </c>
      <c r="L710" t="s">
        <v>74</v>
      </c>
      <c r="M710" t="s">
        <v>78</v>
      </c>
      <c r="N710" t="s">
        <v>79</v>
      </c>
      <c r="O710" t="s">
        <v>74</v>
      </c>
      <c r="P710" t="s">
        <v>74</v>
      </c>
      <c r="Q710" t="s">
        <v>74</v>
      </c>
      <c r="R710" t="s">
        <v>74</v>
      </c>
      <c r="S710" t="s">
        <v>74</v>
      </c>
      <c r="T710" t="s">
        <v>74</v>
      </c>
      <c r="U710" t="s">
        <v>13572</v>
      </c>
      <c r="V710" t="s">
        <v>13573</v>
      </c>
      <c r="W710" t="s">
        <v>13574</v>
      </c>
      <c r="X710" t="s">
        <v>13575</v>
      </c>
      <c r="Y710" t="s">
        <v>13576</v>
      </c>
      <c r="Z710" t="s">
        <v>13577</v>
      </c>
      <c r="AA710" t="s">
        <v>13578</v>
      </c>
      <c r="AB710" t="s">
        <v>13579</v>
      </c>
      <c r="AC710" t="s">
        <v>13580</v>
      </c>
      <c r="AD710" t="s">
        <v>13581</v>
      </c>
      <c r="AE710" t="s">
        <v>13582</v>
      </c>
      <c r="AF710" t="s">
        <v>74</v>
      </c>
      <c r="AG710">
        <v>139</v>
      </c>
      <c r="AH710">
        <v>1</v>
      </c>
      <c r="AI710">
        <v>1</v>
      </c>
      <c r="AJ710">
        <v>2</v>
      </c>
      <c r="AK710">
        <v>10</v>
      </c>
      <c r="AL710" t="s">
        <v>126</v>
      </c>
      <c r="AM710" t="s">
        <v>127</v>
      </c>
      <c r="AN710" t="s">
        <v>128</v>
      </c>
      <c r="AO710" t="s">
        <v>129</v>
      </c>
      <c r="AP710" t="s">
        <v>130</v>
      </c>
      <c r="AQ710" t="s">
        <v>74</v>
      </c>
      <c r="AR710" t="s">
        <v>131</v>
      </c>
      <c r="AS710" t="s">
        <v>132</v>
      </c>
      <c r="AT710" t="s">
        <v>13502</v>
      </c>
      <c r="AU710">
        <v>2022</v>
      </c>
      <c r="AV710">
        <v>18</v>
      </c>
      <c r="AW710">
        <v>11</v>
      </c>
      <c r="AX710" t="s">
        <v>74</v>
      </c>
      <c r="AY710" t="s">
        <v>74</v>
      </c>
      <c r="AZ710" t="s">
        <v>74</v>
      </c>
      <c r="BA710" t="s">
        <v>74</v>
      </c>
      <c r="BB710">
        <v>2483</v>
      </c>
      <c r="BC710">
        <v>2507</v>
      </c>
      <c r="BD710" t="s">
        <v>74</v>
      </c>
      <c r="BE710" t="s">
        <v>13583</v>
      </c>
      <c r="BF710" t="str">
        <f>HYPERLINK("http://dx.doi.org/10.5194/cp-18-2483-2022","http://dx.doi.org/10.5194/cp-18-2483-2022")</f>
        <v>http://dx.doi.org/10.5194/cp-18-2483-2022</v>
      </c>
      <c r="BG710" t="s">
        <v>74</v>
      </c>
      <c r="BH710" t="s">
        <v>74</v>
      </c>
      <c r="BI710">
        <v>25</v>
      </c>
      <c r="BJ710" t="s">
        <v>135</v>
      </c>
      <c r="BK710" t="s">
        <v>104</v>
      </c>
      <c r="BL710" t="s">
        <v>136</v>
      </c>
      <c r="BM710" t="s">
        <v>13584</v>
      </c>
      <c r="BN710" t="s">
        <v>74</v>
      </c>
      <c r="BO710" t="s">
        <v>2832</v>
      </c>
      <c r="BP710" t="s">
        <v>74</v>
      </c>
      <c r="BQ710" t="s">
        <v>74</v>
      </c>
      <c r="BR710" t="s">
        <v>108</v>
      </c>
      <c r="BS710" t="s">
        <v>13585</v>
      </c>
      <c r="BT710" t="str">
        <f>HYPERLINK("https%3A%2F%2Fwww.webofscience.com%2Fwos%2Fwoscc%2Ffull-record%2FWOS:000886912100001","View Full Record in Web of Science")</f>
        <v>View Full Record in Web of Science</v>
      </c>
    </row>
    <row r="711" spans="1:72" x14ac:dyDescent="0.15">
      <c r="A711" t="s">
        <v>72</v>
      </c>
      <c r="B711" t="s">
        <v>13586</v>
      </c>
      <c r="C711" t="s">
        <v>74</v>
      </c>
      <c r="D711" t="s">
        <v>74</v>
      </c>
      <c r="E711" t="s">
        <v>74</v>
      </c>
      <c r="F711" t="s">
        <v>13587</v>
      </c>
      <c r="G711" t="s">
        <v>74</v>
      </c>
      <c r="H711" t="s">
        <v>74</v>
      </c>
      <c r="I711" t="s">
        <v>13588</v>
      </c>
      <c r="J711" t="s">
        <v>10280</v>
      </c>
      <c r="K711" t="s">
        <v>74</v>
      </c>
      <c r="L711" t="s">
        <v>74</v>
      </c>
      <c r="M711" t="s">
        <v>78</v>
      </c>
      <c r="N711" t="s">
        <v>79</v>
      </c>
      <c r="O711" t="s">
        <v>74</v>
      </c>
      <c r="P711" t="s">
        <v>74</v>
      </c>
      <c r="Q711" t="s">
        <v>74</v>
      </c>
      <c r="R711" t="s">
        <v>74</v>
      </c>
      <c r="S711" t="s">
        <v>74</v>
      </c>
      <c r="T711" t="s">
        <v>13589</v>
      </c>
      <c r="U711" t="s">
        <v>13590</v>
      </c>
      <c r="V711" t="s">
        <v>13591</v>
      </c>
      <c r="W711" t="s">
        <v>13592</v>
      </c>
      <c r="X711" t="s">
        <v>13593</v>
      </c>
      <c r="Y711" t="s">
        <v>13594</v>
      </c>
      <c r="Z711" t="s">
        <v>13595</v>
      </c>
      <c r="AA711" t="s">
        <v>13596</v>
      </c>
      <c r="AB711" t="s">
        <v>13597</v>
      </c>
      <c r="AC711" t="s">
        <v>13598</v>
      </c>
      <c r="AD711" t="s">
        <v>13599</v>
      </c>
      <c r="AE711" t="s">
        <v>13600</v>
      </c>
      <c r="AF711" t="s">
        <v>74</v>
      </c>
      <c r="AG711">
        <v>71</v>
      </c>
      <c r="AH711">
        <v>2</v>
      </c>
      <c r="AI711">
        <v>2</v>
      </c>
      <c r="AJ711">
        <v>13</v>
      </c>
      <c r="AK711">
        <v>25</v>
      </c>
      <c r="AL711" t="s">
        <v>4804</v>
      </c>
      <c r="AM711" t="s">
        <v>4805</v>
      </c>
      <c r="AN711" t="s">
        <v>4806</v>
      </c>
      <c r="AO711" t="s">
        <v>10293</v>
      </c>
      <c r="AP711" t="s">
        <v>10294</v>
      </c>
      <c r="AQ711" t="s">
        <v>74</v>
      </c>
      <c r="AR711" t="s">
        <v>10295</v>
      </c>
      <c r="AS711" t="s">
        <v>10296</v>
      </c>
      <c r="AT711" t="s">
        <v>13502</v>
      </c>
      <c r="AU711">
        <v>2022</v>
      </c>
      <c r="AV711">
        <v>35</v>
      </c>
      <c r="AW711">
        <v>22</v>
      </c>
      <c r="AX711" t="s">
        <v>74</v>
      </c>
      <c r="AY711" t="s">
        <v>74</v>
      </c>
      <c r="AZ711" t="s">
        <v>74</v>
      </c>
      <c r="BA711" t="s">
        <v>74</v>
      </c>
      <c r="BB711">
        <v>3565</v>
      </c>
      <c r="BC711">
        <v>3582</v>
      </c>
      <c r="BD711" t="s">
        <v>74</v>
      </c>
      <c r="BE711" t="s">
        <v>13601</v>
      </c>
      <c r="BF711" t="str">
        <f>HYPERLINK("http://dx.doi.org/10.1175/JCLI-D-22-0160.1","http://dx.doi.org/10.1175/JCLI-D-22-0160.1")</f>
        <v>http://dx.doi.org/10.1175/JCLI-D-22-0160.1</v>
      </c>
      <c r="BG711" t="s">
        <v>74</v>
      </c>
      <c r="BH711" t="s">
        <v>74</v>
      </c>
      <c r="BI711">
        <v>18</v>
      </c>
      <c r="BJ711" t="s">
        <v>532</v>
      </c>
      <c r="BK711" t="s">
        <v>104</v>
      </c>
      <c r="BL711" t="s">
        <v>532</v>
      </c>
      <c r="BM711" t="s">
        <v>13602</v>
      </c>
      <c r="BN711" t="s">
        <v>74</v>
      </c>
      <c r="BO711" t="s">
        <v>1279</v>
      </c>
      <c r="BP711" t="s">
        <v>74</v>
      </c>
      <c r="BQ711" t="s">
        <v>74</v>
      </c>
      <c r="BR711" t="s">
        <v>108</v>
      </c>
      <c r="BS711" t="s">
        <v>13603</v>
      </c>
      <c r="BT711" t="str">
        <f>HYPERLINK("https%3A%2F%2Fwww.webofscience.com%2Fwos%2Fwoscc%2Ffull-record%2FWOS:000884682900001","View Full Record in Web of Science")</f>
        <v>View Full Record in Web of Science</v>
      </c>
    </row>
    <row r="712" spans="1:72" x14ac:dyDescent="0.15">
      <c r="A712" t="s">
        <v>72</v>
      </c>
      <c r="B712" t="s">
        <v>13604</v>
      </c>
      <c r="C712" t="s">
        <v>74</v>
      </c>
      <c r="D712" t="s">
        <v>74</v>
      </c>
      <c r="E712" t="s">
        <v>74</v>
      </c>
      <c r="F712" t="s">
        <v>13605</v>
      </c>
      <c r="G712" t="s">
        <v>74</v>
      </c>
      <c r="H712" t="s">
        <v>74</v>
      </c>
      <c r="I712" t="s">
        <v>13606</v>
      </c>
      <c r="J712" t="s">
        <v>10280</v>
      </c>
      <c r="K712" t="s">
        <v>74</v>
      </c>
      <c r="L712" t="s">
        <v>74</v>
      </c>
      <c r="M712" t="s">
        <v>78</v>
      </c>
      <c r="N712" t="s">
        <v>79</v>
      </c>
      <c r="O712" t="s">
        <v>74</v>
      </c>
      <c r="P712" t="s">
        <v>74</v>
      </c>
      <c r="Q712" t="s">
        <v>74</v>
      </c>
      <c r="R712" t="s">
        <v>74</v>
      </c>
      <c r="S712" t="s">
        <v>74</v>
      </c>
      <c r="T712" t="s">
        <v>13607</v>
      </c>
      <c r="U712" t="s">
        <v>13608</v>
      </c>
      <c r="V712" t="s">
        <v>13609</v>
      </c>
      <c r="W712" t="s">
        <v>13610</v>
      </c>
      <c r="X712" t="s">
        <v>13611</v>
      </c>
      <c r="Y712" t="s">
        <v>13612</v>
      </c>
      <c r="Z712" t="s">
        <v>13613</v>
      </c>
      <c r="AA712" t="s">
        <v>13614</v>
      </c>
      <c r="AB712" t="s">
        <v>13615</v>
      </c>
      <c r="AC712" t="s">
        <v>13616</v>
      </c>
      <c r="AD712" t="s">
        <v>13617</v>
      </c>
      <c r="AE712" t="s">
        <v>13618</v>
      </c>
      <c r="AF712" t="s">
        <v>74</v>
      </c>
      <c r="AG712">
        <v>67</v>
      </c>
      <c r="AH712">
        <v>1</v>
      </c>
      <c r="AI712">
        <v>2</v>
      </c>
      <c r="AJ712">
        <v>1</v>
      </c>
      <c r="AK712">
        <v>6</v>
      </c>
      <c r="AL712" t="s">
        <v>4804</v>
      </c>
      <c r="AM712" t="s">
        <v>4805</v>
      </c>
      <c r="AN712" t="s">
        <v>4806</v>
      </c>
      <c r="AO712" t="s">
        <v>10293</v>
      </c>
      <c r="AP712" t="s">
        <v>10294</v>
      </c>
      <c r="AQ712" t="s">
        <v>74</v>
      </c>
      <c r="AR712" t="s">
        <v>10295</v>
      </c>
      <c r="AS712" t="s">
        <v>10296</v>
      </c>
      <c r="AT712" t="s">
        <v>13502</v>
      </c>
      <c r="AU712">
        <v>2022</v>
      </c>
      <c r="AV712">
        <v>35</v>
      </c>
      <c r="AW712">
        <v>22</v>
      </c>
      <c r="AX712" t="s">
        <v>74</v>
      </c>
      <c r="AY712" t="s">
        <v>74</v>
      </c>
      <c r="AZ712" t="s">
        <v>74</v>
      </c>
      <c r="BA712" t="s">
        <v>74</v>
      </c>
      <c r="BB712">
        <v>3753</v>
      </c>
      <c r="BC712">
        <v>3765</v>
      </c>
      <c r="BD712" t="s">
        <v>74</v>
      </c>
      <c r="BE712" t="s">
        <v>13619</v>
      </c>
      <c r="BF712" t="str">
        <f>HYPERLINK("http://dx.doi.org/10.1175/JCLI-D-22-0094.1","http://dx.doi.org/10.1175/JCLI-D-22-0094.1")</f>
        <v>http://dx.doi.org/10.1175/JCLI-D-22-0094.1</v>
      </c>
      <c r="BG712" t="s">
        <v>74</v>
      </c>
      <c r="BH712" t="s">
        <v>74</v>
      </c>
      <c r="BI712">
        <v>13</v>
      </c>
      <c r="BJ712" t="s">
        <v>532</v>
      </c>
      <c r="BK712" t="s">
        <v>104</v>
      </c>
      <c r="BL712" t="s">
        <v>532</v>
      </c>
      <c r="BM712" t="s">
        <v>13602</v>
      </c>
      <c r="BN712" t="s">
        <v>74</v>
      </c>
      <c r="BO712" t="s">
        <v>3371</v>
      </c>
      <c r="BP712" t="s">
        <v>74</v>
      </c>
      <c r="BQ712" t="s">
        <v>74</v>
      </c>
      <c r="BR712" t="s">
        <v>108</v>
      </c>
      <c r="BS712" t="s">
        <v>13620</v>
      </c>
      <c r="BT712" t="str">
        <f>HYPERLINK("https%3A%2F%2Fwww.webofscience.com%2Fwos%2Fwoscc%2Ffull-record%2FWOS:000884682900011","View Full Record in Web of Science")</f>
        <v>View Full Record in Web of Science</v>
      </c>
    </row>
    <row r="713" spans="1:72" x14ac:dyDescent="0.15">
      <c r="A713" t="s">
        <v>72</v>
      </c>
      <c r="B713" t="s">
        <v>13621</v>
      </c>
      <c r="C713" t="s">
        <v>74</v>
      </c>
      <c r="D713" t="s">
        <v>74</v>
      </c>
      <c r="E713" t="s">
        <v>74</v>
      </c>
      <c r="F713" t="s">
        <v>13622</v>
      </c>
      <c r="G713" t="s">
        <v>74</v>
      </c>
      <c r="H713" t="s">
        <v>74</v>
      </c>
      <c r="I713" t="s">
        <v>13623</v>
      </c>
      <c r="J713" t="s">
        <v>10280</v>
      </c>
      <c r="K713" t="s">
        <v>74</v>
      </c>
      <c r="L713" t="s">
        <v>74</v>
      </c>
      <c r="M713" t="s">
        <v>78</v>
      </c>
      <c r="N713" t="s">
        <v>79</v>
      </c>
      <c r="O713" t="s">
        <v>74</v>
      </c>
      <c r="P713" t="s">
        <v>74</v>
      </c>
      <c r="Q713" t="s">
        <v>74</v>
      </c>
      <c r="R713" t="s">
        <v>74</v>
      </c>
      <c r="S713" t="s">
        <v>74</v>
      </c>
      <c r="T713" t="s">
        <v>13624</v>
      </c>
      <c r="U713" t="s">
        <v>13625</v>
      </c>
      <c r="V713" t="s">
        <v>13626</v>
      </c>
      <c r="W713" t="s">
        <v>13627</v>
      </c>
      <c r="X713" t="s">
        <v>13628</v>
      </c>
      <c r="Y713" t="s">
        <v>13629</v>
      </c>
      <c r="Z713" t="s">
        <v>13630</v>
      </c>
      <c r="AA713" t="s">
        <v>13631</v>
      </c>
      <c r="AB713" t="s">
        <v>13632</v>
      </c>
      <c r="AC713" t="s">
        <v>13633</v>
      </c>
      <c r="AD713" t="s">
        <v>13634</v>
      </c>
      <c r="AE713" t="s">
        <v>13635</v>
      </c>
      <c r="AF713" t="s">
        <v>74</v>
      </c>
      <c r="AG713">
        <v>74</v>
      </c>
      <c r="AH713">
        <v>3</v>
      </c>
      <c r="AI713">
        <v>4</v>
      </c>
      <c r="AJ713">
        <v>3</v>
      </c>
      <c r="AK713">
        <v>8</v>
      </c>
      <c r="AL713" t="s">
        <v>4804</v>
      </c>
      <c r="AM713" t="s">
        <v>4805</v>
      </c>
      <c r="AN713" t="s">
        <v>4806</v>
      </c>
      <c r="AO713" t="s">
        <v>10293</v>
      </c>
      <c r="AP713" t="s">
        <v>10294</v>
      </c>
      <c r="AQ713" t="s">
        <v>74</v>
      </c>
      <c r="AR713" t="s">
        <v>10295</v>
      </c>
      <c r="AS713" t="s">
        <v>10296</v>
      </c>
      <c r="AT713" t="s">
        <v>13502</v>
      </c>
      <c r="AU713">
        <v>2022</v>
      </c>
      <c r="AV713">
        <v>35</v>
      </c>
      <c r="AW713">
        <v>22</v>
      </c>
      <c r="AX713" t="s">
        <v>74</v>
      </c>
      <c r="AY713" t="s">
        <v>74</v>
      </c>
      <c r="AZ713" t="s">
        <v>74</v>
      </c>
      <c r="BA713" t="s">
        <v>74</v>
      </c>
      <c r="BB713">
        <v>3835</v>
      </c>
      <c r="BC713">
        <v>3854</v>
      </c>
      <c r="BD713" t="s">
        <v>74</v>
      </c>
      <c r="BE713" t="s">
        <v>13636</v>
      </c>
      <c r="BF713" t="str">
        <f>HYPERLINK("http://dx.doi.org/10.1175/JCLI-D-22-0074.1","http://dx.doi.org/10.1175/JCLI-D-22-0074.1")</f>
        <v>http://dx.doi.org/10.1175/JCLI-D-22-0074.1</v>
      </c>
      <c r="BG713" t="s">
        <v>74</v>
      </c>
      <c r="BH713" t="s">
        <v>74</v>
      </c>
      <c r="BI713">
        <v>20</v>
      </c>
      <c r="BJ713" t="s">
        <v>532</v>
      </c>
      <c r="BK713" t="s">
        <v>104</v>
      </c>
      <c r="BL713" t="s">
        <v>532</v>
      </c>
      <c r="BM713" t="s">
        <v>13602</v>
      </c>
      <c r="BN713" t="s">
        <v>74</v>
      </c>
      <c r="BO713" t="s">
        <v>3371</v>
      </c>
      <c r="BP713" t="s">
        <v>74</v>
      </c>
      <c r="BQ713" t="s">
        <v>74</v>
      </c>
      <c r="BR713" t="s">
        <v>108</v>
      </c>
      <c r="BS713" t="s">
        <v>13637</v>
      </c>
      <c r="BT713" t="str">
        <f>HYPERLINK("https%3A%2F%2Fwww.webofscience.com%2Fwos%2Fwoscc%2Ffull-record%2FWOS:000884682900016","View Full Record in Web of Science")</f>
        <v>View Full Record in Web of Science</v>
      </c>
    </row>
    <row r="714" spans="1:72" x14ac:dyDescent="0.15">
      <c r="A714" t="s">
        <v>72</v>
      </c>
      <c r="B714" t="s">
        <v>13638</v>
      </c>
      <c r="C714" t="s">
        <v>74</v>
      </c>
      <c r="D714" t="s">
        <v>74</v>
      </c>
      <c r="E714" t="s">
        <v>74</v>
      </c>
      <c r="F714" t="s">
        <v>13639</v>
      </c>
      <c r="G714" t="s">
        <v>74</v>
      </c>
      <c r="H714" t="s">
        <v>74</v>
      </c>
      <c r="I714" t="s">
        <v>13640</v>
      </c>
      <c r="J714" t="s">
        <v>13641</v>
      </c>
      <c r="K714" t="s">
        <v>74</v>
      </c>
      <c r="L714" t="s">
        <v>74</v>
      </c>
      <c r="M714" t="s">
        <v>78</v>
      </c>
      <c r="N714" t="s">
        <v>256</v>
      </c>
      <c r="O714" t="s">
        <v>74</v>
      </c>
      <c r="P714" t="s">
        <v>74</v>
      </c>
      <c r="Q714" t="s">
        <v>74</v>
      </c>
      <c r="R714" t="s">
        <v>74</v>
      </c>
      <c r="S714" t="s">
        <v>74</v>
      </c>
      <c r="T714" t="s">
        <v>13642</v>
      </c>
      <c r="U714" t="s">
        <v>13643</v>
      </c>
      <c r="V714" t="s">
        <v>13644</v>
      </c>
      <c r="W714" t="s">
        <v>13645</v>
      </c>
      <c r="X714" t="s">
        <v>13646</v>
      </c>
      <c r="Y714" t="s">
        <v>13647</v>
      </c>
      <c r="Z714" t="s">
        <v>13648</v>
      </c>
      <c r="AA714" t="s">
        <v>13649</v>
      </c>
      <c r="AB714" t="s">
        <v>13650</v>
      </c>
      <c r="AC714" t="s">
        <v>13651</v>
      </c>
      <c r="AD714" t="s">
        <v>13651</v>
      </c>
      <c r="AE714" t="s">
        <v>13652</v>
      </c>
      <c r="AF714" t="s">
        <v>74</v>
      </c>
      <c r="AG714">
        <v>153</v>
      </c>
      <c r="AH714">
        <v>8</v>
      </c>
      <c r="AI714">
        <v>8</v>
      </c>
      <c r="AJ714">
        <v>0</v>
      </c>
      <c r="AK714">
        <v>11</v>
      </c>
      <c r="AL714" t="s">
        <v>269</v>
      </c>
      <c r="AM714" t="s">
        <v>270</v>
      </c>
      <c r="AN714" t="s">
        <v>271</v>
      </c>
      <c r="AO714" t="s">
        <v>13653</v>
      </c>
      <c r="AP714" t="s">
        <v>13654</v>
      </c>
      <c r="AQ714" t="s">
        <v>74</v>
      </c>
      <c r="AR714" t="s">
        <v>13655</v>
      </c>
      <c r="AS714" t="s">
        <v>13656</v>
      </c>
      <c r="AT714" t="s">
        <v>9241</v>
      </c>
      <c r="AU714">
        <v>2023</v>
      </c>
      <c r="AV714">
        <v>33</v>
      </c>
      <c r="AW714">
        <v>2</v>
      </c>
      <c r="AX714" t="s">
        <v>74</v>
      </c>
      <c r="AY714" t="s">
        <v>74</v>
      </c>
      <c r="AZ714" t="s">
        <v>754</v>
      </c>
      <c r="BA714" t="s">
        <v>74</v>
      </c>
      <c r="BB714">
        <v>475</v>
      </c>
      <c r="BC714">
        <v>499</v>
      </c>
      <c r="BD714" t="s">
        <v>74</v>
      </c>
      <c r="BE714" t="s">
        <v>13657</v>
      </c>
      <c r="BF714" t="str">
        <f>HYPERLINK("http://dx.doi.org/10.1007/s11160-022-09732-9","http://dx.doi.org/10.1007/s11160-022-09732-9")</f>
        <v>http://dx.doi.org/10.1007/s11160-022-09732-9</v>
      </c>
      <c r="BG714" t="s">
        <v>74</v>
      </c>
      <c r="BH714" t="s">
        <v>11396</v>
      </c>
      <c r="BI714">
        <v>25</v>
      </c>
      <c r="BJ714" t="s">
        <v>5211</v>
      </c>
      <c r="BK714" t="s">
        <v>104</v>
      </c>
      <c r="BL714" t="s">
        <v>5211</v>
      </c>
      <c r="BM714" t="s">
        <v>13658</v>
      </c>
      <c r="BN714">
        <v>36404946</v>
      </c>
      <c r="BO714" t="s">
        <v>13659</v>
      </c>
      <c r="BP714" t="s">
        <v>74</v>
      </c>
      <c r="BQ714" t="s">
        <v>74</v>
      </c>
      <c r="BR714" t="s">
        <v>108</v>
      </c>
      <c r="BS714" t="s">
        <v>13660</v>
      </c>
      <c r="BT714" t="str">
        <f>HYPERLINK("https%3A%2F%2Fwww.webofscience.com%2Fwos%2Fwoscc%2Ffull-record%2FWOS:000884198200001","View Full Record in Web of Science")</f>
        <v>View Full Record in Web of Science</v>
      </c>
    </row>
    <row r="715" spans="1:72" x14ac:dyDescent="0.15">
      <c r="A715" t="s">
        <v>72</v>
      </c>
      <c r="B715" t="s">
        <v>13661</v>
      </c>
      <c r="C715" t="s">
        <v>74</v>
      </c>
      <c r="D715" t="s">
        <v>74</v>
      </c>
      <c r="E715" t="s">
        <v>74</v>
      </c>
      <c r="F715" t="s">
        <v>13662</v>
      </c>
      <c r="G715" t="s">
        <v>74</v>
      </c>
      <c r="H715" t="s">
        <v>74</v>
      </c>
      <c r="I715" t="s">
        <v>13663</v>
      </c>
      <c r="J715" t="s">
        <v>7392</v>
      </c>
      <c r="K715" t="s">
        <v>74</v>
      </c>
      <c r="L715" t="s">
        <v>74</v>
      </c>
      <c r="M715" t="s">
        <v>78</v>
      </c>
      <c r="N715" t="s">
        <v>79</v>
      </c>
      <c r="O715" t="s">
        <v>74</v>
      </c>
      <c r="P715" t="s">
        <v>74</v>
      </c>
      <c r="Q715" t="s">
        <v>74</v>
      </c>
      <c r="R715" t="s">
        <v>74</v>
      </c>
      <c r="S715" t="s">
        <v>74</v>
      </c>
      <c r="T715" t="s">
        <v>74</v>
      </c>
      <c r="U715" t="s">
        <v>13664</v>
      </c>
      <c r="V715" t="s">
        <v>13665</v>
      </c>
      <c r="W715" t="s">
        <v>13666</v>
      </c>
      <c r="X715" t="s">
        <v>13667</v>
      </c>
      <c r="Y715" t="s">
        <v>13668</v>
      </c>
      <c r="Z715" t="s">
        <v>13669</v>
      </c>
      <c r="AA715" t="s">
        <v>74</v>
      </c>
      <c r="AB715" t="s">
        <v>13670</v>
      </c>
      <c r="AC715" t="s">
        <v>13671</v>
      </c>
      <c r="AD715" t="s">
        <v>13672</v>
      </c>
      <c r="AE715" t="s">
        <v>13673</v>
      </c>
      <c r="AF715" t="s">
        <v>74</v>
      </c>
      <c r="AG715">
        <v>62</v>
      </c>
      <c r="AH715">
        <v>4</v>
      </c>
      <c r="AI715">
        <v>4</v>
      </c>
      <c r="AJ715">
        <v>4</v>
      </c>
      <c r="AK715">
        <v>8</v>
      </c>
      <c r="AL715" t="s">
        <v>126</v>
      </c>
      <c r="AM715" t="s">
        <v>127</v>
      </c>
      <c r="AN715" t="s">
        <v>128</v>
      </c>
      <c r="AO715" t="s">
        <v>7401</v>
      </c>
      <c r="AP715" t="s">
        <v>7402</v>
      </c>
      <c r="AQ715" t="s">
        <v>74</v>
      </c>
      <c r="AR715" t="s">
        <v>7392</v>
      </c>
      <c r="AS715" t="s">
        <v>7403</v>
      </c>
      <c r="AT715" t="s">
        <v>13502</v>
      </c>
      <c r="AU715">
        <v>2022</v>
      </c>
      <c r="AV715">
        <v>16</v>
      </c>
      <c r="AW715">
        <v>11</v>
      </c>
      <c r="AX715" t="s">
        <v>74</v>
      </c>
      <c r="AY715" t="s">
        <v>74</v>
      </c>
      <c r="AZ715" t="s">
        <v>74</v>
      </c>
      <c r="BA715" t="s">
        <v>74</v>
      </c>
      <c r="BB715">
        <v>4745</v>
      </c>
      <c r="BC715">
        <v>4761</v>
      </c>
      <c r="BD715" t="s">
        <v>74</v>
      </c>
      <c r="BE715" t="s">
        <v>13674</v>
      </c>
      <c r="BF715" t="str">
        <f>HYPERLINK("http://dx.doi.org/10.5194/tc-16-4745-2022","http://dx.doi.org/10.5194/tc-16-4745-2022")</f>
        <v>http://dx.doi.org/10.5194/tc-16-4745-2022</v>
      </c>
      <c r="BG715" t="s">
        <v>74</v>
      </c>
      <c r="BH715" t="s">
        <v>74</v>
      </c>
      <c r="BI715">
        <v>17</v>
      </c>
      <c r="BJ715" t="s">
        <v>611</v>
      </c>
      <c r="BK715" t="s">
        <v>104</v>
      </c>
      <c r="BL715" t="s">
        <v>612</v>
      </c>
      <c r="BM715" t="s">
        <v>13675</v>
      </c>
      <c r="BN715" t="s">
        <v>74</v>
      </c>
      <c r="BO715" t="s">
        <v>3181</v>
      </c>
      <c r="BP715" t="s">
        <v>74</v>
      </c>
      <c r="BQ715" t="s">
        <v>74</v>
      </c>
      <c r="BR715" t="s">
        <v>108</v>
      </c>
      <c r="BS715" t="s">
        <v>13676</v>
      </c>
      <c r="BT715" t="str">
        <f>HYPERLINK("https%3A%2F%2Fwww.webofscience.com%2Fwos%2Fwoscc%2Ffull-record%2FWOS:000886179600001","View Full Record in Web of Science")</f>
        <v>View Full Record in Web of Science</v>
      </c>
    </row>
    <row r="716" spans="1:72" x14ac:dyDescent="0.15">
      <c r="A716" t="s">
        <v>72</v>
      </c>
      <c r="B716" t="s">
        <v>13677</v>
      </c>
      <c r="C716" t="s">
        <v>74</v>
      </c>
      <c r="D716" t="s">
        <v>74</v>
      </c>
      <c r="E716" t="s">
        <v>74</v>
      </c>
      <c r="F716" t="s">
        <v>13678</v>
      </c>
      <c r="G716" t="s">
        <v>74</v>
      </c>
      <c r="H716" t="s">
        <v>74</v>
      </c>
      <c r="I716" t="s">
        <v>13679</v>
      </c>
      <c r="J716" t="s">
        <v>13680</v>
      </c>
      <c r="K716" t="s">
        <v>74</v>
      </c>
      <c r="L716" t="s">
        <v>74</v>
      </c>
      <c r="M716" t="s">
        <v>78</v>
      </c>
      <c r="N716" t="s">
        <v>79</v>
      </c>
      <c r="O716" t="s">
        <v>74</v>
      </c>
      <c r="P716" t="s">
        <v>74</v>
      </c>
      <c r="Q716" t="s">
        <v>74</v>
      </c>
      <c r="R716" t="s">
        <v>74</v>
      </c>
      <c r="S716" t="s">
        <v>74</v>
      </c>
      <c r="T716" t="s">
        <v>74</v>
      </c>
      <c r="U716" t="s">
        <v>13681</v>
      </c>
      <c r="V716" t="s">
        <v>13682</v>
      </c>
      <c r="W716" t="s">
        <v>13683</v>
      </c>
      <c r="X716" t="s">
        <v>13684</v>
      </c>
      <c r="Y716" t="s">
        <v>13685</v>
      </c>
      <c r="Z716" t="s">
        <v>13686</v>
      </c>
      <c r="AA716" t="s">
        <v>13687</v>
      </c>
      <c r="AB716" t="s">
        <v>13688</v>
      </c>
      <c r="AC716" t="s">
        <v>13689</v>
      </c>
      <c r="AD716" t="s">
        <v>13690</v>
      </c>
      <c r="AE716" t="s">
        <v>13691</v>
      </c>
      <c r="AF716" t="s">
        <v>74</v>
      </c>
      <c r="AG716">
        <v>47</v>
      </c>
      <c r="AH716">
        <v>2</v>
      </c>
      <c r="AI716">
        <v>2</v>
      </c>
      <c r="AJ716">
        <v>4</v>
      </c>
      <c r="AK716">
        <v>15</v>
      </c>
      <c r="AL716" t="s">
        <v>8179</v>
      </c>
      <c r="AM716" t="s">
        <v>375</v>
      </c>
      <c r="AN716" t="s">
        <v>8180</v>
      </c>
      <c r="AO716" t="s">
        <v>74</v>
      </c>
      <c r="AP716" t="s">
        <v>13692</v>
      </c>
      <c r="AQ716" t="s">
        <v>74</v>
      </c>
      <c r="AR716" t="s">
        <v>13693</v>
      </c>
      <c r="AS716" t="s">
        <v>13694</v>
      </c>
      <c r="AT716" t="s">
        <v>13502</v>
      </c>
      <c r="AU716">
        <v>2022</v>
      </c>
      <c r="AV716">
        <v>17</v>
      </c>
      <c r="AW716">
        <v>1</v>
      </c>
      <c r="AX716" t="s">
        <v>74</v>
      </c>
      <c r="AY716" t="s">
        <v>74</v>
      </c>
      <c r="AZ716" t="s">
        <v>74</v>
      </c>
      <c r="BA716" t="s">
        <v>74</v>
      </c>
      <c r="BB716" t="s">
        <v>74</v>
      </c>
      <c r="BC716" t="s">
        <v>74</v>
      </c>
      <c r="BD716">
        <v>54</v>
      </c>
      <c r="BE716" t="s">
        <v>13695</v>
      </c>
      <c r="BF716" t="str">
        <f>HYPERLINK("http://dx.doi.org/10.1186/s40793-022-00450-0","http://dx.doi.org/10.1186/s40793-022-00450-0")</f>
        <v>http://dx.doi.org/10.1186/s40793-022-00450-0</v>
      </c>
      <c r="BG716" t="s">
        <v>74</v>
      </c>
      <c r="BH716" t="s">
        <v>74</v>
      </c>
      <c r="BI716">
        <v>14</v>
      </c>
      <c r="BJ716" t="s">
        <v>13696</v>
      </c>
      <c r="BK716" t="s">
        <v>104</v>
      </c>
      <c r="BL716" t="s">
        <v>13696</v>
      </c>
      <c r="BM716" t="s">
        <v>13697</v>
      </c>
      <c r="BN716">
        <v>36380397</v>
      </c>
      <c r="BO716" t="s">
        <v>192</v>
      </c>
      <c r="BP716" t="s">
        <v>74</v>
      </c>
      <c r="BQ716" t="s">
        <v>74</v>
      </c>
      <c r="BR716" t="s">
        <v>108</v>
      </c>
      <c r="BS716" t="s">
        <v>13698</v>
      </c>
      <c r="BT716" t="str">
        <f>HYPERLINK("https%3A%2F%2Fwww.webofscience.com%2Fwos%2Fwoscc%2Ffull-record%2FWOS:000884291700001","View Full Record in Web of Science")</f>
        <v>View Full Record in Web of Science</v>
      </c>
    </row>
    <row r="717" spans="1:72" x14ac:dyDescent="0.15">
      <c r="A717" t="s">
        <v>72</v>
      </c>
      <c r="B717" t="s">
        <v>13699</v>
      </c>
      <c r="C717" t="s">
        <v>74</v>
      </c>
      <c r="D717" t="s">
        <v>74</v>
      </c>
      <c r="E717" t="s">
        <v>74</v>
      </c>
      <c r="F717" t="s">
        <v>13700</v>
      </c>
      <c r="G717" t="s">
        <v>74</v>
      </c>
      <c r="H717" t="s">
        <v>74</v>
      </c>
      <c r="I717" t="s">
        <v>13701</v>
      </c>
      <c r="J717" t="s">
        <v>13702</v>
      </c>
      <c r="K717" t="s">
        <v>74</v>
      </c>
      <c r="L717" t="s">
        <v>74</v>
      </c>
      <c r="M717" t="s">
        <v>78</v>
      </c>
      <c r="N717" t="s">
        <v>79</v>
      </c>
      <c r="O717" t="s">
        <v>74</v>
      </c>
      <c r="P717" t="s">
        <v>74</v>
      </c>
      <c r="Q717" t="s">
        <v>74</v>
      </c>
      <c r="R717" t="s">
        <v>74</v>
      </c>
      <c r="S717" t="s">
        <v>74</v>
      </c>
      <c r="T717" t="s">
        <v>13703</v>
      </c>
      <c r="U717" t="s">
        <v>13704</v>
      </c>
      <c r="V717" t="s">
        <v>13705</v>
      </c>
      <c r="W717" t="s">
        <v>13706</v>
      </c>
      <c r="X717" t="s">
        <v>13707</v>
      </c>
      <c r="Y717" t="s">
        <v>13708</v>
      </c>
      <c r="Z717" t="s">
        <v>13709</v>
      </c>
      <c r="AA717" t="s">
        <v>13710</v>
      </c>
      <c r="AB717" t="s">
        <v>13711</v>
      </c>
      <c r="AC717" t="s">
        <v>13712</v>
      </c>
      <c r="AD717" t="s">
        <v>13713</v>
      </c>
      <c r="AE717" t="s">
        <v>13714</v>
      </c>
      <c r="AF717" t="s">
        <v>74</v>
      </c>
      <c r="AG717">
        <v>99</v>
      </c>
      <c r="AH717">
        <v>1</v>
      </c>
      <c r="AI717">
        <v>1</v>
      </c>
      <c r="AJ717">
        <v>2</v>
      </c>
      <c r="AK717">
        <v>4</v>
      </c>
      <c r="AL717" t="s">
        <v>297</v>
      </c>
      <c r="AM717" t="s">
        <v>298</v>
      </c>
      <c r="AN717" t="s">
        <v>299</v>
      </c>
      <c r="AO717" t="s">
        <v>13715</v>
      </c>
      <c r="AP717" t="s">
        <v>13716</v>
      </c>
      <c r="AQ717" t="s">
        <v>74</v>
      </c>
      <c r="AR717" t="s">
        <v>13717</v>
      </c>
      <c r="AS717" t="s">
        <v>13718</v>
      </c>
      <c r="AT717" t="s">
        <v>9001</v>
      </c>
      <c r="AU717">
        <v>2022</v>
      </c>
      <c r="AV717">
        <v>283</v>
      </c>
      <c r="AW717">
        <v>12</v>
      </c>
      <c r="AX717" t="s">
        <v>74</v>
      </c>
      <c r="AY717" t="s">
        <v>74</v>
      </c>
      <c r="AZ717" t="s">
        <v>74</v>
      </c>
      <c r="BA717" t="s">
        <v>74</v>
      </c>
      <c r="BB717">
        <v>1546</v>
      </c>
      <c r="BC717">
        <v>1560</v>
      </c>
      <c r="BD717" t="s">
        <v>74</v>
      </c>
      <c r="BE717" t="s">
        <v>13719</v>
      </c>
      <c r="BF717" t="str">
        <f>HYPERLINK("http://dx.doi.org/10.1002/jmor.21521","http://dx.doi.org/10.1002/jmor.21521")</f>
        <v>http://dx.doi.org/10.1002/jmor.21521</v>
      </c>
      <c r="BG717" t="s">
        <v>74</v>
      </c>
      <c r="BH717" t="s">
        <v>11396</v>
      </c>
      <c r="BI717">
        <v>15</v>
      </c>
      <c r="BJ717" t="s">
        <v>13720</v>
      </c>
      <c r="BK717" t="s">
        <v>104</v>
      </c>
      <c r="BL717" t="s">
        <v>13720</v>
      </c>
      <c r="BM717" t="s">
        <v>13721</v>
      </c>
      <c r="BN717">
        <v>36223543</v>
      </c>
      <c r="BO717" t="s">
        <v>248</v>
      </c>
      <c r="BP717" t="s">
        <v>74</v>
      </c>
      <c r="BQ717" t="s">
        <v>74</v>
      </c>
      <c r="BR717" t="s">
        <v>108</v>
      </c>
      <c r="BS717" t="s">
        <v>13722</v>
      </c>
      <c r="BT717" t="str">
        <f>HYPERLINK("https%3A%2F%2Fwww.webofscience.com%2Fwos%2Fwoscc%2Ffull-record%2FWOS:000883812000001","View Full Record in Web of Science")</f>
        <v>View Full Record in Web of Science</v>
      </c>
    </row>
    <row r="718" spans="1:72" x14ac:dyDescent="0.15">
      <c r="A718" t="s">
        <v>72</v>
      </c>
      <c r="B718" t="s">
        <v>13723</v>
      </c>
      <c r="C718" t="s">
        <v>74</v>
      </c>
      <c r="D718" t="s">
        <v>74</v>
      </c>
      <c r="E718" t="s">
        <v>74</v>
      </c>
      <c r="F718" t="s">
        <v>13724</v>
      </c>
      <c r="G718" t="s">
        <v>74</v>
      </c>
      <c r="H718" t="s">
        <v>74</v>
      </c>
      <c r="I718" t="s">
        <v>13725</v>
      </c>
      <c r="J718" t="s">
        <v>13726</v>
      </c>
      <c r="K718" t="s">
        <v>74</v>
      </c>
      <c r="L718" t="s">
        <v>74</v>
      </c>
      <c r="M718" t="s">
        <v>78</v>
      </c>
      <c r="N718" t="s">
        <v>5094</v>
      </c>
      <c r="O718" t="s">
        <v>74</v>
      </c>
      <c r="P718" t="s">
        <v>74</v>
      </c>
      <c r="Q718" t="s">
        <v>74</v>
      </c>
      <c r="R718" t="s">
        <v>74</v>
      </c>
      <c r="S718" t="s">
        <v>74</v>
      </c>
      <c r="T718" t="s">
        <v>13727</v>
      </c>
      <c r="U718" t="s">
        <v>13728</v>
      </c>
      <c r="V718" t="s">
        <v>13729</v>
      </c>
      <c r="W718" t="s">
        <v>13730</v>
      </c>
      <c r="X718" t="s">
        <v>13731</v>
      </c>
      <c r="Y718" t="s">
        <v>13732</v>
      </c>
      <c r="Z718" t="s">
        <v>13733</v>
      </c>
      <c r="AA718" t="s">
        <v>13734</v>
      </c>
      <c r="AB718" t="s">
        <v>13735</v>
      </c>
      <c r="AC718" t="s">
        <v>13736</v>
      </c>
      <c r="AD718" t="s">
        <v>13737</v>
      </c>
      <c r="AE718" t="s">
        <v>13738</v>
      </c>
      <c r="AF718" t="s">
        <v>74</v>
      </c>
      <c r="AG718">
        <v>105</v>
      </c>
      <c r="AH718">
        <v>2</v>
      </c>
      <c r="AI718">
        <v>2</v>
      </c>
      <c r="AJ718">
        <v>0</v>
      </c>
      <c r="AK718">
        <v>2</v>
      </c>
      <c r="AL718" t="s">
        <v>703</v>
      </c>
      <c r="AM718" t="s">
        <v>704</v>
      </c>
      <c r="AN718" t="s">
        <v>705</v>
      </c>
      <c r="AO718" t="s">
        <v>13739</v>
      </c>
      <c r="AP718" t="s">
        <v>13740</v>
      </c>
      <c r="AQ718" t="s">
        <v>74</v>
      </c>
      <c r="AR718" t="s">
        <v>13741</v>
      </c>
      <c r="AS718" t="s">
        <v>13742</v>
      </c>
      <c r="AT718" t="s">
        <v>13743</v>
      </c>
      <c r="AU718">
        <v>2022</v>
      </c>
      <c r="AV718" t="s">
        <v>74</v>
      </c>
      <c r="AW718" t="s">
        <v>74</v>
      </c>
      <c r="AX718" t="s">
        <v>74</v>
      </c>
      <c r="AY718" t="s">
        <v>74</v>
      </c>
      <c r="AZ718" t="s">
        <v>74</v>
      </c>
      <c r="BA718" t="s">
        <v>74</v>
      </c>
      <c r="BB718" t="s">
        <v>74</v>
      </c>
      <c r="BC718" t="s">
        <v>74</v>
      </c>
      <c r="BD718" t="s">
        <v>74</v>
      </c>
      <c r="BE718" t="s">
        <v>13744</v>
      </c>
      <c r="BF718" t="str">
        <f>HYPERLINK("http://dx.doi.org/10.1080/00288306.2022.2143382","http://dx.doi.org/10.1080/00288306.2022.2143382")</f>
        <v>http://dx.doi.org/10.1080/00288306.2022.2143382</v>
      </c>
      <c r="BG718" t="s">
        <v>74</v>
      </c>
      <c r="BH718" t="s">
        <v>11396</v>
      </c>
      <c r="BI718">
        <v>16</v>
      </c>
      <c r="BJ718" t="s">
        <v>13745</v>
      </c>
      <c r="BK718" t="s">
        <v>104</v>
      </c>
      <c r="BL718" t="s">
        <v>456</v>
      </c>
      <c r="BM718" t="s">
        <v>13746</v>
      </c>
      <c r="BN718" t="s">
        <v>74</v>
      </c>
      <c r="BO718" t="s">
        <v>74</v>
      </c>
      <c r="BP718" t="s">
        <v>74</v>
      </c>
      <c r="BQ718" t="s">
        <v>74</v>
      </c>
      <c r="BR718" t="s">
        <v>108</v>
      </c>
      <c r="BS718" t="s">
        <v>13747</v>
      </c>
      <c r="BT718" t="str">
        <f>HYPERLINK("https%3A%2F%2Fwww.webofscience.com%2Fwos%2Fwoscc%2Ffull-record%2FWOS:000883310100001","View Full Record in Web of Science")</f>
        <v>View Full Record in Web of Science</v>
      </c>
    </row>
    <row r="719" spans="1:72" x14ac:dyDescent="0.15">
      <c r="A719" t="s">
        <v>72</v>
      </c>
      <c r="B719" t="s">
        <v>13748</v>
      </c>
      <c r="C719" t="s">
        <v>74</v>
      </c>
      <c r="D719" t="s">
        <v>74</v>
      </c>
      <c r="E719" t="s">
        <v>74</v>
      </c>
      <c r="F719" t="s">
        <v>13749</v>
      </c>
      <c r="G719" t="s">
        <v>74</v>
      </c>
      <c r="H719" t="s">
        <v>74</v>
      </c>
      <c r="I719" t="s">
        <v>13750</v>
      </c>
      <c r="J719" t="s">
        <v>13751</v>
      </c>
      <c r="K719" t="s">
        <v>74</v>
      </c>
      <c r="L719" t="s">
        <v>74</v>
      </c>
      <c r="M719" t="s">
        <v>78</v>
      </c>
      <c r="N719" t="s">
        <v>79</v>
      </c>
      <c r="O719" t="s">
        <v>74</v>
      </c>
      <c r="P719" t="s">
        <v>74</v>
      </c>
      <c r="Q719" t="s">
        <v>74</v>
      </c>
      <c r="R719" t="s">
        <v>74</v>
      </c>
      <c r="S719" t="s">
        <v>74</v>
      </c>
      <c r="T719" t="s">
        <v>13752</v>
      </c>
      <c r="U719" t="s">
        <v>13753</v>
      </c>
      <c r="V719" t="s">
        <v>13754</v>
      </c>
      <c r="W719" t="s">
        <v>13755</v>
      </c>
      <c r="X719" t="s">
        <v>13756</v>
      </c>
      <c r="Y719" t="s">
        <v>13757</v>
      </c>
      <c r="Z719" t="s">
        <v>13758</v>
      </c>
      <c r="AA719" t="s">
        <v>74</v>
      </c>
      <c r="AB719" t="s">
        <v>74</v>
      </c>
      <c r="AC719" t="s">
        <v>74</v>
      </c>
      <c r="AD719" t="s">
        <v>74</v>
      </c>
      <c r="AE719" t="s">
        <v>74</v>
      </c>
      <c r="AF719" t="s">
        <v>74</v>
      </c>
      <c r="AG719">
        <v>28</v>
      </c>
      <c r="AH719">
        <v>0</v>
      </c>
      <c r="AI719">
        <v>0</v>
      </c>
      <c r="AJ719">
        <v>2</v>
      </c>
      <c r="AK719">
        <v>2</v>
      </c>
      <c r="AL719" t="s">
        <v>703</v>
      </c>
      <c r="AM719" t="s">
        <v>704</v>
      </c>
      <c r="AN719" t="s">
        <v>705</v>
      </c>
      <c r="AO719" t="s">
        <v>13759</v>
      </c>
      <c r="AP719" t="s">
        <v>13760</v>
      </c>
      <c r="AQ719" t="s">
        <v>74</v>
      </c>
      <c r="AR719" t="s">
        <v>13761</v>
      </c>
      <c r="AS719" t="s">
        <v>13762</v>
      </c>
      <c r="AT719" t="s">
        <v>13502</v>
      </c>
      <c r="AU719">
        <v>2022</v>
      </c>
      <c r="AV719">
        <v>57</v>
      </c>
      <c r="AW719" t="s">
        <v>13763</v>
      </c>
      <c r="AX719" t="s">
        <v>74</v>
      </c>
      <c r="AY719" t="s">
        <v>74</v>
      </c>
      <c r="AZ719" t="s">
        <v>74</v>
      </c>
      <c r="BA719" t="s">
        <v>74</v>
      </c>
      <c r="BB719">
        <v>1972</v>
      </c>
      <c r="BC719">
        <v>1983</v>
      </c>
      <c r="BD719" t="s">
        <v>74</v>
      </c>
      <c r="BE719" t="s">
        <v>13764</v>
      </c>
      <c r="BF719" t="str">
        <f>HYPERLINK("http://dx.doi.org/10.1080/00222933.2023.2282623","http://dx.doi.org/10.1080/00222933.2023.2282623")</f>
        <v>http://dx.doi.org/10.1080/00222933.2023.2282623</v>
      </c>
      <c r="BG719" t="s">
        <v>74</v>
      </c>
      <c r="BH719" t="s">
        <v>74</v>
      </c>
      <c r="BI719">
        <v>12</v>
      </c>
      <c r="BJ719" t="s">
        <v>13765</v>
      </c>
      <c r="BK719" t="s">
        <v>104</v>
      </c>
      <c r="BL719" t="s">
        <v>13766</v>
      </c>
      <c r="BM719" t="s">
        <v>13767</v>
      </c>
      <c r="BN719" t="s">
        <v>74</v>
      </c>
      <c r="BO719" t="s">
        <v>74</v>
      </c>
      <c r="BP719" t="s">
        <v>74</v>
      </c>
      <c r="BQ719" t="s">
        <v>74</v>
      </c>
      <c r="BR719" t="s">
        <v>108</v>
      </c>
      <c r="BS719" t="s">
        <v>13768</v>
      </c>
      <c r="BT719" t="str">
        <f>HYPERLINK("https%3A%2F%2Fwww.webofscience.com%2Fwos%2Fwoscc%2Ffull-record%2FWOS:001111478600001","View Full Record in Web of Science")</f>
        <v>View Full Record in Web of Science</v>
      </c>
    </row>
    <row r="720" spans="1:72" x14ac:dyDescent="0.15">
      <c r="A720" t="s">
        <v>72</v>
      </c>
      <c r="B720" t="s">
        <v>13769</v>
      </c>
      <c r="C720" t="s">
        <v>74</v>
      </c>
      <c r="D720" t="s">
        <v>74</v>
      </c>
      <c r="E720" t="s">
        <v>74</v>
      </c>
      <c r="F720" t="s">
        <v>13770</v>
      </c>
      <c r="G720" t="s">
        <v>74</v>
      </c>
      <c r="H720" t="s">
        <v>74</v>
      </c>
      <c r="I720" t="s">
        <v>13771</v>
      </c>
      <c r="J720" t="s">
        <v>8144</v>
      </c>
      <c r="K720" t="s">
        <v>74</v>
      </c>
      <c r="L720" t="s">
        <v>74</v>
      </c>
      <c r="M720" t="s">
        <v>78</v>
      </c>
      <c r="N720" t="s">
        <v>79</v>
      </c>
      <c r="O720" t="s">
        <v>74</v>
      </c>
      <c r="P720" t="s">
        <v>74</v>
      </c>
      <c r="Q720" t="s">
        <v>74</v>
      </c>
      <c r="R720" t="s">
        <v>74</v>
      </c>
      <c r="S720" t="s">
        <v>74</v>
      </c>
      <c r="T720" t="s">
        <v>74</v>
      </c>
      <c r="U720" t="s">
        <v>13772</v>
      </c>
      <c r="V720" t="s">
        <v>13773</v>
      </c>
      <c r="W720" t="s">
        <v>13774</v>
      </c>
      <c r="X720" t="s">
        <v>13775</v>
      </c>
      <c r="Y720" t="s">
        <v>13776</v>
      </c>
      <c r="Z720" t="s">
        <v>13777</v>
      </c>
      <c r="AA720" t="s">
        <v>74</v>
      </c>
      <c r="AB720" t="s">
        <v>13778</v>
      </c>
      <c r="AC720" t="s">
        <v>13779</v>
      </c>
      <c r="AD720" t="s">
        <v>13780</v>
      </c>
      <c r="AE720" t="s">
        <v>13781</v>
      </c>
      <c r="AF720" t="s">
        <v>74</v>
      </c>
      <c r="AG720">
        <v>64</v>
      </c>
      <c r="AH720">
        <v>3</v>
      </c>
      <c r="AI720">
        <v>3</v>
      </c>
      <c r="AJ720">
        <v>0</v>
      </c>
      <c r="AK720">
        <v>0</v>
      </c>
      <c r="AL720" t="s">
        <v>126</v>
      </c>
      <c r="AM720" t="s">
        <v>127</v>
      </c>
      <c r="AN720" t="s">
        <v>128</v>
      </c>
      <c r="AO720" t="s">
        <v>8156</v>
      </c>
      <c r="AP720" t="s">
        <v>8157</v>
      </c>
      <c r="AQ720" t="s">
        <v>74</v>
      </c>
      <c r="AR720" t="s">
        <v>8158</v>
      </c>
      <c r="AS720" t="s">
        <v>8159</v>
      </c>
      <c r="AT720" t="s">
        <v>13782</v>
      </c>
      <c r="AU720">
        <v>2022</v>
      </c>
      <c r="AV720">
        <v>15</v>
      </c>
      <c r="AW720">
        <v>22</v>
      </c>
      <c r="AX720" t="s">
        <v>74</v>
      </c>
      <c r="AY720" t="s">
        <v>74</v>
      </c>
      <c r="AZ720" t="s">
        <v>74</v>
      </c>
      <c r="BA720" t="s">
        <v>74</v>
      </c>
      <c r="BB720">
        <v>6521</v>
      </c>
      <c r="BC720">
        <v>6544</v>
      </c>
      <c r="BD720" t="s">
        <v>74</v>
      </c>
      <c r="BE720" t="s">
        <v>13783</v>
      </c>
      <c r="BF720" t="str">
        <f>HYPERLINK("http://dx.doi.org/10.5194/amt-15-6521-2022","http://dx.doi.org/10.5194/amt-15-6521-2022")</f>
        <v>http://dx.doi.org/10.5194/amt-15-6521-2022</v>
      </c>
      <c r="BG720" t="s">
        <v>74</v>
      </c>
      <c r="BH720" t="s">
        <v>74</v>
      </c>
      <c r="BI720">
        <v>24</v>
      </c>
      <c r="BJ720" t="s">
        <v>532</v>
      </c>
      <c r="BK720" t="s">
        <v>104</v>
      </c>
      <c r="BL720" t="s">
        <v>532</v>
      </c>
      <c r="BM720" t="s">
        <v>13784</v>
      </c>
      <c r="BN720" t="s">
        <v>74</v>
      </c>
      <c r="BO720" t="s">
        <v>1464</v>
      </c>
      <c r="BP720" t="s">
        <v>74</v>
      </c>
      <c r="BQ720" t="s">
        <v>74</v>
      </c>
      <c r="BR720" t="s">
        <v>108</v>
      </c>
      <c r="BS720" t="s">
        <v>13785</v>
      </c>
      <c r="BT720" t="str">
        <f>HYPERLINK("https%3A%2F%2Fwww.webofscience.com%2Fwos%2Fwoscc%2Ffull-record%2FWOS:000930645600001","View Full Record in Web of Science")</f>
        <v>View Full Record in Web of Science</v>
      </c>
    </row>
    <row r="721" spans="1:72" x14ac:dyDescent="0.15">
      <c r="A721" t="s">
        <v>72</v>
      </c>
      <c r="B721" t="s">
        <v>13786</v>
      </c>
      <c r="C721" t="s">
        <v>74</v>
      </c>
      <c r="D721" t="s">
        <v>74</v>
      </c>
      <c r="E721" t="s">
        <v>74</v>
      </c>
      <c r="F721" t="s">
        <v>13787</v>
      </c>
      <c r="G721" t="s">
        <v>74</v>
      </c>
      <c r="H721" t="s">
        <v>74</v>
      </c>
      <c r="I721" t="s">
        <v>13788</v>
      </c>
      <c r="J721" t="s">
        <v>13789</v>
      </c>
      <c r="K721" t="s">
        <v>74</v>
      </c>
      <c r="L721" t="s">
        <v>74</v>
      </c>
      <c r="M721" t="s">
        <v>78</v>
      </c>
      <c r="N721" t="s">
        <v>79</v>
      </c>
      <c r="O721" t="s">
        <v>74</v>
      </c>
      <c r="P721" t="s">
        <v>74</v>
      </c>
      <c r="Q721" t="s">
        <v>74</v>
      </c>
      <c r="R721" t="s">
        <v>74</v>
      </c>
      <c r="S721" t="s">
        <v>74</v>
      </c>
      <c r="T721" t="s">
        <v>13790</v>
      </c>
      <c r="U721" t="s">
        <v>13791</v>
      </c>
      <c r="V721" t="s">
        <v>13792</v>
      </c>
      <c r="W721" t="s">
        <v>13793</v>
      </c>
      <c r="X721" t="s">
        <v>13794</v>
      </c>
      <c r="Y721" t="s">
        <v>13795</v>
      </c>
      <c r="Z721" t="s">
        <v>13796</v>
      </c>
      <c r="AA721" t="s">
        <v>13797</v>
      </c>
      <c r="AB721" t="s">
        <v>13798</v>
      </c>
      <c r="AC721" t="s">
        <v>13799</v>
      </c>
      <c r="AD721" t="s">
        <v>13800</v>
      </c>
      <c r="AE721" t="s">
        <v>13801</v>
      </c>
      <c r="AF721" t="s">
        <v>74</v>
      </c>
      <c r="AG721">
        <v>91</v>
      </c>
      <c r="AH721">
        <v>2</v>
      </c>
      <c r="AI721">
        <v>3</v>
      </c>
      <c r="AJ721">
        <v>12</v>
      </c>
      <c r="AK721">
        <v>25</v>
      </c>
      <c r="AL721" t="s">
        <v>237</v>
      </c>
      <c r="AM721" t="s">
        <v>238</v>
      </c>
      <c r="AN721" t="s">
        <v>239</v>
      </c>
      <c r="AO721" t="s">
        <v>13802</v>
      </c>
      <c r="AP721" t="s">
        <v>13803</v>
      </c>
      <c r="AQ721" t="s">
        <v>74</v>
      </c>
      <c r="AR721" t="s">
        <v>13789</v>
      </c>
      <c r="AS721" t="s">
        <v>13804</v>
      </c>
      <c r="AT721" t="s">
        <v>13402</v>
      </c>
      <c r="AU721">
        <v>2022</v>
      </c>
      <c r="AV721">
        <v>428</v>
      </c>
      <c r="AW721" t="s">
        <v>74</v>
      </c>
      <c r="AX721" t="s">
        <v>74</v>
      </c>
      <c r="AY721" t="s">
        <v>74</v>
      </c>
      <c r="AZ721" t="s">
        <v>74</v>
      </c>
      <c r="BA721" t="s">
        <v>74</v>
      </c>
      <c r="BB721" t="s">
        <v>74</v>
      </c>
      <c r="BC721" t="s">
        <v>74</v>
      </c>
      <c r="BD721">
        <v>116220</v>
      </c>
      <c r="BE721" t="s">
        <v>13805</v>
      </c>
      <c r="BF721" t="str">
        <f>HYPERLINK("http://dx.doi.org/10.1016/j.geoderma.2022.116220","http://dx.doi.org/10.1016/j.geoderma.2022.116220")</f>
        <v>http://dx.doi.org/10.1016/j.geoderma.2022.116220</v>
      </c>
      <c r="BG721" t="s">
        <v>74</v>
      </c>
      <c r="BH721" t="s">
        <v>11396</v>
      </c>
      <c r="BI721">
        <v>10</v>
      </c>
      <c r="BJ721" t="s">
        <v>9080</v>
      </c>
      <c r="BK721" t="s">
        <v>104</v>
      </c>
      <c r="BL721" t="s">
        <v>9081</v>
      </c>
      <c r="BM721" t="s">
        <v>13806</v>
      </c>
      <c r="BN721" t="s">
        <v>74</v>
      </c>
      <c r="BO721" t="s">
        <v>74</v>
      </c>
      <c r="BP721" t="s">
        <v>74</v>
      </c>
      <c r="BQ721" t="s">
        <v>74</v>
      </c>
      <c r="BR721" t="s">
        <v>108</v>
      </c>
      <c r="BS721" t="s">
        <v>13807</v>
      </c>
      <c r="BT721" t="str">
        <f>HYPERLINK("https%3A%2F%2Fwww.webofscience.com%2Fwos%2Fwoscc%2Ffull-record%2FWOS:000919522500008","View Full Record in Web of Science")</f>
        <v>View Full Record in Web of Science</v>
      </c>
    </row>
    <row r="722" spans="1:72" x14ac:dyDescent="0.15">
      <c r="A722" t="s">
        <v>72</v>
      </c>
      <c r="B722" t="s">
        <v>13808</v>
      </c>
      <c r="C722" t="s">
        <v>74</v>
      </c>
      <c r="D722" t="s">
        <v>74</v>
      </c>
      <c r="E722" t="s">
        <v>74</v>
      </c>
      <c r="F722" t="s">
        <v>13809</v>
      </c>
      <c r="G722" t="s">
        <v>74</v>
      </c>
      <c r="H722" t="s">
        <v>74</v>
      </c>
      <c r="I722" t="s">
        <v>13810</v>
      </c>
      <c r="J722" t="s">
        <v>13811</v>
      </c>
      <c r="K722" t="s">
        <v>74</v>
      </c>
      <c r="L722" t="s">
        <v>74</v>
      </c>
      <c r="M722" t="s">
        <v>78</v>
      </c>
      <c r="N722" t="s">
        <v>79</v>
      </c>
      <c r="O722" t="s">
        <v>74</v>
      </c>
      <c r="P722" t="s">
        <v>74</v>
      </c>
      <c r="Q722" t="s">
        <v>74</v>
      </c>
      <c r="R722" t="s">
        <v>74</v>
      </c>
      <c r="S722" t="s">
        <v>74</v>
      </c>
      <c r="T722" t="s">
        <v>13812</v>
      </c>
      <c r="U722" t="s">
        <v>13813</v>
      </c>
      <c r="V722" t="s">
        <v>13814</v>
      </c>
      <c r="W722" t="s">
        <v>13815</v>
      </c>
      <c r="X722" t="s">
        <v>13816</v>
      </c>
      <c r="Y722" t="s">
        <v>13817</v>
      </c>
      <c r="Z722" t="s">
        <v>13818</v>
      </c>
      <c r="AA722" t="s">
        <v>13819</v>
      </c>
      <c r="AB722" t="s">
        <v>13820</v>
      </c>
      <c r="AC722" t="s">
        <v>13821</v>
      </c>
      <c r="AD722" t="s">
        <v>13822</v>
      </c>
      <c r="AE722" t="s">
        <v>13823</v>
      </c>
      <c r="AF722" t="s">
        <v>74</v>
      </c>
      <c r="AG722">
        <v>71</v>
      </c>
      <c r="AH722">
        <v>5</v>
      </c>
      <c r="AI722">
        <v>5</v>
      </c>
      <c r="AJ722">
        <v>0</v>
      </c>
      <c r="AK722">
        <v>3</v>
      </c>
      <c r="AL722" t="s">
        <v>237</v>
      </c>
      <c r="AM722" t="s">
        <v>238</v>
      </c>
      <c r="AN722" t="s">
        <v>239</v>
      </c>
      <c r="AO722" t="s">
        <v>13824</v>
      </c>
      <c r="AP722" t="s">
        <v>13825</v>
      </c>
      <c r="AQ722" t="s">
        <v>74</v>
      </c>
      <c r="AR722" t="s">
        <v>13826</v>
      </c>
      <c r="AS722" t="s">
        <v>13827</v>
      </c>
      <c r="AT722" t="s">
        <v>214</v>
      </c>
      <c r="AU722">
        <v>2023</v>
      </c>
      <c r="AV722">
        <v>145</v>
      </c>
      <c r="AW722" t="s">
        <v>74</v>
      </c>
      <c r="AX722" t="s">
        <v>74</v>
      </c>
      <c r="AY722" t="s">
        <v>74</v>
      </c>
      <c r="AZ722" t="s">
        <v>74</v>
      </c>
      <c r="BA722" t="s">
        <v>74</v>
      </c>
      <c r="BB722" t="s">
        <v>74</v>
      </c>
      <c r="BC722" t="s">
        <v>74</v>
      </c>
      <c r="BD722">
        <v>102791</v>
      </c>
      <c r="BE722" t="s">
        <v>13828</v>
      </c>
      <c r="BF722" t="str">
        <f>HYPERLINK("http://dx.doi.org/10.1016/j.astropartphys.2022.102791","http://dx.doi.org/10.1016/j.astropartphys.2022.102791")</f>
        <v>http://dx.doi.org/10.1016/j.astropartphys.2022.102791</v>
      </c>
      <c r="BG722" t="s">
        <v>74</v>
      </c>
      <c r="BH722" t="s">
        <v>11396</v>
      </c>
      <c r="BI722">
        <v>10</v>
      </c>
      <c r="BJ722" t="s">
        <v>13829</v>
      </c>
      <c r="BK722" t="s">
        <v>104</v>
      </c>
      <c r="BL722" t="s">
        <v>3863</v>
      </c>
      <c r="BM722" t="s">
        <v>13830</v>
      </c>
      <c r="BN722" t="s">
        <v>74</v>
      </c>
      <c r="BO722" t="s">
        <v>13831</v>
      </c>
      <c r="BP722" t="s">
        <v>74</v>
      </c>
      <c r="BQ722" t="s">
        <v>74</v>
      </c>
      <c r="BR722" t="s">
        <v>108</v>
      </c>
      <c r="BS722" t="s">
        <v>13832</v>
      </c>
      <c r="BT722" t="str">
        <f>HYPERLINK("https%3A%2F%2Fwww.webofscience.com%2Fwos%2Fwoscc%2Ffull-record%2FWOS:000892600400002","View Full Record in Web of Science")</f>
        <v>View Full Record in Web of Science</v>
      </c>
    </row>
    <row r="723" spans="1:72" x14ac:dyDescent="0.15">
      <c r="A723" t="s">
        <v>72</v>
      </c>
      <c r="B723" t="s">
        <v>13833</v>
      </c>
      <c r="C723" t="s">
        <v>74</v>
      </c>
      <c r="D723" t="s">
        <v>74</v>
      </c>
      <c r="E723" t="s">
        <v>74</v>
      </c>
      <c r="F723" t="s">
        <v>13834</v>
      </c>
      <c r="G723" t="s">
        <v>74</v>
      </c>
      <c r="H723" t="s">
        <v>74</v>
      </c>
      <c r="I723" t="s">
        <v>13835</v>
      </c>
      <c r="J723" t="s">
        <v>13836</v>
      </c>
      <c r="K723" t="s">
        <v>74</v>
      </c>
      <c r="L723" t="s">
        <v>74</v>
      </c>
      <c r="M723" t="s">
        <v>78</v>
      </c>
      <c r="N723" t="s">
        <v>79</v>
      </c>
      <c r="O723" t="s">
        <v>74</v>
      </c>
      <c r="P723" t="s">
        <v>74</v>
      </c>
      <c r="Q723" t="s">
        <v>74</v>
      </c>
      <c r="R723" t="s">
        <v>74</v>
      </c>
      <c r="S723" t="s">
        <v>74</v>
      </c>
      <c r="T723" t="s">
        <v>13837</v>
      </c>
      <c r="U723" t="s">
        <v>13838</v>
      </c>
      <c r="V723" t="s">
        <v>13839</v>
      </c>
      <c r="W723" t="s">
        <v>13840</v>
      </c>
      <c r="X723" t="s">
        <v>13841</v>
      </c>
      <c r="Y723" t="s">
        <v>13842</v>
      </c>
      <c r="Z723" t="s">
        <v>13843</v>
      </c>
      <c r="AA723" t="s">
        <v>74</v>
      </c>
      <c r="AB723" t="s">
        <v>13844</v>
      </c>
      <c r="AC723" t="s">
        <v>13845</v>
      </c>
      <c r="AD723" t="s">
        <v>13846</v>
      </c>
      <c r="AE723" t="s">
        <v>13847</v>
      </c>
      <c r="AF723" t="s">
        <v>74</v>
      </c>
      <c r="AG723">
        <v>189</v>
      </c>
      <c r="AH723">
        <v>1</v>
      </c>
      <c r="AI723">
        <v>1</v>
      </c>
      <c r="AJ723">
        <v>2</v>
      </c>
      <c r="AK723">
        <v>8</v>
      </c>
      <c r="AL723" t="s">
        <v>603</v>
      </c>
      <c r="AM723" t="s">
        <v>208</v>
      </c>
      <c r="AN723" t="s">
        <v>604</v>
      </c>
      <c r="AO723" t="s">
        <v>13848</v>
      </c>
      <c r="AP723" t="s">
        <v>13849</v>
      </c>
      <c r="AQ723" t="s">
        <v>74</v>
      </c>
      <c r="AR723" t="s">
        <v>13850</v>
      </c>
      <c r="AS723" t="s">
        <v>13851</v>
      </c>
      <c r="AT723" t="s">
        <v>6616</v>
      </c>
      <c r="AU723">
        <v>2022</v>
      </c>
      <c r="AV723">
        <v>642</v>
      </c>
      <c r="AW723" t="s">
        <v>74</v>
      </c>
      <c r="AX723" t="s">
        <v>74</v>
      </c>
      <c r="AY723" t="s">
        <v>74</v>
      </c>
      <c r="AZ723" t="s">
        <v>74</v>
      </c>
      <c r="BA723" t="s">
        <v>74</v>
      </c>
      <c r="BB723">
        <v>116</v>
      </c>
      <c r="BC723">
        <v>132</v>
      </c>
      <c r="BD723" t="s">
        <v>74</v>
      </c>
      <c r="BE723" t="s">
        <v>13852</v>
      </c>
      <c r="BF723" t="str">
        <f>HYPERLINK("http://dx.doi.org/10.1016/j.quaint.2022.03.016","http://dx.doi.org/10.1016/j.quaint.2022.03.016")</f>
        <v>http://dx.doi.org/10.1016/j.quaint.2022.03.016</v>
      </c>
      <c r="BG723" t="s">
        <v>74</v>
      </c>
      <c r="BH723" t="s">
        <v>11396</v>
      </c>
      <c r="BI723">
        <v>17</v>
      </c>
      <c r="BJ723" t="s">
        <v>611</v>
      </c>
      <c r="BK723" t="s">
        <v>104</v>
      </c>
      <c r="BL723" t="s">
        <v>612</v>
      </c>
      <c r="BM723" t="s">
        <v>13853</v>
      </c>
      <c r="BN723" t="s">
        <v>74</v>
      </c>
      <c r="BO723" t="s">
        <v>74</v>
      </c>
      <c r="BP723" t="s">
        <v>74</v>
      </c>
      <c r="BQ723" t="s">
        <v>74</v>
      </c>
      <c r="BR723" t="s">
        <v>108</v>
      </c>
      <c r="BS723" t="s">
        <v>13854</v>
      </c>
      <c r="BT723" t="str">
        <f>HYPERLINK("https%3A%2F%2Fwww.webofscience.com%2Fwos%2Fwoscc%2Ffull-record%2FWOS:000897057000003","View Full Record in Web of Science")</f>
        <v>View Full Record in Web of Science</v>
      </c>
    </row>
    <row r="724" spans="1:72" x14ac:dyDescent="0.15">
      <c r="A724" t="s">
        <v>72</v>
      </c>
      <c r="B724" t="s">
        <v>13855</v>
      </c>
      <c r="C724" t="s">
        <v>74</v>
      </c>
      <c r="D724" t="s">
        <v>74</v>
      </c>
      <c r="E724" t="s">
        <v>74</v>
      </c>
      <c r="F724" t="s">
        <v>13856</v>
      </c>
      <c r="G724" t="s">
        <v>74</v>
      </c>
      <c r="H724" t="s">
        <v>74</v>
      </c>
      <c r="I724" t="s">
        <v>13857</v>
      </c>
      <c r="J724" t="s">
        <v>13858</v>
      </c>
      <c r="K724" t="s">
        <v>74</v>
      </c>
      <c r="L724" t="s">
        <v>74</v>
      </c>
      <c r="M724" t="s">
        <v>78</v>
      </c>
      <c r="N724" t="s">
        <v>79</v>
      </c>
      <c r="O724" t="s">
        <v>74</v>
      </c>
      <c r="P724" t="s">
        <v>74</v>
      </c>
      <c r="Q724" t="s">
        <v>74</v>
      </c>
      <c r="R724" t="s">
        <v>74</v>
      </c>
      <c r="S724" t="s">
        <v>74</v>
      </c>
      <c r="T724" t="s">
        <v>74</v>
      </c>
      <c r="U724" t="s">
        <v>13859</v>
      </c>
      <c r="V724" t="s">
        <v>13860</v>
      </c>
      <c r="W724" t="s">
        <v>13861</v>
      </c>
      <c r="X724" t="s">
        <v>13862</v>
      </c>
      <c r="Y724" t="s">
        <v>13863</v>
      </c>
      <c r="Z724" t="s">
        <v>13864</v>
      </c>
      <c r="AA724" t="s">
        <v>13865</v>
      </c>
      <c r="AB724" t="s">
        <v>13866</v>
      </c>
      <c r="AC724" t="s">
        <v>13867</v>
      </c>
      <c r="AD724" t="s">
        <v>13868</v>
      </c>
      <c r="AE724" t="s">
        <v>13869</v>
      </c>
      <c r="AF724" t="s">
        <v>74</v>
      </c>
      <c r="AG724">
        <v>69</v>
      </c>
      <c r="AH724">
        <v>7</v>
      </c>
      <c r="AI724">
        <v>7</v>
      </c>
      <c r="AJ724">
        <v>6</v>
      </c>
      <c r="AK724">
        <v>26</v>
      </c>
      <c r="AL724" t="s">
        <v>182</v>
      </c>
      <c r="AM724" t="s">
        <v>183</v>
      </c>
      <c r="AN724" t="s">
        <v>184</v>
      </c>
      <c r="AO724" t="s">
        <v>13870</v>
      </c>
      <c r="AP724" t="s">
        <v>74</v>
      </c>
      <c r="AQ724" t="s">
        <v>74</v>
      </c>
      <c r="AR724" t="s">
        <v>13871</v>
      </c>
      <c r="AS724" t="s">
        <v>13872</v>
      </c>
      <c r="AT724" t="s">
        <v>99</v>
      </c>
      <c r="AU724">
        <v>2023</v>
      </c>
      <c r="AV724">
        <v>6</v>
      </c>
      <c r="AW724">
        <v>2</v>
      </c>
      <c r="AX724" t="s">
        <v>74</v>
      </c>
      <c r="AY724" t="s">
        <v>74</v>
      </c>
      <c r="AZ724" t="s">
        <v>74</v>
      </c>
      <c r="BA724" t="s">
        <v>74</v>
      </c>
      <c r="BB724">
        <v>148</v>
      </c>
      <c r="BC724" t="s">
        <v>351</v>
      </c>
      <c r="BD724" t="s">
        <v>74</v>
      </c>
      <c r="BE724" t="s">
        <v>13873</v>
      </c>
      <c r="BF724" t="str">
        <f>HYPERLINK("http://dx.doi.org/10.1038/s41893-022-00981-x","http://dx.doi.org/10.1038/s41893-022-00981-x")</f>
        <v>http://dx.doi.org/10.1038/s41893-022-00981-x</v>
      </c>
      <c r="BG724" t="s">
        <v>74</v>
      </c>
      <c r="BH724" t="s">
        <v>11396</v>
      </c>
      <c r="BI724">
        <v>13</v>
      </c>
      <c r="BJ724" t="s">
        <v>5233</v>
      </c>
      <c r="BK724" t="s">
        <v>354</v>
      </c>
      <c r="BL724" t="s">
        <v>5234</v>
      </c>
      <c r="BM724" t="s">
        <v>13874</v>
      </c>
      <c r="BN724" t="s">
        <v>74</v>
      </c>
      <c r="BO724" t="s">
        <v>13875</v>
      </c>
      <c r="BP724" t="s">
        <v>74</v>
      </c>
      <c r="BQ724" t="s">
        <v>74</v>
      </c>
      <c r="BR724" t="s">
        <v>108</v>
      </c>
      <c r="BS724" t="s">
        <v>13876</v>
      </c>
      <c r="BT724" t="str">
        <f>HYPERLINK("https%3A%2F%2Fwww.webofscience.com%2Fwos%2Fwoscc%2Ffull-record%2FWOS:000883302400005","View Full Record in Web of Science")</f>
        <v>View Full Record in Web of Science</v>
      </c>
    </row>
    <row r="725" spans="1:72" x14ac:dyDescent="0.15">
      <c r="A725" t="s">
        <v>72</v>
      </c>
      <c r="B725" t="s">
        <v>13877</v>
      </c>
      <c r="C725" t="s">
        <v>74</v>
      </c>
      <c r="D725" t="s">
        <v>74</v>
      </c>
      <c r="E725" t="s">
        <v>74</v>
      </c>
      <c r="F725" t="s">
        <v>13878</v>
      </c>
      <c r="G725" t="s">
        <v>74</v>
      </c>
      <c r="H725" t="s">
        <v>74</v>
      </c>
      <c r="I725" t="s">
        <v>13879</v>
      </c>
      <c r="J725" t="s">
        <v>13880</v>
      </c>
      <c r="K725" t="s">
        <v>74</v>
      </c>
      <c r="L725" t="s">
        <v>74</v>
      </c>
      <c r="M725" t="s">
        <v>78</v>
      </c>
      <c r="N725" t="s">
        <v>79</v>
      </c>
      <c r="O725" t="s">
        <v>74</v>
      </c>
      <c r="P725" t="s">
        <v>74</v>
      </c>
      <c r="Q725" t="s">
        <v>74</v>
      </c>
      <c r="R725" t="s">
        <v>74</v>
      </c>
      <c r="S725" t="s">
        <v>74</v>
      </c>
      <c r="T725" t="s">
        <v>74</v>
      </c>
      <c r="U725" t="s">
        <v>13881</v>
      </c>
      <c r="V725" t="s">
        <v>13882</v>
      </c>
      <c r="W725" t="s">
        <v>13883</v>
      </c>
      <c r="X725" t="s">
        <v>13884</v>
      </c>
      <c r="Y725" t="s">
        <v>13885</v>
      </c>
      <c r="Z725" t="s">
        <v>13886</v>
      </c>
      <c r="AA725" t="s">
        <v>13887</v>
      </c>
      <c r="AB725" t="s">
        <v>13888</v>
      </c>
      <c r="AC725" t="s">
        <v>6606</v>
      </c>
      <c r="AD725" t="s">
        <v>6606</v>
      </c>
      <c r="AE725" t="s">
        <v>13889</v>
      </c>
      <c r="AF725" t="s">
        <v>74</v>
      </c>
      <c r="AG725">
        <v>50</v>
      </c>
      <c r="AH725">
        <v>2</v>
      </c>
      <c r="AI725">
        <v>2</v>
      </c>
      <c r="AJ725">
        <v>0</v>
      </c>
      <c r="AK725">
        <v>1</v>
      </c>
      <c r="AL725" t="s">
        <v>10131</v>
      </c>
      <c r="AM725" t="s">
        <v>10132</v>
      </c>
      <c r="AN725" t="s">
        <v>10133</v>
      </c>
      <c r="AO725" t="s">
        <v>13890</v>
      </c>
      <c r="AP725" t="s">
        <v>74</v>
      </c>
      <c r="AQ725" t="s">
        <v>74</v>
      </c>
      <c r="AR725" t="s">
        <v>13880</v>
      </c>
      <c r="AS725" t="s">
        <v>13891</v>
      </c>
      <c r="AT725" t="s">
        <v>13782</v>
      </c>
      <c r="AU725">
        <v>2022</v>
      </c>
      <c r="AV725">
        <v>17</v>
      </c>
      <c r="AW725">
        <v>11</v>
      </c>
      <c r="AX725" t="s">
        <v>74</v>
      </c>
      <c r="AY725" t="s">
        <v>74</v>
      </c>
      <c r="AZ725" t="s">
        <v>74</v>
      </c>
      <c r="BA725" t="s">
        <v>74</v>
      </c>
      <c r="BB725" t="s">
        <v>74</v>
      </c>
      <c r="BC725" t="s">
        <v>74</v>
      </c>
      <c r="BD725" t="s">
        <v>13892</v>
      </c>
      <c r="BE725" t="s">
        <v>13893</v>
      </c>
      <c r="BF725" t="str">
        <f>HYPERLINK("http://dx.doi.org/10.1371/journal.pone.0277676","http://dx.doi.org/10.1371/journal.pone.0277676")</f>
        <v>http://dx.doi.org/10.1371/journal.pone.0277676</v>
      </c>
      <c r="BG725" t="s">
        <v>74</v>
      </c>
      <c r="BH725" t="s">
        <v>74</v>
      </c>
      <c r="BI725">
        <v>17</v>
      </c>
      <c r="BJ725" t="s">
        <v>189</v>
      </c>
      <c r="BK725" t="s">
        <v>104</v>
      </c>
      <c r="BL725" t="s">
        <v>190</v>
      </c>
      <c r="BM725" t="s">
        <v>13894</v>
      </c>
      <c r="BN725">
        <v>36374848</v>
      </c>
      <c r="BO725" t="s">
        <v>192</v>
      </c>
      <c r="BP725" t="s">
        <v>74</v>
      </c>
      <c r="BQ725" t="s">
        <v>74</v>
      </c>
      <c r="BR725" t="s">
        <v>108</v>
      </c>
      <c r="BS725" t="s">
        <v>13895</v>
      </c>
      <c r="BT725" t="str">
        <f>HYPERLINK("https%3A%2F%2Fwww.webofscience.com%2Fwos%2Fwoscc%2Ffull-record%2FWOS:001122541300019","View Full Record in Web of Science")</f>
        <v>View Full Record in Web of Science</v>
      </c>
    </row>
    <row r="726" spans="1:72" x14ac:dyDescent="0.15">
      <c r="A726" t="s">
        <v>72</v>
      </c>
      <c r="B726" t="s">
        <v>13896</v>
      </c>
      <c r="C726" t="s">
        <v>74</v>
      </c>
      <c r="D726" t="s">
        <v>74</v>
      </c>
      <c r="E726" t="s">
        <v>74</v>
      </c>
      <c r="F726" t="s">
        <v>13897</v>
      </c>
      <c r="G726" t="s">
        <v>74</v>
      </c>
      <c r="H726" t="s">
        <v>74</v>
      </c>
      <c r="I726" t="s">
        <v>13898</v>
      </c>
      <c r="J726" t="s">
        <v>7079</v>
      </c>
      <c r="K726" t="s">
        <v>74</v>
      </c>
      <c r="L726" t="s">
        <v>74</v>
      </c>
      <c r="M726" t="s">
        <v>78</v>
      </c>
      <c r="N726" t="s">
        <v>256</v>
      </c>
      <c r="O726" t="s">
        <v>74</v>
      </c>
      <c r="P726" t="s">
        <v>74</v>
      </c>
      <c r="Q726" t="s">
        <v>74</v>
      </c>
      <c r="R726" t="s">
        <v>74</v>
      </c>
      <c r="S726" t="s">
        <v>74</v>
      </c>
      <c r="T726" t="s">
        <v>13899</v>
      </c>
      <c r="U726" t="s">
        <v>13900</v>
      </c>
      <c r="V726" t="s">
        <v>13901</v>
      </c>
      <c r="W726" t="s">
        <v>13902</v>
      </c>
      <c r="X726" t="s">
        <v>13903</v>
      </c>
      <c r="Y726" t="s">
        <v>13904</v>
      </c>
      <c r="Z726" t="s">
        <v>13905</v>
      </c>
      <c r="AA726" t="s">
        <v>13906</v>
      </c>
      <c r="AB726" t="s">
        <v>13907</v>
      </c>
      <c r="AC726" t="s">
        <v>13908</v>
      </c>
      <c r="AD726" t="s">
        <v>13909</v>
      </c>
      <c r="AE726" t="s">
        <v>13910</v>
      </c>
      <c r="AF726" t="s">
        <v>74</v>
      </c>
      <c r="AG726">
        <v>88</v>
      </c>
      <c r="AH726">
        <v>3</v>
      </c>
      <c r="AI726">
        <v>3</v>
      </c>
      <c r="AJ726">
        <v>8</v>
      </c>
      <c r="AK726">
        <v>18</v>
      </c>
      <c r="AL726" t="s">
        <v>237</v>
      </c>
      <c r="AM726" t="s">
        <v>238</v>
      </c>
      <c r="AN726" t="s">
        <v>239</v>
      </c>
      <c r="AO726" t="s">
        <v>7092</v>
      </c>
      <c r="AP726" t="s">
        <v>7093</v>
      </c>
      <c r="AQ726" t="s">
        <v>74</v>
      </c>
      <c r="AR726" t="s">
        <v>7094</v>
      </c>
      <c r="AS726" t="s">
        <v>7095</v>
      </c>
      <c r="AT726" t="s">
        <v>9001</v>
      </c>
      <c r="AU726">
        <v>2022</v>
      </c>
      <c r="AV726">
        <v>235</v>
      </c>
      <c r="AW726" t="s">
        <v>74</v>
      </c>
      <c r="AX726" t="s">
        <v>74</v>
      </c>
      <c r="AY726" t="s">
        <v>74</v>
      </c>
      <c r="AZ726" t="s">
        <v>74</v>
      </c>
      <c r="BA726" t="s">
        <v>74</v>
      </c>
      <c r="BB726" t="s">
        <v>74</v>
      </c>
      <c r="BC726" t="s">
        <v>74</v>
      </c>
      <c r="BD726">
        <v>104240</v>
      </c>
      <c r="BE726" t="s">
        <v>13911</v>
      </c>
      <c r="BF726" t="str">
        <f>HYPERLINK("http://dx.doi.org/10.1016/j.earscirev.2022.104240","http://dx.doi.org/10.1016/j.earscirev.2022.104240")</f>
        <v>http://dx.doi.org/10.1016/j.earscirev.2022.104240</v>
      </c>
      <c r="BG726" t="s">
        <v>74</v>
      </c>
      <c r="BH726" t="s">
        <v>11396</v>
      </c>
      <c r="BI726">
        <v>24</v>
      </c>
      <c r="BJ726" t="s">
        <v>455</v>
      </c>
      <c r="BK726" t="s">
        <v>104</v>
      </c>
      <c r="BL726" t="s">
        <v>456</v>
      </c>
      <c r="BM726" t="s">
        <v>13912</v>
      </c>
      <c r="BN726" t="s">
        <v>74</v>
      </c>
      <c r="BO726" t="s">
        <v>74</v>
      </c>
      <c r="BP726" t="s">
        <v>74</v>
      </c>
      <c r="BQ726" t="s">
        <v>74</v>
      </c>
      <c r="BR726" t="s">
        <v>108</v>
      </c>
      <c r="BS726" t="s">
        <v>13913</v>
      </c>
      <c r="BT726" t="str">
        <f>HYPERLINK("https%3A%2F%2Fwww.webofscience.com%2Fwos%2Fwoscc%2Ffull-record%2FWOS:000889285900003","View Full Record in Web of Science")</f>
        <v>View Full Record in Web of Science</v>
      </c>
    </row>
    <row r="727" spans="1:72" x14ac:dyDescent="0.15">
      <c r="A727" t="s">
        <v>72</v>
      </c>
      <c r="B727" t="s">
        <v>13914</v>
      </c>
      <c r="C727" t="s">
        <v>74</v>
      </c>
      <c r="D727" t="s">
        <v>74</v>
      </c>
      <c r="E727" t="s">
        <v>74</v>
      </c>
      <c r="F727" t="s">
        <v>13915</v>
      </c>
      <c r="G727" t="s">
        <v>74</v>
      </c>
      <c r="H727" t="s">
        <v>74</v>
      </c>
      <c r="I727" t="s">
        <v>13916</v>
      </c>
      <c r="J727" t="s">
        <v>6867</v>
      </c>
      <c r="K727" t="s">
        <v>74</v>
      </c>
      <c r="L727" t="s">
        <v>74</v>
      </c>
      <c r="M727" t="s">
        <v>78</v>
      </c>
      <c r="N727" t="s">
        <v>79</v>
      </c>
      <c r="O727" t="s">
        <v>74</v>
      </c>
      <c r="P727" t="s">
        <v>74</v>
      </c>
      <c r="Q727" t="s">
        <v>74</v>
      </c>
      <c r="R727" t="s">
        <v>74</v>
      </c>
      <c r="S727" t="s">
        <v>74</v>
      </c>
      <c r="T727" t="s">
        <v>13917</v>
      </c>
      <c r="U727" t="s">
        <v>13918</v>
      </c>
      <c r="V727" t="s">
        <v>13919</v>
      </c>
      <c r="W727" t="s">
        <v>13920</v>
      </c>
      <c r="X727" t="s">
        <v>13921</v>
      </c>
      <c r="Y727" t="s">
        <v>13922</v>
      </c>
      <c r="Z727" t="s">
        <v>13923</v>
      </c>
      <c r="AA727" t="s">
        <v>13924</v>
      </c>
      <c r="AB727" t="s">
        <v>13925</v>
      </c>
      <c r="AC727" t="s">
        <v>13926</v>
      </c>
      <c r="AD727" t="s">
        <v>13927</v>
      </c>
      <c r="AE727" t="s">
        <v>13928</v>
      </c>
      <c r="AF727" t="s">
        <v>74</v>
      </c>
      <c r="AG727">
        <v>359</v>
      </c>
      <c r="AH727">
        <v>3</v>
      </c>
      <c r="AI727">
        <v>3</v>
      </c>
      <c r="AJ727">
        <v>6</v>
      </c>
      <c r="AK727">
        <v>15</v>
      </c>
      <c r="AL727" t="s">
        <v>237</v>
      </c>
      <c r="AM727" t="s">
        <v>238</v>
      </c>
      <c r="AN727" t="s">
        <v>239</v>
      </c>
      <c r="AO727" t="s">
        <v>6878</v>
      </c>
      <c r="AP727" t="s">
        <v>6879</v>
      </c>
      <c r="AQ727" t="s">
        <v>74</v>
      </c>
      <c r="AR727" t="s">
        <v>6880</v>
      </c>
      <c r="AS727" t="s">
        <v>6881</v>
      </c>
      <c r="AT727" t="s">
        <v>9001</v>
      </c>
      <c r="AU727">
        <v>2022</v>
      </c>
      <c r="AV727">
        <v>219</v>
      </c>
      <c r="AW727" t="s">
        <v>74</v>
      </c>
      <c r="AX727" t="s">
        <v>74</v>
      </c>
      <c r="AY727" t="s">
        <v>74</v>
      </c>
      <c r="AZ727" t="s">
        <v>74</v>
      </c>
      <c r="BA727" t="s">
        <v>74</v>
      </c>
      <c r="BB727" t="s">
        <v>74</v>
      </c>
      <c r="BC727" t="s">
        <v>74</v>
      </c>
      <c r="BD727">
        <v>103983</v>
      </c>
      <c r="BE727" t="s">
        <v>13929</v>
      </c>
      <c r="BF727" t="str">
        <f>HYPERLINK("http://dx.doi.org/10.1016/j.gloplacha.2022.103983","http://dx.doi.org/10.1016/j.gloplacha.2022.103983")</f>
        <v>http://dx.doi.org/10.1016/j.gloplacha.2022.103983</v>
      </c>
      <c r="BG727" t="s">
        <v>74</v>
      </c>
      <c r="BH727" t="s">
        <v>11396</v>
      </c>
      <c r="BI727">
        <v>48</v>
      </c>
      <c r="BJ727" t="s">
        <v>611</v>
      </c>
      <c r="BK727" t="s">
        <v>104</v>
      </c>
      <c r="BL727" t="s">
        <v>612</v>
      </c>
      <c r="BM727" t="s">
        <v>13930</v>
      </c>
      <c r="BN727" t="s">
        <v>74</v>
      </c>
      <c r="BO727" t="s">
        <v>3561</v>
      </c>
      <c r="BP727" t="s">
        <v>74</v>
      </c>
      <c r="BQ727" t="s">
        <v>74</v>
      </c>
      <c r="BR727" t="s">
        <v>108</v>
      </c>
      <c r="BS727" t="s">
        <v>13931</v>
      </c>
      <c r="BT727" t="str">
        <f>HYPERLINK("https%3A%2F%2Fwww.webofscience.com%2Fwos%2Fwoscc%2Ffull-record%2FWOS:000887143400001","View Full Record in Web of Science")</f>
        <v>View Full Record in Web of Science</v>
      </c>
    </row>
    <row r="728" spans="1:72" x14ac:dyDescent="0.15">
      <c r="A728" t="s">
        <v>72</v>
      </c>
      <c r="B728" t="s">
        <v>13932</v>
      </c>
      <c r="C728" t="s">
        <v>74</v>
      </c>
      <c r="D728" t="s">
        <v>74</v>
      </c>
      <c r="E728" t="s">
        <v>74</v>
      </c>
      <c r="F728" t="s">
        <v>13933</v>
      </c>
      <c r="G728" t="s">
        <v>74</v>
      </c>
      <c r="H728" t="s">
        <v>74</v>
      </c>
      <c r="I728" t="s">
        <v>13934</v>
      </c>
      <c r="J728" t="s">
        <v>362</v>
      </c>
      <c r="K728" t="s">
        <v>74</v>
      </c>
      <c r="L728" t="s">
        <v>74</v>
      </c>
      <c r="M728" t="s">
        <v>78</v>
      </c>
      <c r="N728" t="s">
        <v>79</v>
      </c>
      <c r="O728" t="s">
        <v>74</v>
      </c>
      <c r="P728" t="s">
        <v>74</v>
      </c>
      <c r="Q728" t="s">
        <v>74</v>
      </c>
      <c r="R728" t="s">
        <v>74</v>
      </c>
      <c r="S728" t="s">
        <v>74</v>
      </c>
      <c r="T728" t="s">
        <v>74</v>
      </c>
      <c r="U728" t="s">
        <v>13935</v>
      </c>
      <c r="V728" t="s">
        <v>13936</v>
      </c>
      <c r="W728" t="s">
        <v>13937</v>
      </c>
      <c r="X728" t="s">
        <v>13938</v>
      </c>
      <c r="Y728" t="s">
        <v>13939</v>
      </c>
      <c r="Z728" t="s">
        <v>13940</v>
      </c>
      <c r="AA728" t="s">
        <v>13941</v>
      </c>
      <c r="AB728" t="s">
        <v>13942</v>
      </c>
      <c r="AC728" t="s">
        <v>13943</v>
      </c>
      <c r="AD728" t="s">
        <v>13944</v>
      </c>
      <c r="AE728" t="s">
        <v>13945</v>
      </c>
      <c r="AF728" t="s">
        <v>74</v>
      </c>
      <c r="AG728">
        <v>54</v>
      </c>
      <c r="AH728">
        <v>5</v>
      </c>
      <c r="AI728">
        <v>5</v>
      </c>
      <c r="AJ728">
        <v>0</v>
      </c>
      <c r="AK728">
        <v>3</v>
      </c>
      <c r="AL728" t="s">
        <v>374</v>
      </c>
      <c r="AM728" t="s">
        <v>375</v>
      </c>
      <c r="AN728" t="s">
        <v>376</v>
      </c>
      <c r="AO728" t="s">
        <v>74</v>
      </c>
      <c r="AP728" t="s">
        <v>377</v>
      </c>
      <c r="AQ728" t="s">
        <v>74</v>
      </c>
      <c r="AR728" t="s">
        <v>378</v>
      </c>
      <c r="AS728" t="s">
        <v>379</v>
      </c>
      <c r="AT728" t="s">
        <v>13946</v>
      </c>
      <c r="AU728">
        <v>2022</v>
      </c>
      <c r="AV728">
        <v>3</v>
      </c>
      <c r="AW728">
        <v>1</v>
      </c>
      <c r="AX728" t="s">
        <v>74</v>
      </c>
      <c r="AY728" t="s">
        <v>74</v>
      </c>
      <c r="AZ728" t="s">
        <v>74</v>
      </c>
      <c r="BA728" t="s">
        <v>74</v>
      </c>
      <c r="BB728" t="s">
        <v>74</v>
      </c>
      <c r="BC728" t="s">
        <v>74</v>
      </c>
      <c r="BD728">
        <v>279</v>
      </c>
      <c r="BE728" t="s">
        <v>13947</v>
      </c>
      <c r="BF728" t="str">
        <f>HYPERLINK("http://dx.doi.org/10.1038/s43247-022-00570-y","http://dx.doi.org/10.1038/s43247-022-00570-y")</f>
        <v>http://dx.doi.org/10.1038/s43247-022-00570-y</v>
      </c>
      <c r="BG728" t="s">
        <v>74</v>
      </c>
      <c r="BH728" t="s">
        <v>74</v>
      </c>
      <c r="BI728">
        <v>9</v>
      </c>
      <c r="BJ728" t="s">
        <v>381</v>
      </c>
      <c r="BK728" t="s">
        <v>104</v>
      </c>
      <c r="BL728" t="s">
        <v>382</v>
      </c>
      <c r="BM728" t="s">
        <v>13948</v>
      </c>
      <c r="BN728" t="s">
        <v>74</v>
      </c>
      <c r="BO728" t="s">
        <v>8139</v>
      </c>
      <c r="BP728" t="s">
        <v>74</v>
      </c>
      <c r="BQ728" t="s">
        <v>74</v>
      </c>
      <c r="BR728" t="s">
        <v>108</v>
      </c>
      <c r="BS728" t="s">
        <v>13949</v>
      </c>
      <c r="BT728" t="str">
        <f>HYPERLINK("https%3A%2F%2Fwww.webofscience.com%2Fwos%2Fwoscc%2Ffull-record%2FWOS:000882377200001","View Full Record in Web of Science")</f>
        <v>View Full Record in Web of Science</v>
      </c>
    </row>
    <row r="729" spans="1:72" x14ac:dyDescent="0.15">
      <c r="A729" t="s">
        <v>72</v>
      </c>
      <c r="B729" t="s">
        <v>13950</v>
      </c>
      <c r="C729" t="s">
        <v>74</v>
      </c>
      <c r="D729" t="s">
        <v>74</v>
      </c>
      <c r="E729" t="s">
        <v>74</v>
      </c>
      <c r="F729" t="s">
        <v>13951</v>
      </c>
      <c r="G729" t="s">
        <v>74</v>
      </c>
      <c r="H729" t="s">
        <v>74</v>
      </c>
      <c r="I729" t="s">
        <v>13952</v>
      </c>
      <c r="J729" t="s">
        <v>7124</v>
      </c>
      <c r="K729" t="s">
        <v>74</v>
      </c>
      <c r="L729" t="s">
        <v>74</v>
      </c>
      <c r="M729" t="s">
        <v>78</v>
      </c>
      <c r="N729" t="s">
        <v>79</v>
      </c>
      <c r="O729" t="s">
        <v>74</v>
      </c>
      <c r="P729" t="s">
        <v>74</v>
      </c>
      <c r="Q729" t="s">
        <v>74</v>
      </c>
      <c r="R729" t="s">
        <v>74</v>
      </c>
      <c r="S729" t="s">
        <v>74</v>
      </c>
      <c r="T729" t="s">
        <v>74</v>
      </c>
      <c r="U729" t="s">
        <v>13953</v>
      </c>
      <c r="V729" t="s">
        <v>13954</v>
      </c>
      <c r="W729" t="s">
        <v>13955</v>
      </c>
      <c r="X729" t="s">
        <v>13956</v>
      </c>
      <c r="Y729" t="s">
        <v>13957</v>
      </c>
      <c r="Z729" t="s">
        <v>13958</v>
      </c>
      <c r="AA729" t="s">
        <v>13959</v>
      </c>
      <c r="AB729" t="s">
        <v>13960</v>
      </c>
      <c r="AC729" t="s">
        <v>13961</v>
      </c>
      <c r="AD729" t="s">
        <v>13962</v>
      </c>
      <c r="AE729" t="s">
        <v>13963</v>
      </c>
      <c r="AF729" t="s">
        <v>74</v>
      </c>
      <c r="AG729">
        <v>352</v>
      </c>
      <c r="AH729">
        <v>411</v>
      </c>
      <c r="AI729">
        <v>445</v>
      </c>
      <c r="AJ729">
        <v>343</v>
      </c>
      <c r="AK729">
        <v>665</v>
      </c>
      <c r="AL729" t="s">
        <v>126</v>
      </c>
      <c r="AM729" t="s">
        <v>127</v>
      </c>
      <c r="AN729" t="s">
        <v>128</v>
      </c>
      <c r="AO729" t="s">
        <v>7136</v>
      </c>
      <c r="AP729" t="s">
        <v>7137</v>
      </c>
      <c r="AQ729" t="s">
        <v>74</v>
      </c>
      <c r="AR729" t="s">
        <v>7138</v>
      </c>
      <c r="AS729" t="s">
        <v>7139</v>
      </c>
      <c r="AT729" t="s">
        <v>13964</v>
      </c>
      <c r="AU729">
        <v>2022</v>
      </c>
      <c r="AV729">
        <v>14</v>
      </c>
      <c r="AW729">
        <v>11</v>
      </c>
      <c r="AX729" t="s">
        <v>74</v>
      </c>
      <c r="AY729" t="s">
        <v>74</v>
      </c>
      <c r="AZ729" t="s">
        <v>74</v>
      </c>
      <c r="BA729" t="s">
        <v>74</v>
      </c>
      <c r="BB729">
        <v>4811</v>
      </c>
      <c r="BC729">
        <v>4900</v>
      </c>
      <c r="BD729" t="s">
        <v>74</v>
      </c>
      <c r="BE729" t="s">
        <v>13965</v>
      </c>
      <c r="BF729" t="str">
        <f>HYPERLINK("http://dx.doi.org/10.5194/essd-14-4811-2022","http://dx.doi.org/10.5194/essd-14-4811-2022")</f>
        <v>http://dx.doi.org/10.5194/essd-14-4811-2022</v>
      </c>
      <c r="BG729" t="s">
        <v>74</v>
      </c>
      <c r="BH729" t="s">
        <v>74</v>
      </c>
      <c r="BI729">
        <v>90</v>
      </c>
      <c r="BJ729" t="s">
        <v>135</v>
      </c>
      <c r="BK729" t="s">
        <v>104</v>
      </c>
      <c r="BL729" t="s">
        <v>136</v>
      </c>
      <c r="BM729" t="s">
        <v>13966</v>
      </c>
      <c r="BN729" t="s">
        <v>74</v>
      </c>
      <c r="BO729" t="s">
        <v>8035</v>
      </c>
      <c r="BP729" t="s">
        <v>249</v>
      </c>
      <c r="BQ729" t="s">
        <v>249</v>
      </c>
      <c r="BR729" t="s">
        <v>108</v>
      </c>
      <c r="BS729" t="s">
        <v>13967</v>
      </c>
      <c r="BT729" t="str">
        <f>HYPERLINK("https%3A%2F%2Fwww.webofscience.com%2Fwos%2Fwoscc%2Ffull-record%2FWOS:000928187000001","View Full Record in Web of Science")</f>
        <v>View Full Record in Web of Science</v>
      </c>
    </row>
    <row r="730" spans="1:72" x14ac:dyDescent="0.15">
      <c r="A730" t="s">
        <v>72</v>
      </c>
      <c r="B730" t="s">
        <v>13968</v>
      </c>
      <c r="C730" t="s">
        <v>74</v>
      </c>
      <c r="D730" t="s">
        <v>74</v>
      </c>
      <c r="E730" t="s">
        <v>74</v>
      </c>
      <c r="F730" t="s">
        <v>13969</v>
      </c>
      <c r="G730" t="s">
        <v>74</v>
      </c>
      <c r="H730" t="s">
        <v>74</v>
      </c>
      <c r="I730" t="s">
        <v>13970</v>
      </c>
      <c r="J730" t="s">
        <v>13971</v>
      </c>
      <c r="K730" t="s">
        <v>74</v>
      </c>
      <c r="L730" t="s">
        <v>74</v>
      </c>
      <c r="M730" t="s">
        <v>78</v>
      </c>
      <c r="N730" t="s">
        <v>79</v>
      </c>
      <c r="O730" t="s">
        <v>74</v>
      </c>
      <c r="P730" t="s">
        <v>74</v>
      </c>
      <c r="Q730" t="s">
        <v>74</v>
      </c>
      <c r="R730" t="s">
        <v>74</v>
      </c>
      <c r="S730" t="s">
        <v>74</v>
      </c>
      <c r="T730" t="s">
        <v>13972</v>
      </c>
      <c r="U730" t="s">
        <v>13973</v>
      </c>
      <c r="V730" t="s">
        <v>13974</v>
      </c>
      <c r="W730" t="s">
        <v>13975</v>
      </c>
      <c r="X730" t="s">
        <v>13976</v>
      </c>
      <c r="Y730" t="s">
        <v>13977</v>
      </c>
      <c r="Z730" t="s">
        <v>3166</v>
      </c>
      <c r="AA730" t="s">
        <v>13978</v>
      </c>
      <c r="AB730" t="s">
        <v>13979</v>
      </c>
      <c r="AC730" t="s">
        <v>13980</v>
      </c>
      <c r="AD730" t="s">
        <v>13981</v>
      </c>
      <c r="AE730" t="s">
        <v>13982</v>
      </c>
      <c r="AF730" t="s">
        <v>74</v>
      </c>
      <c r="AG730">
        <v>102</v>
      </c>
      <c r="AH730">
        <v>1</v>
      </c>
      <c r="AI730">
        <v>1</v>
      </c>
      <c r="AJ730">
        <v>0</v>
      </c>
      <c r="AK730">
        <v>6</v>
      </c>
      <c r="AL730" t="s">
        <v>237</v>
      </c>
      <c r="AM730" t="s">
        <v>238</v>
      </c>
      <c r="AN730" t="s">
        <v>239</v>
      </c>
      <c r="AO730" t="s">
        <v>13983</v>
      </c>
      <c r="AP730" t="s">
        <v>13984</v>
      </c>
      <c r="AQ730" t="s">
        <v>74</v>
      </c>
      <c r="AR730" t="s">
        <v>13971</v>
      </c>
      <c r="AS730" t="s">
        <v>13985</v>
      </c>
      <c r="AT730" t="s">
        <v>9001</v>
      </c>
      <c r="AU730">
        <v>2022</v>
      </c>
      <c r="AV730">
        <v>120</v>
      </c>
      <c r="AW730" t="s">
        <v>74</v>
      </c>
      <c r="AX730" t="s">
        <v>74</v>
      </c>
      <c r="AY730" t="s">
        <v>74</v>
      </c>
      <c r="AZ730" t="s">
        <v>74</v>
      </c>
      <c r="BA730" t="s">
        <v>74</v>
      </c>
      <c r="BB730" t="s">
        <v>74</v>
      </c>
      <c r="BC730" t="s">
        <v>74</v>
      </c>
      <c r="BD730">
        <v>102336</v>
      </c>
      <c r="BE730" t="s">
        <v>13986</v>
      </c>
      <c r="BF730" t="str">
        <f>HYPERLINK("http://dx.doi.org/10.1016/j.hal.2022.102336","http://dx.doi.org/10.1016/j.hal.2022.102336")</f>
        <v>http://dx.doi.org/10.1016/j.hal.2022.102336</v>
      </c>
      <c r="BG730" t="s">
        <v>74</v>
      </c>
      <c r="BH730" t="s">
        <v>11396</v>
      </c>
      <c r="BI730">
        <v>10</v>
      </c>
      <c r="BJ730" t="s">
        <v>2572</v>
      </c>
      <c r="BK730" t="s">
        <v>104</v>
      </c>
      <c r="BL730" t="s">
        <v>2572</v>
      </c>
      <c r="BM730" t="s">
        <v>13987</v>
      </c>
      <c r="BN730">
        <v>36470600</v>
      </c>
      <c r="BO730" t="s">
        <v>74</v>
      </c>
      <c r="BP730" t="s">
        <v>74</v>
      </c>
      <c r="BQ730" t="s">
        <v>74</v>
      </c>
      <c r="BR730" t="s">
        <v>108</v>
      </c>
      <c r="BS730" t="s">
        <v>13988</v>
      </c>
      <c r="BT730" t="str">
        <f>HYPERLINK("https%3A%2F%2Fwww.webofscience.com%2Fwos%2Fwoscc%2Ffull-record%2FWOS:000903509300004","View Full Record in Web of Science")</f>
        <v>View Full Record in Web of Science</v>
      </c>
    </row>
    <row r="731" spans="1:72" x14ac:dyDescent="0.15">
      <c r="A731" t="s">
        <v>72</v>
      </c>
      <c r="B731" t="s">
        <v>13989</v>
      </c>
      <c r="C731" t="s">
        <v>74</v>
      </c>
      <c r="D731" t="s">
        <v>74</v>
      </c>
      <c r="E731" t="s">
        <v>74</v>
      </c>
      <c r="F731" t="s">
        <v>13990</v>
      </c>
      <c r="G731" t="s">
        <v>74</v>
      </c>
      <c r="H731" t="s">
        <v>74</v>
      </c>
      <c r="I731" t="s">
        <v>13991</v>
      </c>
      <c r="J731" t="s">
        <v>13992</v>
      </c>
      <c r="K731" t="s">
        <v>74</v>
      </c>
      <c r="L731" t="s">
        <v>74</v>
      </c>
      <c r="M731" t="s">
        <v>78</v>
      </c>
      <c r="N731" t="s">
        <v>79</v>
      </c>
      <c r="O731" t="s">
        <v>74</v>
      </c>
      <c r="P731" t="s">
        <v>74</v>
      </c>
      <c r="Q731" t="s">
        <v>74</v>
      </c>
      <c r="R731" t="s">
        <v>74</v>
      </c>
      <c r="S731" t="s">
        <v>74</v>
      </c>
      <c r="T731" t="s">
        <v>13993</v>
      </c>
      <c r="U731" t="s">
        <v>13994</v>
      </c>
      <c r="V731" t="s">
        <v>13995</v>
      </c>
      <c r="W731" t="s">
        <v>13996</v>
      </c>
      <c r="X731" t="s">
        <v>13997</v>
      </c>
      <c r="Y731" t="s">
        <v>13998</v>
      </c>
      <c r="Z731" t="s">
        <v>13999</v>
      </c>
      <c r="AA731" t="s">
        <v>74</v>
      </c>
      <c r="AB731" t="s">
        <v>74</v>
      </c>
      <c r="AC731" t="s">
        <v>14000</v>
      </c>
      <c r="AD731" t="s">
        <v>14001</v>
      </c>
      <c r="AE731" t="s">
        <v>14002</v>
      </c>
      <c r="AF731" t="s">
        <v>74</v>
      </c>
      <c r="AG731">
        <v>88</v>
      </c>
      <c r="AH731">
        <v>1</v>
      </c>
      <c r="AI731">
        <v>1</v>
      </c>
      <c r="AJ731">
        <v>2</v>
      </c>
      <c r="AK731">
        <v>10</v>
      </c>
      <c r="AL731" t="s">
        <v>8762</v>
      </c>
      <c r="AM731" t="s">
        <v>2564</v>
      </c>
      <c r="AN731" t="s">
        <v>8763</v>
      </c>
      <c r="AO731" t="s">
        <v>14003</v>
      </c>
      <c r="AP731" t="s">
        <v>14004</v>
      </c>
      <c r="AQ731" t="s">
        <v>74</v>
      </c>
      <c r="AR731" t="s">
        <v>13992</v>
      </c>
      <c r="AS731" t="s">
        <v>14005</v>
      </c>
      <c r="AT731" t="s">
        <v>99</v>
      </c>
      <c r="AU731">
        <v>2023</v>
      </c>
      <c r="AV731">
        <v>391</v>
      </c>
      <c r="AW731" t="s">
        <v>74</v>
      </c>
      <c r="AX731" t="s">
        <v>74</v>
      </c>
      <c r="AY731" t="s">
        <v>74</v>
      </c>
      <c r="AZ731" t="s">
        <v>74</v>
      </c>
      <c r="BA731" t="s">
        <v>74</v>
      </c>
      <c r="BB731" t="s">
        <v>74</v>
      </c>
      <c r="BC731" t="s">
        <v>74</v>
      </c>
      <c r="BD731">
        <v>115300</v>
      </c>
      <c r="BE731" t="s">
        <v>14006</v>
      </c>
      <c r="BF731" t="str">
        <f>HYPERLINK("http://dx.doi.org/10.1016/j.icarus.2022.115300","http://dx.doi.org/10.1016/j.icarus.2022.115300")</f>
        <v>http://dx.doi.org/10.1016/j.icarus.2022.115300</v>
      </c>
      <c r="BG731" t="s">
        <v>74</v>
      </c>
      <c r="BH731" t="s">
        <v>11396</v>
      </c>
      <c r="BI731">
        <v>12</v>
      </c>
      <c r="BJ731" t="s">
        <v>5631</v>
      </c>
      <c r="BK731" t="s">
        <v>104</v>
      </c>
      <c r="BL731" t="s">
        <v>5631</v>
      </c>
      <c r="BM731" t="s">
        <v>14007</v>
      </c>
      <c r="BN731" t="s">
        <v>74</v>
      </c>
      <c r="BO731" t="s">
        <v>219</v>
      </c>
      <c r="BP731" t="s">
        <v>74</v>
      </c>
      <c r="BQ731" t="s">
        <v>74</v>
      </c>
      <c r="BR731" t="s">
        <v>108</v>
      </c>
      <c r="BS731" t="s">
        <v>14008</v>
      </c>
      <c r="BT731" t="str">
        <f>HYPERLINK("https%3A%2F%2Fwww.webofscience.com%2Fwos%2Fwoscc%2Ffull-record%2FWOS:000896514300008","View Full Record in Web of Science")</f>
        <v>View Full Record in Web of Science</v>
      </c>
    </row>
    <row r="732" spans="1:72" x14ac:dyDescent="0.15">
      <c r="A732" t="s">
        <v>72</v>
      </c>
      <c r="B732" t="s">
        <v>14009</v>
      </c>
      <c r="C732" t="s">
        <v>74</v>
      </c>
      <c r="D732" t="s">
        <v>74</v>
      </c>
      <c r="E732" t="s">
        <v>74</v>
      </c>
      <c r="F732" t="s">
        <v>14010</v>
      </c>
      <c r="G732" t="s">
        <v>74</v>
      </c>
      <c r="H732" t="s">
        <v>74</v>
      </c>
      <c r="I732" t="s">
        <v>14011</v>
      </c>
      <c r="J732" t="s">
        <v>436</v>
      </c>
      <c r="K732" t="s">
        <v>74</v>
      </c>
      <c r="L732" t="s">
        <v>74</v>
      </c>
      <c r="M732" t="s">
        <v>78</v>
      </c>
      <c r="N732" t="s">
        <v>79</v>
      </c>
      <c r="O732" t="s">
        <v>74</v>
      </c>
      <c r="P732" t="s">
        <v>74</v>
      </c>
      <c r="Q732" t="s">
        <v>74</v>
      </c>
      <c r="R732" t="s">
        <v>74</v>
      </c>
      <c r="S732" t="s">
        <v>74</v>
      </c>
      <c r="T732" t="s">
        <v>14012</v>
      </c>
      <c r="U732" t="s">
        <v>14013</v>
      </c>
      <c r="V732" t="s">
        <v>14014</v>
      </c>
      <c r="W732" t="s">
        <v>14015</v>
      </c>
      <c r="X732" t="s">
        <v>14016</v>
      </c>
      <c r="Y732" t="s">
        <v>14017</v>
      </c>
      <c r="Z732" t="s">
        <v>14018</v>
      </c>
      <c r="AA732" t="s">
        <v>14019</v>
      </c>
      <c r="AB732" t="s">
        <v>14020</v>
      </c>
      <c r="AC732" t="s">
        <v>14021</v>
      </c>
      <c r="AD732" t="s">
        <v>14022</v>
      </c>
      <c r="AE732" t="s">
        <v>14023</v>
      </c>
      <c r="AF732" t="s">
        <v>74</v>
      </c>
      <c r="AG732">
        <v>56</v>
      </c>
      <c r="AH732">
        <v>5</v>
      </c>
      <c r="AI732">
        <v>5</v>
      </c>
      <c r="AJ732">
        <v>4</v>
      </c>
      <c r="AK732">
        <v>11</v>
      </c>
      <c r="AL732" t="s">
        <v>448</v>
      </c>
      <c r="AM732" t="s">
        <v>449</v>
      </c>
      <c r="AN732" t="s">
        <v>450</v>
      </c>
      <c r="AO732" t="s">
        <v>74</v>
      </c>
      <c r="AP732" t="s">
        <v>451</v>
      </c>
      <c r="AQ732" t="s">
        <v>74</v>
      </c>
      <c r="AR732" t="s">
        <v>452</v>
      </c>
      <c r="AS732" t="s">
        <v>453</v>
      </c>
      <c r="AT732" t="s">
        <v>13964</v>
      </c>
      <c r="AU732">
        <v>2022</v>
      </c>
      <c r="AV732">
        <v>10</v>
      </c>
      <c r="AW732" t="s">
        <v>74</v>
      </c>
      <c r="AX732" t="s">
        <v>74</v>
      </c>
      <c r="AY732" t="s">
        <v>74</v>
      </c>
      <c r="AZ732" t="s">
        <v>74</v>
      </c>
      <c r="BA732" t="s">
        <v>74</v>
      </c>
      <c r="BB732" t="s">
        <v>74</v>
      </c>
      <c r="BC732" t="s">
        <v>74</v>
      </c>
      <c r="BD732">
        <v>975606</v>
      </c>
      <c r="BE732" t="s">
        <v>14024</v>
      </c>
      <c r="BF732" t="str">
        <f>HYPERLINK("http://dx.doi.org/10.3389/feart.2022.975606","http://dx.doi.org/10.3389/feart.2022.975606")</f>
        <v>http://dx.doi.org/10.3389/feart.2022.975606</v>
      </c>
      <c r="BG732" t="s">
        <v>74</v>
      </c>
      <c r="BH732" t="s">
        <v>74</v>
      </c>
      <c r="BI732">
        <v>16</v>
      </c>
      <c r="BJ732" t="s">
        <v>455</v>
      </c>
      <c r="BK732" t="s">
        <v>104</v>
      </c>
      <c r="BL732" t="s">
        <v>456</v>
      </c>
      <c r="BM732" t="s">
        <v>14025</v>
      </c>
      <c r="BN732" t="s">
        <v>74</v>
      </c>
      <c r="BO732" t="s">
        <v>165</v>
      </c>
      <c r="BP732" t="s">
        <v>74</v>
      </c>
      <c r="BQ732" t="s">
        <v>74</v>
      </c>
      <c r="BR732" t="s">
        <v>108</v>
      </c>
      <c r="BS732" t="s">
        <v>14026</v>
      </c>
      <c r="BT732" t="str">
        <f>HYPERLINK("https%3A%2F%2Fwww.webofscience.com%2Fwos%2Fwoscc%2Ffull-record%2FWOS:000890761800001","View Full Record in Web of Science")</f>
        <v>View Full Record in Web of Science</v>
      </c>
    </row>
    <row r="733" spans="1:72" x14ac:dyDescent="0.15">
      <c r="A733" t="s">
        <v>72</v>
      </c>
      <c r="B733" t="s">
        <v>14027</v>
      </c>
      <c r="C733" t="s">
        <v>74</v>
      </c>
      <c r="D733" t="s">
        <v>74</v>
      </c>
      <c r="E733" t="s">
        <v>74</v>
      </c>
      <c r="F733" t="s">
        <v>14028</v>
      </c>
      <c r="G733" t="s">
        <v>74</v>
      </c>
      <c r="H733" t="s">
        <v>74</v>
      </c>
      <c r="I733" t="s">
        <v>14029</v>
      </c>
      <c r="J733" t="s">
        <v>7410</v>
      </c>
      <c r="K733" t="s">
        <v>74</v>
      </c>
      <c r="L733" t="s">
        <v>74</v>
      </c>
      <c r="M733" t="s">
        <v>78</v>
      </c>
      <c r="N733" t="s">
        <v>79</v>
      </c>
      <c r="O733" t="s">
        <v>74</v>
      </c>
      <c r="P733" t="s">
        <v>74</v>
      </c>
      <c r="Q733" t="s">
        <v>74</v>
      </c>
      <c r="R733" t="s">
        <v>74</v>
      </c>
      <c r="S733" t="s">
        <v>74</v>
      </c>
      <c r="T733" t="s">
        <v>74</v>
      </c>
      <c r="U733" t="s">
        <v>14030</v>
      </c>
      <c r="V733" t="s">
        <v>14031</v>
      </c>
      <c r="W733" t="s">
        <v>14032</v>
      </c>
      <c r="X733" t="s">
        <v>14033</v>
      </c>
      <c r="Y733" t="s">
        <v>14034</v>
      </c>
      <c r="Z733" t="s">
        <v>14035</v>
      </c>
      <c r="AA733" t="s">
        <v>14036</v>
      </c>
      <c r="AB733" t="s">
        <v>14037</v>
      </c>
      <c r="AC733" t="s">
        <v>14038</v>
      </c>
      <c r="AD733" t="s">
        <v>14039</v>
      </c>
      <c r="AE733" t="s">
        <v>14040</v>
      </c>
      <c r="AF733" t="s">
        <v>74</v>
      </c>
      <c r="AG733">
        <v>73</v>
      </c>
      <c r="AH733">
        <v>2</v>
      </c>
      <c r="AI733">
        <v>2</v>
      </c>
      <c r="AJ733">
        <v>3</v>
      </c>
      <c r="AK733">
        <v>14</v>
      </c>
      <c r="AL733" t="s">
        <v>182</v>
      </c>
      <c r="AM733" t="s">
        <v>183</v>
      </c>
      <c r="AN733" t="s">
        <v>184</v>
      </c>
      <c r="AO733" t="s">
        <v>74</v>
      </c>
      <c r="AP733" t="s">
        <v>7422</v>
      </c>
      <c r="AQ733" t="s">
        <v>74</v>
      </c>
      <c r="AR733" t="s">
        <v>7423</v>
      </c>
      <c r="AS733" t="s">
        <v>7424</v>
      </c>
      <c r="AT733" t="s">
        <v>13964</v>
      </c>
      <c r="AU733">
        <v>2022</v>
      </c>
      <c r="AV733">
        <v>13</v>
      </c>
      <c r="AW733">
        <v>1</v>
      </c>
      <c r="AX733" t="s">
        <v>74</v>
      </c>
      <c r="AY733" t="s">
        <v>74</v>
      </c>
      <c r="AZ733" t="s">
        <v>74</v>
      </c>
      <c r="BA733" t="s">
        <v>74</v>
      </c>
      <c r="BB733" t="s">
        <v>74</v>
      </c>
      <c r="BC733" t="s">
        <v>74</v>
      </c>
      <c r="BD733">
        <v>6250</v>
      </c>
      <c r="BE733" t="s">
        <v>14041</v>
      </c>
      <c r="BF733" t="str">
        <f>HYPERLINK("http://dx.doi.org/10.1038/s41467-022-33753-4","http://dx.doi.org/10.1038/s41467-022-33753-4")</f>
        <v>http://dx.doi.org/10.1038/s41467-022-33753-4</v>
      </c>
      <c r="BG733" t="s">
        <v>74</v>
      </c>
      <c r="BH733" t="s">
        <v>74</v>
      </c>
      <c r="BI733">
        <v>12</v>
      </c>
      <c r="BJ733" t="s">
        <v>189</v>
      </c>
      <c r="BK733" t="s">
        <v>104</v>
      </c>
      <c r="BL733" t="s">
        <v>190</v>
      </c>
      <c r="BM733" t="s">
        <v>14042</v>
      </c>
      <c r="BN733">
        <v>36369161</v>
      </c>
      <c r="BO733" t="s">
        <v>11422</v>
      </c>
      <c r="BP733" t="s">
        <v>74</v>
      </c>
      <c r="BQ733" t="s">
        <v>74</v>
      </c>
      <c r="BR733" t="s">
        <v>108</v>
      </c>
      <c r="BS733" t="s">
        <v>14043</v>
      </c>
      <c r="BT733" t="str">
        <f>HYPERLINK("https%3A%2F%2Fwww.webofscience.com%2Fwos%2Fwoscc%2Ffull-record%2FWOS:000882306500002","View Full Record in Web of Science")</f>
        <v>View Full Record in Web of Science</v>
      </c>
    </row>
    <row r="734" spans="1:72" x14ac:dyDescent="0.15">
      <c r="A734" t="s">
        <v>72</v>
      </c>
      <c r="B734" t="s">
        <v>14044</v>
      </c>
      <c r="C734" t="s">
        <v>74</v>
      </c>
      <c r="D734" t="s">
        <v>74</v>
      </c>
      <c r="E734" t="s">
        <v>74</v>
      </c>
      <c r="F734" t="s">
        <v>14045</v>
      </c>
      <c r="G734" t="s">
        <v>74</v>
      </c>
      <c r="H734" t="s">
        <v>74</v>
      </c>
      <c r="I734" t="s">
        <v>14046</v>
      </c>
      <c r="J734" t="s">
        <v>77</v>
      </c>
      <c r="K734" t="s">
        <v>74</v>
      </c>
      <c r="L734" t="s">
        <v>74</v>
      </c>
      <c r="M734" t="s">
        <v>78</v>
      </c>
      <c r="N734" t="s">
        <v>79</v>
      </c>
      <c r="O734" t="s">
        <v>74</v>
      </c>
      <c r="P734" t="s">
        <v>74</v>
      </c>
      <c r="Q734" t="s">
        <v>74</v>
      </c>
      <c r="R734" t="s">
        <v>74</v>
      </c>
      <c r="S734" t="s">
        <v>74</v>
      </c>
      <c r="T734" t="s">
        <v>14047</v>
      </c>
      <c r="U734" t="s">
        <v>14048</v>
      </c>
      <c r="V734" t="s">
        <v>14049</v>
      </c>
      <c r="W734" t="s">
        <v>14050</v>
      </c>
      <c r="X734" t="s">
        <v>14051</v>
      </c>
      <c r="Y734" t="s">
        <v>14052</v>
      </c>
      <c r="Z734" t="s">
        <v>14053</v>
      </c>
      <c r="AA734" t="s">
        <v>14054</v>
      </c>
      <c r="AB734" t="s">
        <v>13888</v>
      </c>
      <c r="AC734" t="s">
        <v>6606</v>
      </c>
      <c r="AD734" t="s">
        <v>6606</v>
      </c>
      <c r="AE734" t="s">
        <v>14055</v>
      </c>
      <c r="AF734" t="s">
        <v>74</v>
      </c>
      <c r="AG734">
        <v>68</v>
      </c>
      <c r="AH734">
        <v>2</v>
      </c>
      <c r="AI734">
        <v>2</v>
      </c>
      <c r="AJ734">
        <v>6</v>
      </c>
      <c r="AK734">
        <v>6</v>
      </c>
      <c r="AL734" t="s">
        <v>92</v>
      </c>
      <c r="AM734" t="s">
        <v>93</v>
      </c>
      <c r="AN734" t="s">
        <v>94</v>
      </c>
      <c r="AO734" t="s">
        <v>95</v>
      </c>
      <c r="AP734" t="s">
        <v>96</v>
      </c>
      <c r="AQ734" t="s">
        <v>74</v>
      </c>
      <c r="AR734" t="s">
        <v>97</v>
      </c>
      <c r="AS734" t="s">
        <v>98</v>
      </c>
      <c r="AT734" t="s">
        <v>9001</v>
      </c>
      <c r="AU734">
        <v>2022</v>
      </c>
      <c r="AV734">
        <v>34</v>
      </c>
      <c r="AW734">
        <v>6</v>
      </c>
      <c r="AX734" t="s">
        <v>74</v>
      </c>
      <c r="AY734" t="s">
        <v>74</v>
      </c>
      <c r="AZ734" t="s">
        <v>74</v>
      </c>
      <c r="BA734" t="s">
        <v>74</v>
      </c>
      <c r="BB734">
        <v>432</v>
      </c>
      <c r="BC734">
        <v>445</v>
      </c>
      <c r="BD734" t="s">
        <v>14056</v>
      </c>
      <c r="BE734" t="s">
        <v>14057</v>
      </c>
      <c r="BF734" t="str">
        <f>HYPERLINK("http://dx.doi.org/10.1017/S0954102022000372","http://dx.doi.org/10.1017/S0954102022000372")</f>
        <v>http://dx.doi.org/10.1017/S0954102022000372</v>
      </c>
      <c r="BG734" t="s">
        <v>74</v>
      </c>
      <c r="BH734" t="s">
        <v>11396</v>
      </c>
      <c r="BI734">
        <v>14</v>
      </c>
      <c r="BJ734" t="s">
        <v>103</v>
      </c>
      <c r="BK734" t="s">
        <v>104</v>
      </c>
      <c r="BL734" t="s">
        <v>105</v>
      </c>
      <c r="BM734" t="s">
        <v>9004</v>
      </c>
      <c r="BN734" t="s">
        <v>74</v>
      </c>
      <c r="BO734" t="s">
        <v>219</v>
      </c>
      <c r="BP734" t="s">
        <v>74</v>
      </c>
      <c r="BQ734" t="s">
        <v>74</v>
      </c>
      <c r="BR734" t="s">
        <v>108</v>
      </c>
      <c r="BS734" t="s">
        <v>14058</v>
      </c>
      <c r="BT734" t="str">
        <f>HYPERLINK("https%3A%2F%2Fwww.webofscience.com%2Fwos%2Fwoscc%2Ffull-record%2FWOS:000881856500001","View Full Record in Web of Science")</f>
        <v>View Full Record in Web of Science</v>
      </c>
    </row>
    <row r="735" spans="1:72" x14ac:dyDescent="0.15">
      <c r="A735" t="s">
        <v>72</v>
      </c>
      <c r="B735" t="s">
        <v>14059</v>
      </c>
      <c r="C735" t="s">
        <v>74</v>
      </c>
      <c r="D735" t="s">
        <v>74</v>
      </c>
      <c r="E735" t="s">
        <v>74</v>
      </c>
      <c r="F735" t="s">
        <v>14060</v>
      </c>
      <c r="G735" t="s">
        <v>74</v>
      </c>
      <c r="H735" t="s">
        <v>74</v>
      </c>
      <c r="I735" t="s">
        <v>14061</v>
      </c>
      <c r="J735" t="s">
        <v>13095</v>
      </c>
      <c r="K735" t="s">
        <v>74</v>
      </c>
      <c r="L735" t="s">
        <v>74</v>
      </c>
      <c r="M735" t="s">
        <v>78</v>
      </c>
      <c r="N735" t="s">
        <v>79</v>
      </c>
      <c r="O735" t="s">
        <v>74</v>
      </c>
      <c r="P735" t="s">
        <v>74</v>
      </c>
      <c r="Q735" t="s">
        <v>74</v>
      </c>
      <c r="R735" t="s">
        <v>74</v>
      </c>
      <c r="S735" t="s">
        <v>74</v>
      </c>
      <c r="T735" t="s">
        <v>14062</v>
      </c>
      <c r="U735" t="s">
        <v>14063</v>
      </c>
      <c r="V735" t="s">
        <v>14064</v>
      </c>
      <c r="W735" t="s">
        <v>14065</v>
      </c>
      <c r="X735" t="s">
        <v>14066</v>
      </c>
      <c r="Y735" t="s">
        <v>14067</v>
      </c>
      <c r="Z735" t="s">
        <v>14068</v>
      </c>
      <c r="AA735" t="s">
        <v>14069</v>
      </c>
      <c r="AB735" t="s">
        <v>14070</v>
      </c>
      <c r="AC735" t="s">
        <v>14071</v>
      </c>
      <c r="AD735" t="s">
        <v>14072</v>
      </c>
      <c r="AE735" t="s">
        <v>74</v>
      </c>
      <c r="AF735" t="s">
        <v>74</v>
      </c>
      <c r="AG735">
        <v>25</v>
      </c>
      <c r="AH735">
        <v>1</v>
      </c>
      <c r="AI735">
        <v>1</v>
      </c>
      <c r="AJ735">
        <v>1</v>
      </c>
      <c r="AK735">
        <v>3</v>
      </c>
      <c r="AL735" t="s">
        <v>13108</v>
      </c>
      <c r="AM735" t="s">
        <v>13109</v>
      </c>
      <c r="AN735" t="s">
        <v>13110</v>
      </c>
      <c r="AO735" t="s">
        <v>13111</v>
      </c>
      <c r="AP735" t="s">
        <v>74</v>
      </c>
      <c r="AQ735" t="s">
        <v>74</v>
      </c>
      <c r="AR735" t="s">
        <v>13112</v>
      </c>
      <c r="AS735" t="s">
        <v>13113</v>
      </c>
      <c r="AT735" t="s">
        <v>13964</v>
      </c>
      <c r="AU735">
        <v>2022</v>
      </c>
      <c r="AV735">
        <v>12</v>
      </c>
      <c r="AW735" t="s">
        <v>74</v>
      </c>
      <c r="AX735" t="s">
        <v>74</v>
      </c>
      <c r="AY735" t="s">
        <v>74</v>
      </c>
      <c r="AZ735" t="s">
        <v>74</v>
      </c>
      <c r="BA735" t="s">
        <v>74</v>
      </c>
      <c r="BB735" t="s">
        <v>74</v>
      </c>
      <c r="BC735" t="s">
        <v>74</v>
      </c>
      <c r="BD735">
        <v>37</v>
      </c>
      <c r="BE735" t="s">
        <v>14073</v>
      </c>
      <c r="BF735" t="str">
        <f>HYPERLINK("http://dx.doi.org/10.1051/swsc/2022033","http://dx.doi.org/10.1051/swsc/2022033")</f>
        <v>http://dx.doi.org/10.1051/swsc/2022033</v>
      </c>
      <c r="BG735" t="s">
        <v>74</v>
      </c>
      <c r="BH735" t="s">
        <v>74</v>
      </c>
      <c r="BI735">
        <v>11</v>
      </c>
      <c r="BJ735" t="s">
        <v>4246</v>
      </c>
      <c r="BK735" t="s">
        <v>104</v>
      </c>
      <c r="BL735" t="s">
        <v>4246</v>
      </c>
      <c r="BM735" t="s">
        <v>14074</v>
      </c>
      <c r="BN735" t="s">
        <v>74</v>
      </c>
      <c r="BO735" t="s">
        <v>192</v>
      </c>
      <c r="BP735" t="s">
        <v>74</v>
      </c>
      <c r="BQ735" t="s">
        <v>74</v>
      </c>
      <c r="BR735" t="s">
        <v>108</v>
      </c>
      <c r="BS735" t="s">
        <v>14075</v>
      </c>
      <c r="BT735" t="str">
        <f>HYPERLINK("https%3A%2F%2Fwww.webofscience.com%2Fwos%2Fwoscc%2Ffull-record%2FWOS:000881831200001","View Full Record in Web of Science")</f>
        <v>View Full Record in Web of Science</v>
      </c>
    </row>
    <row r="736" spans="1:72" x14ac:dyDescent="0.15">
      <c r="A736" t="s">
        <v>72</v>
      </c>
      <c r="B736" t="s">
        <v>14076</v>
      </c>
      <c r="C736" t="s">
        <v>74</v>
      </c>
      <c r="D736" t="s">
        <v>74</v>
      </c>
      <c r="E736" t="s">
        <v>74</v>
      </c>
      <c r="F736" t="s">
        <v>14077</v>
      </c>
      <c r="G736" t="s">
        <v>74</v>
      </c>
      <c r="H736" t="s">
        <v>74</v>
      </c>
      <c r="I736" t="s">
        <v>14078</v>
      </c>
      <c r="J736" t="s">
        <v>14079</v>
      </c>
      <c r="K736" t="s">
        <v>74</v>
      </c>
      <c r="L736" t="s">
        <v>74</v>
      </c>
      <c r="M736" t="s">
        <v>78</v>
      </c>
      <c r="N736" t="s">
        <v>79</v>
      </c>
      <c r="O736" t="s">
        <v>74</v>
      </c>
      <c r="P736" t="s">
        <v>74</v>
      </c>
      <c r="Q736" t="s">
        <v>74</v>
      </c>
      <c r="R736" t="s">
        <v>74</v>
      </c>
      <c r="S736" t="s">
        <v>74</v>
      </c>
      <c r="T736" t="s">
        <v>14080</v>
      </c>
      <c r="U736" t="s">
        <v>14081</v>
      </c>
      <c r="V736" t="s">
        <v>14082</v>
      </c>
      <c r="W736" t="s">
        <v>14083</v>
      </c>
      <c r="X736" t="s">
        <v>3009</v>
      </c>
      <c r="Y736" t="s">
        <v>14084</v>
      </c>
      <c r="Z736" t="s">
        <v>14085</v>
      </c>
      <c r="AA736" t="s">
        <v>14086</v>
      </c>
      <c r="AB736" t="s">
        <v>14087</v>
      </c>
      <c r="AC736" t="s">
        <v>74</v>
      </c>
      <c r="AD736" t="s">
        <v>74</v>
      </c>
      <c r="AE736" t="s">
        <v>74</v>
      </c>
      <c r="AF736" t="s">
        <v>74</v>
      </c>
      <c r="AG736">
        <v>96</v>
      </c>
      <c r="AH736">
        <v>1</v>
      </c>
      <c r="AI736">
        <v>1</v>
      </c>
      <c r="AJ736">
        <v>0</v>
      </c>
      <c r="AK736">
        <v>1</v>
      </c>
      <c r="AL736" t="s">
        <v>448</v>
      </c>
      <c r="AM736" t="s">
        <v>449</v>
      </c>
      <c r="AN736" t="s">
        <v>450</v>
      </c>
      <c r="AO736" t="s">
        <v>74</v>
      </c>
      <c r="AP736" t="s">
        <v>14088</v>
      </c>
      <c r="AQ736" t="s">
        <v>74</v>
      </c>
      <c r="AR736" t="s">
        <v>14089</v>
      </c>
      <c r="AS736" t="s">
        <v>14090</v>
      </c>
      <c r="AT736" t="s">
        <v>14091</v>
      </c>
      <c r="AU736">
        <v>2022</v>
      </c>
      <c r="AV736">
        <v>3</v>
      </c>
      <c r="AW736" t="s">
        <v>74</v>
      </c>
      <c r="AX736" t="s">
        <v>74</v>
      </c>
      <c r="AY736" t="s">
        <v>74</v>
      </c>
      <c r="AZ736" t="s">
        <v>74</v>
      </c>
      <c r="BA736" t="s">
        <v>74</v>
      </c>
      <c r="BB736" t="s">
        <v>74</v>
      </c>
      <c r="BC736" t="s">
        <v>74</v>
      </c>
      <c r="BD736">
        <v>953733</v>
      </c>
      <c r="BE736" t="s">
        <v>14092</v>
      </c>
      <c r="BF736" t="str">
        <f>HYPERLINK("http://dx.doi.org/10.3389/frsen.2022.953733","http://dx.doi.org/10.3389/frsen.2022.953733")</f>
        <v>http://dx.doi.org/10.3389/frsen.2022.953733</v>
      </c>
      <c r="BG736" t="s">
        <v>74</v>
      </c>
      <c r="BH736" t="s">
        <v>74</v>
      </c>
      <c r="BI736">
        <v>18</v>
      </c>
      <c r="BJ736" t="s">
        <v>712</v>
      </c>
      <c r="BK736" t="s">
        <v>757</v>
      </c>
      <c r="BL736" t="s">
        <v>712</v>
      </c>
      <c r="BM736" t="s">
        <v>14093</v>
      </c>
      <c r="BN736" t="s">
        <v>74</v>
      </c>
      <c r="BO736" t="s">
        <v>165</v>
      </c>
      <c r="BP736" t="s">
        <v>74</v>
      </c>
      <c r="BQ736" t="s">
        <v>74</v>
      </c>
      <c r="BR736" t="s">
        <v>108</v>
      </c>
      <c r="BS736" t="s">
        <v>14094</v>
      </c>
      <c r="BT736" t="str">
        <f>HYPERLINK("https%3A%2F%2Fwww.webofscience.com%2Fwos%2Fwoscc%2Ffull-record%2FWOS:001064270200001","View Full Record in Web of Science")</f>
        <v>View Full Record in Web of Science</v>
      </c>
    </row>
    <row r="737" spans="1:72" x14ac:dyDescent="0.15">
      <c r="A737" t="s">
        <v>72</v>
      </c>
      <c r="B737" t="s">
        <v>14095</v>
      </c>
      <c r="C737" t="s">
        <v>74</v>
      </c>
      <c r="D737" t="s">
        <v>74</v>
      </c>
      <c r="E737" t="s">
        <v>74</v>
      </c>
      <c r="F737" t="s">
        <v>14096</v>
      </c>
      <c r="G737" t="s">
        <v>74</v>
      </c>
      <c r="H737" t="s">
        <v>74</v>
      </c>
      <c r="I737" t="s">
        <v>14097</v>
      </c>
      <c r="J737" t="s">
        <v>14098</v>
      </c>
      <c r="K737" t="s">
        <v>74</v>
      </c>
      <c r="L737" t="s">
        <v>74</v>
      </c>
      <c r="M737" t="s">
        <v>78</v>
      </c>
      <c r="N737" t="s">
        <v>79</v>
      </c>
      <c r="O737" t="s">
        <v>74</v>
      </c>
      <c r="P737" t="s">
        <v>74</v>
      </c>
      <c r="Q737" t="s">
        <v>74</v>
      </c>
      <c r="R737" t="s">
        <v>74</v>
      </c>
      <c r="S737" t="s">
        <v>74</v>
      </c>
      <c r="T737" t="s">
        <v>14099</v>
      </c>
      <c r="U737" t="s">
        <v>14100</v>
      </c>
      <c r="V737" t="s">
        <v>14101</v>
      </c>
      <c r="W737" t="s">
        <v>14102</v>
      </c>
      <c r="X737" t="s">
        <v>14103</v>
      </c>
      <c r="Y737" t="s">
        <v>14104</v>
      </c>
      <c r="Z737" t="s">
        <v>14105</v>
      </c>
      <c r="AA737" t="s">
        <v>14106</v>
      </c>
      <c r="AB737" t="s">
        <v>14107</v>
      </c>
      <c r="AC737" t="s">
        <v>14108</v>
      </c>
      <c r="AD737" t="s">
        <v>14109</v>
      </c>
      <c r="AE737" t="s">
        <v>14110</v>
      </c>
      <c r="AF737" t="s">
        <v>74</v>
      </c>
      <c r="AG737">
        <v>27</v>
      </c>
      <c r="AH737">
        <v>2</v>
      </c>
      <c r="AI737">
        <v>2</v>
      </c>
      <c r="AJ737">
        <v>0</v>
      </c>
      <c r="AK737">
        <v>0</v>
      </c>
      <c r="AL737" t="s">
        <v>237</v>
      </c>
      <c r="AM737" t="s">
        <v>238</v>
      </c>
      <c r="AN737" t="s">
        <v>239</v>
      </c>
      <c r="AO737" t="s">
        <v>14111</v>
      </c>
      <c r="AP737" t="s">
        <v>14112</v>
      </c>
      <c r="AQ737" t="s">
        <v>74</v>
      </c>
      <c r="AR737" t="s">
        <v>14113</v>
      </c>
      <c r="AS737" t="s">
        <v>14114</v>
      </c>
      <c r="AT737" t="s">
        <v>13402</v>
      </c>
      <c r="AU737">
        <v>2022</v>
      </c>
      <c r="AV737">
        <v>533</v>
      </c>
      <c r="AW737" t="s">
        <v>74</v>
      </c>
      <c r="AX737" t="s">
        <v>74</v>
      </c>
      <c r="AY737" t="s">
        <v>74</v>
      </c>
      <c r="AZ737" t="s">
        <v>74</v>
      </c>
      <c r="BA737" t="s">
        <v>74</v>
      </c>
      <c r="BB737">
        <v>61</v>
      </c>
      <c r="BC737">
        <v>65</v>
      </c>
      <c r="BD737" t="s">
        <v>74</v>
      </c>
      <c r="BE737" t="s">
        <v>14115</v>
      </c>
      <c r="BF737" t="str">
        <f>HYPERLINK("http://dx.doi.org/10.1016/j.nimb.2022.10.018","http://dx.doi.org/10.1016/j.nimb.2022.10.018")</f>
        <v>http://dx.doi.org/10.1016/j.nimb.2022.10.018</v>
      </c>
      <c r="BG737" t="s">
        <v>74</v>
      </c>
      <c r="BH737" t="s">
        <v>11396</v>
      </c>
      <c r="BI737">
        <v>5</v>
      </c>
      <c r="BJ737" t="s">
        <v>14116</v>
      </c>
      <c r="BK737" t="s">
        <v>104</v>
      </c>
      <c r="BL737" t="s">
        <v>14117</v>
      </c>
      <c r="BM737" t="s">
        <v>14118</v>
      </c>
      <c r="BN737" t="s">
        <v>74</v>
      </c>
      <c r="BO737" t="s">
        <v>74</v>
      </c>
      <c r="BP737" t="s">
        <v>74</v>
      </c>
      <c r="BQ737" t="s">
        <v>74</v>
      </c>
      <c r="BR737" t="s">
        <v>108</v>
      </c>
      <c r="BS737" t="s">
        <v>14119</v>
      </c>
      <c r="BT737" t="str">
        <f>HYPERLINK("https%3A%2F%2Fwww.webofscience.com%2Fwos%2Fwoscc%2Ffull-record%2FWOS:000897532400001","View Full Record in Web of Science")</f>
        <v>View Full Record in Web of Science</v>
      </c>
    </row>
    <row r="738" spans="1:72" x14ac:dyDescent="0.15">
      <c r="A738" t="s">
        <v>72</v>
      </c>
      <c r="B738" t="s">
        <v>14120</v>
      </c>
      <c r="C738" t="s">
        <v>74</v>
      </c>
      <c r="D738" t="s">
        <v>74</v>
      </c>
      <c r="E738" t="s">
        <v>74</v>
      </c>
      <c r="F738" t="s">
        <v>14121</v>
      </c>
      <c r="G738" t="s">
        <v>74</v>
      </c>
      <c r="H738" t="s">
        <v>74</v>
      </c>
      <c r="I738" t="s">
        <v>14122</v>
      </c>
      <c r="J738" t="s">
        <v>14123</v>
      </c>
      <c r="K738" t="s">
        <v>74</v>
      </c>
      <c r="L738" t="s">
        <v>74</v>
      </c>
      <c r="M738" t="s">
        <v>78</v>
      </c>
      <c r="N738" t="s">
        <v>79</v>
      </c>
      <c r="O738" t="s">
        <v>74</v>
      </c>
      <c r="P738" t="s">
        <v>74</v>
      </c>
      <c r="Q738" t="s">
        <v>74</v>
      </c>
      <c r="R738" t="s">
        <v>74</v>
      </c>
      <c r="S738" t="s">
        <v>74</v>
      </c>
      <c r="T738" t="s">
        <v>14124</v>
      </c>
      <c r="U738" t="s">
        <v>14125</v>
      </c>
      <c r="V738" t="s">
        <v>14126</v>
      </c>
      <c r="W738" t="s">
        <v>14127</v>
      </c>
      <c r="X738" t="s">
        <v>14128</v>
      </c>
      <c r="Y738" t="s">
        <v>14129</v>
      </c>
      <c r="Z738" t="s">
        <v>14130</v>
      </c>
      <c r="AA738" t="s">
        <v>14131</v>
      </c>
      <c r="AB738" t="s">
        <v>14132</v>
      </c>
      <c r="AC738" t="s">
        <v>14133</v>
      </c>
      <c r="AD738" t="s">
        <v>14134</v>
      </c>
      <c r="AE738" t="s">
        <v>14135</v>
      </c>
      <c r="AF738" t="s">
        <v>74</v>
      </c>
      <c r="AG738">
        <v>100</v>
      </c>
      <c r="AH738">
        <v>5</v>
      </c>
      <c r="AI738">
        <v>5</v>
      </c>
      <c r="AJ738">
        <v>17</v>
      </c>
      <c r="AK738">
        <v>66</v>
      </c>
      <c r="AL738" t="s">
        <v>237</v>
      </c>
      <c r="AM738" t="s">
        <v>238</v>
      </c>
      <c r="AN738" t="s">
        <v>239</v>
      </c>
      <c r="AO738" t="s">
        <v>14136</v>
      </c>
      <c r="AP738" t="s">
        <v>14137</v>
      </c>
      <c r="AQ738" t="s">
        <v>74</v>
      </c>
      <c r="AR738" t="s">
        <v>14123</v>
      </c>
      <c r="AS738" t="s">
        <v>14138</v>
      </c>
      <c r="AT738" t="s">
        <v>99</v>
      </c>
      <c r="AU738">
        <v>2023</v>
      </c>
      <c r="AV738">
        <v>221</v>
      </c>
      <c r="AW738" t="s">
        <v>74</v>
      </c>
      <c r="AX738" t="s">
        <v>12005</v>
      </c>
      <c r="AY738" t="s">
        <v>74</v>
      </c>
      <c r="AZ738" t="s">
        <v>74</v>
      </c>
      <c r="BA738" t="s">
        <v>74</v>
      </c>
      <c r="BB738" t="s">
        <v>74</v>
      </c>
      <c r="BC738" t="s">
        <v>74</v>
      </c>
      <c r="BD738">
        <v>106752</v>
      </c>
      <c r="BE738" t="s">
        <v>14139</v>
      </c>
      <c r="BF738" t="str">
        <f>HYPERLINK("http://dx.doi.org/10.1016/j.catena.2022.106752","http://dx.doi.org/10.1016/j.catena.2022.106752")</f>
        <v>http://dx.doi.org/10.1016/j.catena.2022.106752</v>
      </c>
      <c r="BG738" t="s">
        <v>74</v>
      </c>
      <c r="BH738" t="s">
        <v>11396</v>
      </c>
      <c r="BI738">
        <v>12</v>
      </c>
      <c r="BJ738" t="s">
        <v>14140</v>
      </c>
      <c r="BK738" t="s">
        <v>104</v>
      </c>
      <c r="BL738" t="s">
        <v>14141</v>
      </c>
      <c r="BM738" t="s">
        <v>14142</v>
      </c>
      <c r="BN738" t="s">
        <v>74</v>
      </c>
      <c r="BO738" t="s">
        <v>74</v>
      </c>
      <c r="BP738" t="s">
        <v>74</v>
      </c>
      <c r="BQ738" t="s">
        <v>74</v>
      </c>
      <c r="BR738" t="s">
        <v>108</v>
      </c>
      <c r="BS738" t="s">
        <v>14143</v>
      </c>
      <c r="BT738" t="str">
        <f>HYPERLINK("https%3A%2F%2Fwww.webofscience.com%2Fwos%2Fwoscc%2Ffull-record%2FWOS:000892286600002","View Full Record in Web of Science")</f>
        <v>View Full Record in Web of Science</v>
      </c>
    </row>
    <row r="739" spans="1:72" x14ac:dyDescent="0.15">
      <c r="A739" t="s">
        <v>72</v>
      </c>
      <c r="B739" t="s">
        <v>14144</v>
      </c>
      <c r="C739" t="s">
        <v>74</v>
      </c>
      <c r="D739" t="s">
        <v>74</v>
      </c>
      <c r="E739" t="s">
        <v>74</v>
      </c>
      <c r="F739" t="s">
        <v>14145</v>
      </c>
      <c r="G739" t="s">
        <v>74</v>
      </c>
      <c r="H739" t="s">
        <v>74</v>
      </c>
      <c r="I739" t="s">
        <v>14146</v>
      </c>
      <c r="J739" t="s">
        <v>9138</v>
      </c>
      <c r="K739" t="s">
        <v>74</v>
      </c>
      <c r="L739" t="s">
        <v>74</v>
      </c>
      <c r="M739" t="s">
        <v>78</v>
      </c>
      <c r="N739" t="s">
        <v>79</v>
      </c>
      <c r="O739" t="s">
        <v>74</v>
      </c>
      <c r="P739" t="s">
        <v>74</v>
      </c>
      <c r="Q739" t="s">
        <v>74</v>
      </c>
      <c r="R739" t="s">
        <v>74</v>
      </c>
      <c r="S739" t="s">
        <v>74</v>
      </c>
      <c r="T739" t="s">
        <v>14147</v>
      </c>
      <c r="U739" t="s">
        <v>14148</v>
      </c>
      <c r="V739" t="s">
        <v>14149</v>
      </c>
      <c r="W739" t="s">
        <v>14150</v>
      </c>
      <c r="X739" t="s">
        <v>14151</v>
      </c>
      <c r="Y739" t="s">
        <v>14152</v>
      </c>
      <c r="Z739" t="s">
        <v>10638</v>
      </c>
      <c r="AA739" t="s">
        <v>14153</v>
      </c>
      <c r="AB739" t="s">
        <v>14154</v>
      </c>
      <c r="AC739" t="s">
        <v>14155</v>
      </c>
      <c r="AD739" t="s">
        <v>14156</v>
      </c>
      <c r="AE739" t="s">
        <v>14157</v>
      </c>
      <c r="AF739" t="s">
        <v>74</v>
      </c>
      <c r="AG739">
        <v>81</v>
      </c>
      <c r="AH739">
        <v>3</v>
      </c>
      <c r="AI739">
        <v>3</v>
      </c>
      <c r="AJ739">
        <v>4</v>
      </c>
      <c r="AK739">
        <v>22</v>
      </c>
      <c r="AL739" t="s">
        <v>448</v>
      </c>
      <c r="AM739" t="s">
        <v>449</v>
      </c>
      <c r="AN739" t="s">
        <v>450</v>
      </c>
      <c r="AO739" t="s">
        <v>74</v>
      </c>
      <c r="AP739" t="s">
        <v>9145</v>
      </c>
      <c r="AQ739" t="s">
        <v>74</v>
      </c>
      <c r="AR739" t="s">
        <v>9146</v>
      </c>
      <c r="AS739" t="s">
        <v>9147</v>
      </c>
      <c r="AT739" t="s">
        <v>14091</v>
      </c>
      <c r="AU739">
        <v>2022</v>
      </c>
      <c r="AV739">
        <v>13</v>
      </c>
      <c r="AW739" t="s">
        <v>74</v>
      </c>
      <c r="AX739" t="s">
        <v>74</v>
      </c>
      <c r="AY739" t="s">
        <v>74</v>
      </c>
      <c r="AZ739" t="s">
        <v>74</v>
      </c>
      <c r="BA739" t="s">
        <v>74</v>
      </c>
      <c r="BB739" t="s">
        <v>74</v>
      </c>
      <c r="BC739" t="s">
        <v>74</v>
      </c>
      <c r="BD739">
        <v>1050372</v>
      </c>
      <c r="BE739" t="s">
        <v>14158</v>
      </c>
      <c r="BF739" t="str">
        <f>HYPERLINK("http://dx.doi.org/10.3389/fmicb.2022.1050372","http://dx.doi.org/10.3389/fmicb.2022.1050372")</f>
        <v>http://dx.doi.org/10.3389/fmicb.2022.1050372</v>
      </c>
      <c r="BG739" t="s">
        <v>74</v>
      </c>
      <c r="BH739" t="s">
        <v>74</v>
      </c>
      <c r="BI739">
        <v>15</v>
      </c>
      <c r="BJ739" t="s">
        <v>1699</v>
      </c>
      <c r="BK739" t="s">
        <v>104</v>
      </c>
      <c r="BL739" t="s">
        <v>1699</v>
      </c>
      <c r="BM739" t="s">
        <v>14159</v>
      </c>
      <c r="BN739">
        <v>36439821</v>
      </c>
      <c r="BO739" t="s">
        <v>5719</v>
      </c>
      <c r="BP739" t="s">
        <v>74</v>
      </c>
      <c r="BQ739" t="s">
        <v>74</v>
      </c>
      <c r="BR739" t="s">
        <v>108</v>
      </c>
      <c r="BS739" t="s">
        <v>14160</v>
      </c>
      <c r="BT739" t="str">
        <f>HYPERLINK("https%3A%2F%2Fwww.webofscience.com%2Fwos%2Fwoscc%2Ffull-record%2FWOS:000889921100001","View Full Record in Web of Science")</f>
        <v>View Full Record in Web of Science</v>
      </c>
    </row>
    <row r="740" spans="1:72" x14ac:dyDescent="0.15">
      <c r="A740" t="s">
        <v>72</v>
      </c>
      <c r="B740" t="s">
        <v>14161</v>
      </c>
      <c r="C740" t="s">
        <v>74</v>
      </c>
      <c r="D740" t="s">
        <v>74</v>
      </c>
      <c r="E740" t="s">
        <v>74</v>
      </c>
      <c r="F740" t="s">
        <v>14162</v>
      </c>
      <c r="G740" t="s">
        <v>74</v>
      </c>
      <c r="H740" t="s">
        <v>74</v>
      </c>
      <c r="I740" t="s">
        <v>14163</v>
      </c>
      <c r="J740" t="s">
        <v>436</v>
      </c>
      <c r="K740" t="s">
        <v>74</v>
      </c>
      <c r="L740" t="s">
        <v>74</v>
      </c>
      <c r="M740" t="s">
        <v>78</v>
      </c>
      <c r="N740" t="s">
        <v>256</v>
      </c>
      <c r="O740" t="s">
        <v>74</v>
      </c>
      <c r="P740" t="s">
        <v>74</v>
      </c>
      <c r="Q740" t="s">
        <v>74</v>
      </c>
      <c r="R740" t="s">
        <v>74</v>
      </c>
      <c r="S740" t="s">
        <v>74</v>
      </c>
      <c r="T740" t="s">
        <v>14164</v>
      </c>
      <c r="U740" t="s">
        <v>14165</v>
      </c>
      <c r="V740" t="s">
        <v>14166</v>
      </c>
      <c r="W740" t="s">
        <v>14167</v>
      </c>
      <c r="X740" t="s">
        <v>14168</v>
      </c>
      <c r="Y740" t="s">
        <v>14169</v>
      </c>
      <c r="Z740" t="s">
        <v>14170</v>
      </c>
      <c r="AA740" t="s">
        <v>14171</v>
      </c>
      <c r="AB740" t="s">
        <v>14172</v>
      </c>
      <c r="AC740" t="s">
        <v>14173</v>
      </c>
      <c r="AD740" t="s">
        <v>14174</v>
      </c>
      <c r="AE740" t="s">
        <v>14175</v>
      </c>
      <c r="AF740" t="s">
        <v>74</v>
      </c>
      <c r="AG740">
        <v>48</v>
      </c>
      <c r="AH740">
        <v>1</v>
      </c>
      <c r="AI740">
        <v>1</v>
      </c>
      <c r="AJ740">
        <v>3</v>
      </c>
      <c r="AK740">
        <v>7</v>
      </c>
      <c r="AL740" t="s">
        <v>448</v>
      </c>
      <c r="AM740" t="s">
        <v>449</v>
      </c>
      <c r="AN740" t="s">
        <v>450</v>
      </c>
      <c r="AO740" t="s">
        <v>74</v>
      </c>
      <c r="AP740" t="s">
        <v>451</v>
      </c>
      <c r="AQ740" t="s">
        <v>74</v>
      </c>
      <c r="AR740" t="s">
        <v>452</v>
      </c>
      <c r="AS740" t="s">
        <v>453</v>
      </c>
      <c r="AT740" t="s">
        <v>14091</v>
      </c>
      <c r="AU740">
        <v>2022</v>
      </c>
      <c r="AV740">
        <v>10</v>
      </c>
      <c r="AW740" t="s">
        <v>74</v>
      </c>
      <c r="AX740" t="s">
        <v>74</v>
      </c>
      <c r="AY740" t="s">
        <v>74</v>
      </c>
      <c r="AZ740" t="s">
        <v>74</v>
      </c>
      <c r="BA740" t="s">
        <v>74</v>
      </c>
      <c r="BB740" t="s">
        <v>74</v>
      </c>
      <c r="BC740" t="s">
        <v>74</v>
      </c>
      <c r="BD740">
        <v>1029216</v>
      </c>
      <c r="BE740" t="s">
        <v>14176</v>
      </c>
      <c r="BF740" t="str">
        <f>HYPERLINK("http://dx.doi.org/10.3389/feart.2022.1029216","http://dx.doi.org/10.3389/feart.2022.1029216")</f>
        <v>http://dx.doi.org/10.3389/feart.2022.1029216</v>
      </c>
      <c r="BG740" t="s">
        <v>74</v>
      </c>
      <c r="BH740" t="s">
        <v>74</v>
      </c>
      <c r="BI740">
        <v>18</v>
      </c>
      <c r="BJ740" t="s">
        <v>455</v>
      </c>
      <c r="BK740" t="s">
        <v>104</v>
      </c>
      <c r="BL740" t="s">
        <v>456</v>
      </c>
      <c r="BM740" t="s">
        <v>14177</v>
      </c>
      <c r="BN740" t="s">
        <v>74</v>
      </c>
      <c r="BO740" t="s">
        <v>3181</v>
      </c>
      <c r="BP740" t="s">
        <v>74</v>
      </c>
      <c r="BQ740" t="s">
        <v>74</v>
      </c>
      <c r="BR740" t="s">
        <v>108</v>
      </c>
      <c r="BS740" t="s">
        <v>14178</v>
      </c>
      <c r="BT740" t="str">
        <f>HYPERLINK("https%3A%2F%2Fwww.webofscience.com%2Fwos%2Fwoscc%2Ffull-record%2FWOS:000890200600001","View Full Record in Web of Science")</f>
        <v>View Full Record in Web of Science</v>
      </c>
    </row>
    <row r="741" spans="1:72" x14ac:dyDescent="0.15">
      <c r="A741" t="s">
        <v>72</v>
      </c>
      <c r="B741" t="s">
        <v>14179</v>
      </c>
      <c r="C741" t="s">
        <v>74</v>
      </c>
      <c r="D741" t="s">
        <v>74</v>
      </c>
      <c r="E741" t="s">
        <v>74</v>
      </c>
      <c r="F741" t="s">
        <v>14180</v>
      </c>
      <c r="G741" t="s">
        <v>74</v>
      </c>
      <c r="H741" t="s">
        <v>74</v>
      </c>
      <c r="I741" t="s">
        <v>14181</v>
      </c>
      <c r="J741" t="s">
        <v>14182</v>
      </c>
      <c r="K741" t="s">
        <v>74</v>
      </c>
      <c r="L741" t="s">
        <v>74</v>
      </c>
      <c r="M741" t="s">
        <v>78</v>
      </c>
      <c r="N741" t="s">
        <v>869</v>
      </c>
      <c r="O741" t="s">
        <v>74</v>
      </c>
      <c r="P741" t="s">
        <v>74</v>
      </c>
      <c r="Q741" t="s">
        <v>74</v>
      </c>
      <c r="R741" t="s">
        <v>74</v>
      </c>
      <c r="S741" t="s">
        <v>74</v>
      </c>
      <c r="T741" t="s">
        <v>74</v>
      </c>
      <c r="U741" t="s">
        <v>74</v>
      </c>
      <c r="V741" t="s">
        <v>74</v>
      </c>
      <c r="W741" t="s">
        <v>14183</v>
      </c>
      <c r="X741" t="s">
        <v>14184</v>
      </c>
      <c r="Y741" t="s">
        <v>14185</v>
      </c>
      <c r="Z741" t="s">
        <v>74</v>
      </c>
      <c r="AA741" t="s">
        <v>74</v>
      </c>
      <c r="AB741" t="s">
        <v>74</v>
      </c>
      <c r="AC741" t="s">
        <v>74</v>
      </c>
      <c r="AD741" t="s">
        <v>74</v>
      </c>
      <c r="AE741" t="s">
        <v>74</v>
      </c>
      <c r="AF741" t="s">
        <v>74</v>
      </c>
      <c r="AG741">
        <v>1</v>
      </c>
      <c r="AH741">
        <v>0</v>
      </c>
      <c r="AI741">
        <v>0</v>
      </c>
      <c r="AJ741">
        <v>0</v>
      </c>
      <c r="AK741">
        <v>1</v>
      </c>
      <c r="AL741" t="s">
        <v>14186</v>
      </c>
      <c r="AM741" t="s">
        <v>7640</v>
      </c>
      <c r="AN741" t="s">
        <v>14187</v>
      </c>
      <c r="AO741" t="s">
        <v>14188</v>
      </c>
      <c r="AP741" t="s">
        <v>14189</v>
      </c>
      <c r="AQ741" t="s">
        <v>74</v>
      </c>
      <c r="AR741" t="s">
        <v>14190</v>
      </c>
      <c r="AS741" t="s">
        <v>14191</v>
      </c>
      <c r="AT741" t="s">
        <v>14091</v>
      </c>
      <c r="AU741">
        <v>2022</v>
      </c>
      <c r="AV741">
        <v>22</v>
      </c>
      <c r="AW741">
        <v>4</v>
      </c>
      <c r="AX741" t="s">
        <v>74</v>
      </c>
      <c r="AY741" t="s">
        <v>74</v>
      </c>
      <c r="AZ741" t="s">
        <v>74</v>
      </c>
      <c r="BA741" t="s">
        <v>74</v>
      </c>
      <c r="BB741">
        <v>197</v>
      </c>
      <c r="BC741">
        <v>202</v>
      </c>
      <c r="BD741" t="s">
        <v>74</v>
      </c>
      <c r="BE741" t="s">
        <v>74</v>
      </c>
      <c r="BF741" t="s">
        <v>74</v>
      </c>
      <c r="BG741" t="s">
        <v>74</v>
      </c>
      <c r="BH741" t="s">
        <v>74</v>
      </c>
      <c r="BI741">
        <v>6</v>
      </c>
      <c r="BJ741" t="s">
        <v>14192</v>
      </c>
      <c r="BK741" t="s">
        <v>3087</v>
      </c>
      <c r="BL741" t="s">
        <v>14193</v>
      </c>
      <c r="BM741" t="s">
        <v>14194</v>
      </c>
      <c r="BN741" t="s">
        <v>74</v>
      </c>
      <c r="BO741" t="s">
        <v>74</v>
      </c>
      <c r="BP741" t="s">
        <v>74</v>
      </c>
      <c r="BQ741" t="s">
        <v>74</v>
      </c>
      <c r="BR741" t="s">
        <v>108</v>
      </c>
      <c r="BS741" t="s">
        <v>14195</v>
      </c>
      <c r="BT741" t="str">
        <f>HYPERLINK("https%3A%2F%2Fwww.webofscience.com%2Fwos%2Fwoscc%2Ffull-record%2FWOS:000884293400014","View Full Record in Web of Science")</f>
        <v>View Full Record in Web of Science</v>
      </c>
    </row>
    <row r="742" spans="1:72" x14ac:dyDescent="0.15">
      <c r="A742" t="s">
        <v>72</v>
      </c>
      <c r="B742" t="s">
        <v>14196</v>
      </c>
      <c r="C742" t="s">
        <v>74</v>
      </c>
      <c r="D742" t="s">
        <v>74</v>
      </c>
      <c r="E742" t="s">
        <v>74</v>
      </c>
      <c r="F742" t="s">
        <v>14197</v>
      </c>
      <c r="G742" t="s">
        <v>74</v>
      </c>
      <c r="H742" t="s">
        <v>74</v>
      </c>
      <c r="I742" t="s">
        <v>14198</v>
      </c>
      <c r="J742" t="s">
        <v>8877</v>
      </c>
      <c r="K742" t="s">
        <v>74</v>
      </c>
      <c r="L742" t="s">
        <v>74</v>
      </c>
      <c r="M742" t="s">
        <v>78</v>
      </c>
      <c r="N742" t="s">
        <v>79</v>
      </c>
      <c r="O742" t="s">
        <v>74</v>
      </c>
      <c r="P742" t="s">
        <v>74</v>
      </c>
      <c r="Q742" t="s">
        <v>74</v>
      </c>
      <c r="R742" t="s">
        <v>74</v>
      </c>
      <c r="S742" t="s">
        <v>74</v>
      </c>
      <c r="T742" t="s">
        <v>14199</v>
      </c>
      <c r="U742" t="s">
        <v>14200</v>
      </c>
      <c r="V742" t="s">
        <v>14201</v>
      </c>
      <c r="W742" t="s">
        <v>14202</v>
      </c>
      <c r="X742" t="s">
        <v>14203</v>
      </c>
      <c r="Y742" t="s">
        <v>14204</v>
      </c>
      <c r="Z742" t="s">
        <v>14205</v>
      </c>
      <c r="AA742" t="s">
        <v>14206</v>
      </c>
      <c r="AB742" t="s">
        <v>14207</v>
      </c>
      <c r="AC742" t="s">
        <v>14208</v>
      </c>
      <c r="AD742" t="s">
        <v>14209</v>
      </c>
      <c r="AE742" t="s">
        <v>14210</v>
      </c>
      <c r="AF742" t="s">
        <v>74</v>
      </c>
      <c r="AG742">
        <v>103</v>
      </c>
      <c r="AH742">
        <v>2</v>
      </c>
      <c r="AI742">
        <v>2</v>
      </c>
      <c r="AJ742">
        <v>3</v>
      </c>
      <c r="AK742">
        <v>13</v>
      </c>
      <c r="AL742" t="s">
        <v>8888</v>
      </c>
      <c r="AM742" t="s">
        <v>8889</v>
      </c>
      <c r="AN742" t="s">
        <v>8890</v>
      </c>
      <c r="AO742" t="s">
        <v>8891</v>
      </c>
      <c r="AP742" t="s">
        <v>8892</v>
      </c>
      <c r="AQ742" t="s">
        <v>74</v>
      </c>
      <c r="AR742" t="s">
        <v>8893</v>
      </c>
      <c r="AS742" t="s">
        <v>8894</v>
      </c>
      <c r="AT742" t="s">
        <v>14091</v>
      </c>
      <c r="AU742">
        <v>2022</v>
      </c>
      <c r="AV742">
        <v>700</v>
      </c>
      <c r="AW742" t="s">
        <v>74</v>
      </c>
      <c r="AX742" t="s">
        <v>74</v>
      </c>
      <c r="AY742" t="s">
        <v>74</v>
      </c>
      <c r="AZ742" t="s">
        <v>74</v>
      </c>
      <c r="BA742" t="s">
        <v>74</v>
      </c>
      <c r="BB742">
        <v>13</v>
      </c>
      <c r="BC742">
        <v>37</v>
      </c>
      <c r="BD742" t="s">
        <v>74</v>
      </c>
      <c r="BE742" t="s">
        <v>14211</v>
      </c>
      <c r="BF742" t="str">
        <f>HYPERLINK("http://dx.doi.org/10.3354/meps14188","http://dx.doi.org/10.3354/meps14188")</f>
        <v>http://dx.doi.org/10.3354/meps14188</v>
      </c>
      <c r="BG742" t="s">
        <v>74</v>
      </c>
      <c r="BH742" t="s">
        <v>74</v>
      </c>
      <c r="BI742">
        <v>25</v>
      </c>
      <c r="BJ742" t="s">
        <v>8896</v>
      </c>
      <c r="BK742" t="s">
        <v>104</v>
      </c>
      <c r="BL742" t="s">
        <v>8897</v>
      </c>
      <c r="BM742" t="s">
        <v>14212</v>
      </c>
      <c r="BN742" t="s">
        <v>74</v>
      </c>
      <c r="BO742" t="s">
        <v>219</v>
      </c>
      <c r="BP742" t="s">
        <v>74</v>
      </c>
      <c r="BQ742" t="s">
        <v>74</v>
      </c>
      <c r="BR742" t="s">
        <v>108</v>
      </c>
      <c r="BS742" t="s">
        <v>14213</v>
      </c>
      <c r="BT742" t="str">
        <f>HYPERLINK("https%3A%2F%2Fwww.webofscience.com%2Fwos%2Fwoscc%2Ffull-record%2FWOS:000884288800002","View Full Record in Web of Science")</f>
        <v>View Full Record in Web of Science</v>
      </c>
    </row>
    <row r="743" spans="1:72" x14ac:dyDescent="0.15">
      <c r="A743" t="s">
        <v>72</v>
      </c>
      <c r="B743" t="s">
        <v>14214</v>
      </c>
      <c r="C743" t="s">
        <v>74</v>
      </c>
      <c r="D743" t="s">
        <v>74</v>
      </c>
      <c r="E743" t="s">
        <v>74</v>
      </c>
      <c r="F743" t="s">
        <v>14215</v>
      </c>
      <c r="G743" t="s">
        <v>74</v>
      </c>
      <c r="H743" t="s">
        <v>74</v>
      </c>
      <c r="I743" t="s">
        <v>14216</v>
      </c>
      <c r="J743" t="s">
        <v>2528</v>
      </c>
      <c r="K743" t="s">
        <v>74</v>
      </c>
      <c r="L743" t="s">
        <v>74</v>
      </c>
      <c r="M743" t="s">
        <v>78</v>
      </c>
      <c r="N743" t="s">
        <v>79</v>
      </c>
      <c r="O743" t="s">
        <v>74</v>
      </c>
      <c r="P743" t="s">
        <v>74</v>
      </c>
      <c r="Q743" t="s">
        <v>74</v>
      </c>
      <c r="R743" t="s">
        <v>74</v>
      </c>
      <c r="S743" t="s">
        <v>74</v>
      </c>
      <c r="T743" t="s">
        <v>14217</v>
      </c>
      <c r="U743" t="s">
        <v>14218</v>
      </c>
      <c r="V743" t="s">
        <v>14219</v>
      </c>
      <c r="W743" t="s">
        <v>14220</v>
      </c>
      <c r="X743" t="s">
        <v>14221</v>
      </c>
      <c r="Y743" t="s">
        <v>14222</v>
      </c>
      <c r="Z743" t="s">
        <v>14223</v>
      </c>
      <c r="AA743" t="s">
        <v>14224</v>
      </c>
      <c r="AB743" t="s">
        <v>14225</v>
      </c>
      <c r="AC743" t="s">
        <v>14226</v>
      </c>
      <c r="AD743" t="s">
        <v>14226</v>
      </c>
      <c r="AE743" t="s">
        <v>14227</v>
      </c>
      <c r="AF743" t="s">
        <v>74</v>
      </c>
      <c r="AG743">
        <v>64</v>
      </c>
      <c r="AH743">
        <v>1</v>
      </c>
      <c r="AI743">
        <v>2</v>
      </c>
      <c r="AJ743">
        <v>1</v>
      </c>
      <c r="AK743">
        <v>7</v>
      </c>
      <c r="AL743" t="s">
        <v>1010</v>
      </c>
      <c r="AM743" t="s">
        <v>1011</v>
      </c>
      <c r="AN743" t="s">
        <v>1012</v>
      </c>
      <c r="AO743" t="s">
        <v>2538</v>
      </c>
      <c r="AP743" t="s">
        <v>2539</v>
      </c>
      <c r="AQ743" t="s">
        <v>74</v>
      </c>
      <c r="AR743" t="s">
        <v>2540</v>
      </c>
      <c r="AS743" t="s">
        <v>2541</v>
      </c>
      <c r="AT743" t="s">
        <v>74</v>
      </c>
      <c r="AU743">
        <v>2022</v>
      </c>
      <c r="AV743">
        <v>36</v>
      </c>
      <c r="AW743">
        <v>11</v>
      </c>
      <c r="AX743" t="s">
        <v>74</v>
      </c>
      <c r="AY743" t="s">
        <v>74</v>
      </c>
      <c r="AZ743" t="s">
        <v>74</v>
      </c>
      <c r="BA743" t="s">
        <v>74</v>
      </c>
      <c r="BB743">
        <v>1002</v>
      </c>
      <c r="BC743">
        <v>1016</v>
      </c>
      <c r="BD743" t="s">
        <v>74</v>
      </c>
      <c r="BE743" t="s">
        <v>14228</v>
      </c>
      <c r="BF743" t="str">
        <f>HYPERLINK("http://dx.doi.org/10.1071/IS22043","http://dx.doi.org/10.1071/IS22043")</f>
        <v>http://dx.doi.org/10.1071/IS22043</v>
      </c>
      <c r="BG743" t="s">
        <v>74</v>
      </c>
      <c r="BH743" t="s">
        <v>11396</v>
      </c>
      <c r="BI743">
        <v>15</v>
      </c>
      <c r="BJ743" t="s">
        <v>2543</v>
      </c>
      <c r="BK743" t="s">
        <v>104</v>
      </c>
      <c r="BL743" t="s">
        <v>2543</v>
      </c>
      <c r="BM743" t="s">
        <v>14229</v>
      </c>
      <c r="BN743" t="s">
        <v>74</v>
      </c>
      <c r="BO743" t="s">
        <v>219</v>
      </c>
      <c r="BP743" t="s">
        <v>74</v>
      </c>
      <c r="BQ743" t="s">
        <v>74</v>
      </c>
      <c r="BR743" t="s">
        <v>108</v>
      </c>
      <c r="BS743" t="s">
        <v>14230</v>
      </c>
      <c r="BT743" t="str">
        <f>HYPERLINK("https%3A%2F%2Fwww.webofscience.com%2Fwos%2Fwoscc%2Ffull-record%2FWOS:000883682600001","View Full Record in Web of Science")</f>
        <v>View Full Record in Web of Science</v>
      </c>
    </row>
    <row r="744" spans="1:72" x14ac:dyDescent="0.15">
      <c r="A744" t="s">
        <v>72</v>
      </c>
      <c r="B744" t="s">
        <v>14231</v>
      </c>
      <c r="C744" t="s">
        <v>74</v>
      </c>
      <c r="D744" t="s">
        <v>74</v>
      </c>
      <c r="E744" t="s">
        <v>74</v>
      </c>
      <c r="F744" t="s">
        <v>14232</v>
      </c>
      <c r="G744" t="s">
        <v>74</v>
      </c>
      <c r="H744" t="s">
        <v>74</v>
      </c>
      <c r="I744" t="s">
        <v>14233</v>
      </c>
      <c r="J744" t="s">
        <v>538</v>
      </c>
      <c r="K744" t="s">
        <v>74</v>
      </c>
      <c r="L744" t="s">
        <v>74</v>
      </c>
      <c r="M744" t="s">
        <v>78</v>
      </c>
      <c r="N744" t="s">
        <v>79</v>
      </c>
      <c r="O744" t="s">
        <v>74</v>
      </c>
      <c r="P744" t="s">
        <v>74</v>
      </c>
      <c r="Q744" t="s">
        <v>74</v>
      </c>
      <c r="R744" t="s">
        <v>74</v>
      </c>
      <c r="S744" t="s">
        <v>74</v>
      </c>
      <c r="T744" t="s">
        <v>74</v>
      </c>
      <c r="U744" t="s">
        <v>14234</v>
      </c>
      <c r="V744" t="s">
        <v>14235</v>
      </c>
      <c r="W744" t="s">
        <v>14236</v>
      </c>
      <c r="X744" t="s">
        <v>14237</v>
      </c>
      <c r="Y744" t="s">
        <v>14238</v>
      </c>
      <c r="Z744" t="s">
        <v>14239</v>
      </c>
      <c r="AA744" t="s">
        <v>74</v>
      </c>
      <c r="AB744" t="s">
        <v>14240</v>
      </c>
      <c r="AC744" t="s">
        <v>14241</v>
      </c>
      <c r="AD744" t="s">
        <v>14242</v>
      </c>
      <c r="AE744" t="s">
        <v>14243</v>
      </c>
      <c r="AF744" t="s">
        <v>74</v>
      </c>
      <c r="AG744">
        <v>74</v>
      </c>
      <c r="AH744">
        <v>2</v>
      </c>
      <c r="AI744">
        <v>2</v>
      </c>
      <c r="AJ744">
        <v>1</v>
      </c>
      <c r="AK744">
        <v>12</v>
      </c>
      <c r="AL744" t="s">
        <v>297</v>
      </c>
      <c r="AM744" t="s">
        <v>298</v>
      </c>
      <c r="AN744" t="s">
        <v>299</v>
      </c>
      <c r="AO744" t="s">
        <v>550</v>
      </c>
      <c r="AP744" t="s">
        <v>551</v>
      </c>
      <c r="AQ744" t="s">
        <v>74</v>
      </c>
      <c r="AR744" t="s">
        <v>552</v>
      </c>
      <c r="AS744" t="s">
        <v>553</v>
      </c>
      <c r="AT744" t="s">
        <v>276</v>
      </c>
      <c r="AU744">
        <v>2023</v>
      </c>
      <c r="AV744">
        <v>68</v>
      </c>
      <c r="AW744">
        <v>1</v>
      </c>
      <c r="AX744" t="s">
        <v>74</v>
      </c>
      <c r="AY744" t="s">
        <v>74</v>
      </c>
      <c r="AZ744" t="s">
        <v>74</v>
      </c>
      <c r="BA744" t="s">
        <v>74</v>
      </c>
      <c r="BB744">
        <v>208</v>
      </c>
      <c r="BC744">
        <v>231</v>
      </c>
      <c r="BD744" t="s">
        <v>74</v>
      </c>
      <c r="BE744" t="s">
        <v>14244</v>
      </c>
      <c r="BF744" t="str">
        <f>HYPERLINK("http://dx.doi.org/10.1002/lno.12260","http://dx.doi.org/10.1002/lno.12260")</f>
        <v>http://dx.doi.org/10.1002/lno.12260</v>
      </c>
      <c r="BG744" t="s">
        <v>74</v>
      </c>
      <c r="BH744" t="s">
        <v>11396</v>
      </c>
      <c r="BI744">
        <v>24</v>
      </c>
      <c r="BJ744" t="s">
        <v>555</v>
      </c>
      <c r="BK744" t="s">
        <v>104</v>
      </c>
      <c r="BL744" t="s">
        <v>556</v>
      </c>
      <c r="BM744" t="s">
        <v>14245</v>
      </c>
      <c r="BN744" t="s">
        <v>74</v>
      </c>
      <c r="BO744" t="s">
        <v>14246</v>
      </c>
      <c r="BP744" t="s">
        <v>74</v>
      </c>
      <c r="BQ744" t="s">
        <v>74</v>
      </c>
      <c r="BR744" t="s">
        <v>108</v>
      </c>
      <c r="BS744" t="s">
        <v>14247</v>
      </c>
      <c r="BT744" t="str">
        <f>HYPERLINK("https%3A%2F%2Fwww.webofscience.com%2Fwos%2Fwoscc%2Ffull-record%2FWOS:000882268400001","View Full Record in Web of Science")</f>
        <v>View Full Record in Web of Science</v>
      </c>
    </row>
    <row r="745" spans="1:72" x14ac:dyDescent="0.15">
      <c r="A745" t="s">
        <v>72</v>
      </c>
      <c r="B745" t="s">
        <v>14248</v>
      </c>
      <c r="C745" t="s">
        <v>74</v>
      </c>
      <c r="D745" t="s">
        <v>74</v>
      </c>
      <c r="E745" t="s">
        <v>74</v>
      </c>
      <c r="F745" t="s">
        <v>14249</v>
      </c>
      <c r="G745" t="s">
        <v>74</v>
      </c>
      <c r="H745" t="s">
        <v>74</v>
      </c>
      <c r="I745" t="s">
        <v>14250</v>
      </c>
      <c r="J745" t="s">
        <v>8668</v>
      </c>
      <c r="K745" t="s">
        <v>74</v>
      </c>
      <c r="L745" t="s">
        <v>74</v>
      </c>
      <c r="M745" t="s">
        <v>78</v>
      </c>
      <c r="N745" t="s">
        <v>79</v>
      </c>
      <c r="O745" t="s">
        <v>74</v>
      </c>
      <c r="P745" t="s">
        <v>74</v>
      </c>
      <c r="Q745" t="s">
        <v>74</v>
      </c>
      <c r="R745" t="s">
        <v>74</v>
      </c>
      <c r="S745" t="s">
        <v>74</v>
      </c>
      <c r="T745" t="s">
        <v>74</v>
      </c>
      <c r="U745" t="s">
        <v>14251</v>
      </c>
      <c r="V745" t="s">
        <v>14252</v>
      </c>
      <c r="W745" t="s">
        <v>14253</v>
      </c>
      <c r="X745" t="s">
        <v>14254</v>
      </c>
      <c r="Y745" t="s">
        <v>14255</v>
      </c>
      <c r="Z745" t="s">
        <v>14256</v>
      </c>
      <c r="AA745" t="s">
        <v>74</v>
      </c>
      <c r="AB745" t="s">
        <v>14257</v>
      </c>
      <c r="AC745" t="s">
        <v>14258</v>
      </c>
      <c r="AD745" t="s">
        <v>14259</v>
      </c>
      <c r="AE745" t="s">
        <v>14260</v>
      </c>
      <c r="AF745" t="s">
        <v>74</v>
      </c>
      <c r="AG745">
        <v>69</v>
      </c>
      <c r="AH745">
        <v>0</v>
      </c>
      <c r="AI745">
        <v>0</v>
      </c>
      <c r="AJ745">
        <v>1</v>
      </c>
      <c r="AK745">
        <v>2</v>
      </c>
      <c r="AL745" t="s">
        <v>297</v>
      </c>
      <c r="AM745" t="s">
        <v>298</v>
      </c>
      <c r="AN745" t="s">
        <v>299</v>
      </c>
      <c r="AO745" t="s">
        <v>8680</v>
      </c>
      <c r="AP745" t="s">
        <v>8681</v>
      </c>
      <c r="AQ745" t="s">
        <v>74</v>
      </c>
      <c r="AR745" t="s">
        <v>8682</v>
      </c>
      <c r="AS745" t="s">
        <v>8683</v>
      </c>
      <c r="AT745" t="s">
        <v>9001</v>
      </c>
      <c r="AU745">
        <v>2022</v>
      </c>
      <c r="AV745">
        <v>57</v>
      </c>
      <c r="AW745">
        <v>12</v>
      </c>
      <c r="AX745" t="s">
        <v>74</v>
      </c>
      <c r="AY745" t="s">
        <v>74</v>
      </c>
      <c r="AZ745" t="s">
        <v>74</v>
      </c>
      <c r="BA745" t="s">
        <v>74</v>
      </c>
      <c r="BB745">
        <v>2158</v>
      </c>
      <c r="BC745">
        <v>2169</v>
      </c>
      <c r="BD745" t="s">
        <v>74</v>
      </c>
      <c r="BE745" t="s">
        <v>14261</v>
      </c>
      <c r="BF745" t="str">
        <f>HYPERLINK("http://dx.doi.org/10.1111/maps.13923","http://dx.doi.org/10.1111/maps.13923")</f>
        <v>http://dx.doi.org/10.1111/maps.13923</v>
      </c>
      <c r="BG745" t="s">
        <v>74</v>
      </c>
      <c r="BH745" t="s">
        <v>11396</v>
      </c>
      <c r="BI745">
        <v>12</v>
      </c>
      <c r="BJ745" t="s">
        <v>430</v>
      </c>
      <c r="BK745" t="s">
        <v>104</v>
      </c>
      <c r="BL745" t="s">
        <v>430</v>
      </c>
      <c r="BM745" t="s">
        <v>12877</v>
      </c>
      <c r="BN745" t="s">
        <v>74</v>
      </c>
      <c r="BO745" t="s">
        <v>248</v>
      </c>
      <c r="BP745" t="s">
        <v>74</v>
      </c>
      <c r="BQ745" t="s">
        <v>74</v>
      </c>
      <c r="BR745" t="s">
        <v>108</v>
      </c>
      <c r="BS745" t="s">
        <v>14262</v>
      </c>
      <c r="BT745" t="str">
        <f>HYPERLINK("https%3A%2F%2Fwww.webofscience.com%2Fwos%2Fwoscc%2Ffull-record%2FWOS:000883137500001","View Full Record in Web of Science")</f>
        <v>View Full Record in Web of Science</v>
      </c>
    </row>
    <row r="746" spans="1:72" x14ac:dyDescent="0.15">
      <c r="A746" t="s">
        <v>72</v>
      </c>
      <c r="B746" t="s">
        <v>14263</v>
      </c>
      <c r="C746" t="s">
        <v>74</v>
      </c>
      <c r="D746" t="s">
        <v>74</v>
      </c>
      <c r="E746" t="s">
        <v>74</v>
      </c>
      <c r="F746" t="s">
        <v>14264</v>
      </c>
      <c r="G746" t="s">
        <v>74</v>
      </c>
      <c r="H746" t="s">
        <v>74</v>
      </c>
      <c r="I746" t="s">
        <v>14265</v>
      </c>
      <c r="J746" t="s">
        <v>14266</v>
      </c>
      <c r="K746" t="s">
        <v>74</v>
      </c>
      <c r="L746" t="s">
        <v>74</v>
      </c>
      <c r="M746" t="s">
        <v>78</v>
      </c>
      <c r="N746" t="s">
        <v>79</v>
      </c>
      <c r="O746" t="s">
        <v>74</v>
      </c>
      <c r="P746" t="s">
        <v>74</v>
      </c>
      <c r="Q746" t="s">
        <v>74</v>
      </c>
      <c r="R746" t="s">
        <v>74</v>
      </c>
      <c r="S746" t="s">
        <v>74</v>
      </c>
      <c r="T746" t="s">
        <v>74</v>
      </c>
      <c r="U746" t="s">
        <v>14267</v>
      </c>
      <c r="V746" t="s">
        <v>14268</v>
      </c>
      <c r="W746" t="s">
        <v>14269</v>
      </c>
      <c r="X746" t="s">
        <v>14270</v>
      </c>
      <c r="Y746" t="s">
        <v>14271</v>
      </c>
      <c r="Z746" t="s">
        <v>14272</v>
      </c>
      <c r="AA746" t="s">
        <v>74</v>
      </c>
      <c r="AB746" t="s">
        <v>14273</v>
      </c>
      <c r="AC746" t="s">
        <v>14274</v>
      </c>
      <c r="AD746" t="s">
        <v>14275</v>
      </c>
      <c r="AE746" t="s">
        <v>14276</v>
      </c>
      <c r="AF746" t="s">
        <v>74</v>
      </c>
      <c r="AG746">
        <v>62</v>
      </c>
      <c r="AH746">
        <v>2</v>
      </c>
      <c r="AI746">
        <v>2</v>
      </c>
      <c r="AJ746">
        <v>1</v>
      </c>
      <c r="AK746">
        <v>1</v>
      </c>
      <c r="AL746" t="s">
        <v>14277</v>
      </c>
      <c r="AM746" t="s">
        <v>375</v>
      </c>
      <c r="AN746" t="s">
        <v>14278</v>
      </c>
      <c r="AO746" t="s">
        <v>14279</v>
      </c>
      <c r="AP746" t="s">
        <v>14280</v>
      </c>
      <c r="AQ746" t="s">
        <v>74</v>
      </c>
      <c r="AR746" t="s">
        <v>14281</v>
      </c>
      <c r="AS746" t="s">
        <v>14282</v>
      </c>
      <c r="AT746" t="s">
        <v>14283</v>
      </c>
      <c r="AU746">
        <v>2022</v>
      </c>
      <c r="AV746">
        <v>2022</v>
      </c>
      <c r="AW746" t="s">
        <v>74</v>
      </c>
      <c r="AX746" t="s">
        <v>74</v>
      </c>
      <c r="AY746" t="s">
        <v>74</v>
      </c>
      <c r="AZ746" t="s">
        <v>74</v>
      </c>
      <c r="BA746" t="s">
        <v>74</v>
      </c>
      <c r="BB746" t="s">
        <v>74</v>
      </c>
      <c r="BC746" t="s">
        <v>74</v>
      </c>
      <c r="BD746">
        <v>5067074</v>
      </c>
      <c r="BE746" t="s">
        <v>14284</v>
      </c>
      <c r="BF746" t="str">
        <f>HYPERLINK("http://dx.doi.org/10.1155/2022/5067074","http://dx.doi.org/10.1155/2022/5067074")</f>
        <v>http://dx.doi.org/10.1155/2022/5067074</v>
      </c>
      <c r="BG746" t="s">
        <v>74</v>
      </c>
      <c r="BH746" t="s">
        <v>74</v>
      </c>
      <c r="BI746">
        <v>13</v>
      </c>
      <c r="BJ746" t="s">
        <v>1699</v>
      </c>
      <c r="BK746" t="s">
        <v>757</v>
      </c>
      <c r="BL746" t="s">
        <v>1699</v>
      </c>
      <c r="BM746" t="s">
        <v>14285</v>
      </c>
      <c r="BN746">
        <v>37275508</v>
      </c>
      <c r="BO746" t="s">
        <v>192</v>
      </c>
      <c r="BP746" t="s">
        <v>74</v>
      </c>
      <c r="BQ746" t="s">
        <v>74</v>
      </c>
      <c r="BR746" t="s">
        <v>108</v>
      </c>
      <c r="BS746" t="s">
        <v>14286</v>
      </c>
      <c r="BT746" t="str">
        <f>HYPERLINK("https%3A%2F%2Fwww.webofscience.com%2Fwos%2Fwoscc%2Ffull-record%2FWOS:001000134300001","View Full Record in Web of Science")</f>
        <v>View Full Record in Web of Science</v>
      </c>
    </row>
    <row r="747" spans="1:72" x14ac:dyDescent="0.15">
      <c r="A747" t="s">
        <v>72</v>
      </c>
      <c r="B747" t="s">
        <v>14287</v>
      </c>
      <c r="C747" t="s">
        <v>74</v>
      </c>
      <c r="D747" t="s">
        <v>74</v>
      </c>
      <c r="E747" t="s">
        <v>74</v>
      </c>
      <c r="F747" t="s">
        <v>14288</v>
      </c>
      <c r="G747" t="s">
        <v>74</v>
      </c>
      <c r="H747" t="s">
        <v>74</v>
      </c>
      <c r="I747" t="s">
        <v>14289</v>
      </c>
      <c r="J747" t="s">
        <v>590</v>
      </c>
      <c r="K747" t="s">
        <v>74</v>
      </c>
      <c r="L747" t="s">
        <v>74</v>
      </c>
      <c r="M747" t="s">
        <v>78</v>
      </c>
      <c r="N747" t="s">
        <v>79</v>
      </c>
      <c r="O747" t="s">
        <v>74</v>
      </c>
      <c r="P747" t="s">
        <v>74</v>
      </c>
      <c r="Q747" t="s">
        <v>74</v>
      </c>
      <c r="R747" t="s">
        <v>74</v>
      </c>
      <c r="S747" t="s">
        <v>74</v>
      </c>
      <c r="T747" t="s">
        <v>74</v>
      </c>
      <c r="U747" t="s">
        <v>14290</v>
      </c>
      <c r="V747" t="s">
        <v>14291</v>
      </c>
      <c r="W747" t="s">
        <v>14292</v>
      </c>
      <c r="X747" t="s">
        <v>14293</v>
      </c>
      <c r="Y747" t="s">
        <v>14294</v>
      </c>
      <c r="Z747" t="s">
        <v>14295</v>
      </c>
      <c r="AA747" t="s">
        <v>74</v>
      </c>
      <c r="AB747" t="s">
        <v>14296</v>
      </c>
      <c r="AC747" t="s">
        <v>14297</v>
      </c>
      <c r="AD747" t="s">
        <v>14298</v>
      </c>
      <c r="AE747" t="s">
        <v>14299</v>
      </c>
      <c r="AF747" t="s">
        <v>74</v>
      </c>
      <c r="AG747">
        <v>92</v>
      </c>
      <c r="AH747">
        <v>5</v>
      </c>
      <c r="AI747">
        <v>5</v>
      </c>
      <c r="AJ747">
        <v>2</v>
      </c>
      <c r="AK747">
        <v>4</v>
      </c>
      <c r="AL747" t="s">
        <v>603</v>
      </c>
      <c r="AM747" t="s">
        <v>208</v>
      </c>
      <c r="AN747" t="s">
        <v>604</v>
      </c>
      <c r="AO747" t="s">
        <v>605</v>
      </c>
      <c r="AP747" t="s">
        <v>606</v>
      </c>
      <c r="AQ747" t="s">
        <v>74</v>
      </c>
      <c r="AR747" t="s">
        <v>607</v>
      </c>
      <c r="AS747" t="s">
        <v>608</v>
      </c>
      <c r="AT747" t="s">
        <v>13402</v>
      </c>
      <c r="AU747">
        <v>2022</v>
      </c>
      <c r="AV747">
        <v>298</v>
      </c>
      <c r="AW747" t="s">
        <v>74</v>
      </c>
      <c r="AX747" t="s">
        <v>74</v>
      </c>
      <c r="AY747" t="s">
        <v>74</v>
      </c>
      <c r="AZ747" t="s">
        <v>74</v>
      </c>
      <c r="BA747" t="s">
        <v>74</v>
      </c>
      <c r="BB747" t="s">
        <v>74</v>
      </c>
      <c r="BC747" t="s">
        <v>74</v>
      </c>
      <c r="BD747">
        <v>107800</v>
      </c>
      <c r="BE747" t="s">
        <v>14300</v>
      </c>
      <c r="BF747" t="str">
        <f>HYPERLINK("http://dx.doi.org/10.1016/j.quascirev.2022.107800","http://dx.doi.org/10.1016/j.quascirev.2022.107800")</f>
        <v>http://dx.doi.org/10.1016/j.quascirev.2022.107800</v>
      </c>
      <c r="BG747" t="s">
        <v>74</v>
      </c>
      <c r="BH747" t="s">
        <v>11396</v>
      </c>
      <c r="BI747">
        <v>28</v>
      </c>
      <c r="BJ747" t="s">
        <v>611</v>
      </c>
      <c r="BK747" t="s">
        <v>104</v>
      </c>
      <c r="BL747" t="s">
        <v>612</v>
      </c>
      <c r="BM747" t="s">
        <v>14301</v>
      </c>
      <c r="BN747" t="s">
        <v>74</v>
      </c>
      <c r="BO747" t="s">
        <v>14302</v>
      </c>
      <c r="BP747" t="s">
        <v>74</v>
      </c>
      <c r="BQ747" t="s">
        <v>74</v>
      </c>
      <c r="BR747" t="s">
        <v>108</v>
      </c>
      <c r="BS747" t="s">
        <v>14303</v>
      </c>
      <c r="BT747" t="str">
        <f>HYPERLINK("https%3A%2F%2Fwww.webofscience.com%2Fwos%2Fwoscc%2Ffull-record%2FWOS:000890737300003","View Full Record in Web of Science")</f>
        <v>View Full Record in Web of Science</v>
      </c>
    </row>
    <row r="748" spans="1:72" x14ac:dyDescent="0.15">
      <c r="A748" t="s">
        <v>72</v>
      </c>
      <c r="B748" t="s">
        <v>14304</v>
      </c>
      <c r="C748" t="s">
        <v>74</v>
      </c>
      <c r="D748" t="s">
        <v>74</v>
      </c>
      <c r="E748" t="s">
        <v>74</v>
      </c>
      <c r="F748" t="s">
        <v>14305</v>
      </c>
      <c r="G748" t="s">
        <v>74</v>
      </c>
      <c r="H748" t="s">
        <v>74</v>
      </c>
      <c r="I748" t="s">
        <v>14306</v>
      </c>
      <c r="J748" t="s">
        <v>362</v>
      </c>
      <c r="K748" t="s">
        <v>74</v>
      </c>
      <c r="L748" t="s">
        <v>74</v>
      </c>
      <c r="M748" t="s">
        <v>78</v>
      </c>
      <c r="N748" t="s">
        <v>79</v>
      </c>
      <c r="O748" t="s">
        <v>74</v>
      </c>
      <c r="P748" t="s">
        <v>74</v>
      </c>
      <c r="Q748" t="s">
        <v>74</v>
      </c>
      <c r="R748" t="s">
        <v>74</v>
      </c>
      <c r="S748" t="s">
        <v>74</v>
      </c>
      <c r="T748" t="s">
        <v>74</v>
      </c>
      <c r="U748" t="s">
        <v>14307</v>
      </c>
      <c r="V748" t="s">
        <v>14308</v>
      </c>
      <c r="W748" t="s">
        <v>14309</v>
      </c>
      <c r="X748" t="s">
        <v>14310</v>
      </c>
      <c r="Y748" t="s">
        <v>14311</v>
      </c>
      <c r="Z748" t="s">
        <v>14312</v>
      </c>
      <c r="AA748" t="s">
        <v>14313</v>
      </c>
      <c r="AB748" t="s">
        <v>14314</v>
      </c>
      <c r="AC748" t="s">
        <v>14315</v>
      </c>
      <c r="AD748" t="s">
        <v>14316</v>
      </c>
      <c r="AE748" t="s">
        <v>14317</v>
      </c>
      <c r="AF748" t="s">
        <v>74</v>
      </c>
      <c r="AG748">
        <v>84</v>
      </c>
      <c r="AH748">
        <v>5</v>
      </c>
      <c r="AI748">
        <v>5</v>
      </c>
      <c r="AJ748">
        <v>2</v>
      </c>
      <c r="AK748">
        <v>9</v>
      </c>
      <c r="AL748" t="s">
        <v>374</v>
      </c>
      <c r="AM748" t="s">
        <v>375</v>
      </c>
      <c r="AN748" t="s">
        <v>376</v>
      </c>
      <c r="AO748" t="s">
        <v>74</v>
      </c>
      <c r="AP748" t="s">
        <v>377</v>
      </c>
      <c r="AQ748" t="s">
        <v>74</v>
      </c>
      <c r="AR748" t="s">
        <v>378</v>
      </c>
      <c r="AS748" t="s">
        <v>379</v>
      </c>
      <c r="AT748" t="s">
        <v>14283</v>
      </c>
      <c r="AU748">
        <v>2022</v>
      </c>
      <c r="AV748">
        <v>3</v>
      </c>
      <c r="AW748">
        <v>1</v>
      </c>
      <c r="AX748" t="s">
        <v>74</v>
      </c>
      <c r="AY748" t="s">
        <v>74</v>
      </c>
      <c r="AZ748" t="s">
        <v>74</v>
      </c>
      <c r="BA748" t="s">
        <v>74</v>
      </c>
      <c r="BB748" t="s">
        <v>74</v>
      </c>
      <c r="BC748" t="s">
        <v>74</v>
      </c>
      <c r="BD748">
        <v>273</v>
      </c>
      <c r="BE748" t="s">
        <v>14318</v>
      </c>
      <c r="BF748" t="str">
        <f>HYPERLINK("http://dx.doi.org/10.1038/s43247-022-00599-z","http://dx.doi.org/10.1038/s43247-022-00599-z")</f>
        <v>http://dx.doi.org/10.1038/s43247-022-00599-z</v>
      </c>
      <c r="BG748" t="s">
        <v>74</v>
      </c>
      <c r="BH748" t="s">
        <v>74</v>
      </c>
      <c r="BI748">
        <v>11</v>
      </c>
      <c r="BJ748" t="s">
        <v>381</v>
      </c>
      <c r="BK748" t="s">
        <v>104</v>
      </c>
      <c r="BL748" t="s">
        <v>382</v>
      </c>
      <c r="BM748" t="s">
        <v>14319</v>
      </c>
      <c r="BN748" t="s">
        <v>74</v>
      </c>
      <c r="BO748" t="s">
        <v>192</v>
      </c>
      <c r="BP748" t="s">
        <v>74</v>
      </c>
      <c r="BQ748" t="s">
        <v>74</v>
      </c>
      <c r="BR748" t="s">
        <v>108</v>
      </c>
      <c r="BS748" t="s">
        <v>14320</v>
      </c>
      <c r="BT748" t="str">
        <f>HYPERLINK("https%3A%2F%2Fwww.webofscience.com%2Fwos%2Fwoscc%2Ffull-record%2FWOS:000885084000001","View Full Record in Web of Science")</f>
        <v>View Full Record in Web of Science</v>
      </c>
    </row>
    <row r="749" spans="1:72" x14ac:dyDescent="0.15">
      <c r="A749" t="s">
        <v>72</v>
      </c>
      <c r="B749" t="s">
        <v>14321</v>
      </c>
      <c r="C749" t="s">
        <v>74</v>
      </c>
      <c r="D749" t="s">
        <v>74</v>
      </c>
      <c r="E749" t="s">
        <v>74</v>
      </c>
      <c r="F749" t="s">
        <v>14322</v>
      </c>
      <c r="G749" t="s">
        <v>74</v>
      </c>
      <c r="H749" t="s">
        <v>74</v>
      </c>
      <c r="I749" t="s">
        <v>14323</v>
      </c>
      <c r="J749" t="s">
        <v>14324</v>
      </c>
      <c r="K749" t="s">
        <v>74</v>
      </c>
      <c r="L749" t="s">
        <v>74</v>
      </c>
      <c r="M749" t="s">
        <v>78</v>
      </c>
      <c r="N749" t="s">
        <v>79</v>
      </c>
      <c r="O749" t="s">
        <v>74</v>
      </c>
      <c r="P749" t="s">
        <v>74</v>
      </c>
      <c r="Q749" t="s">
        <v>74</v>
      </c>
      <c r="R749" t="s">
        <v>74</v>
      </c>
      <c r="S749" t="s">
        <v>74</v>
      </c>
      <c r="T749" t="s">
        <v>14325</v>
      </c>
      <c r="U749" t="s">
        <v>14326</v>
      </c>
      <c r="V749" t="s">
        <v>14327</v>
      </c>
      <c r="W749" t="s">
        <v>14328</v>
      </c>
      <c r="X749" t="s">
        <v>14329</v>
      </c>
      <c r="Y749" t="s">
        <v>14330</v>
      </c>
      <c r="Z749" t="s">
        <v>14331</v>
      </c>
      <c r="AA749" t="s">
        <v>14332</v>
      </c>
      <c r="AB749" t="s">
        <v>14333</v>
      </c>
      <c r="AC749" t="s">
        <v>14334</v>
      </c>
      <c r="AD749" t="s">
        <v>14334</v>
      </c>
      <c r="AE749" t="s">
        <v>14335</v>
      </c>
      <c r="AF749" t="s">
        <v>74</v>
      </c>
      <c r="AG749">
        <v>146</v>
      </c>
      <c r="AH749">
        <v>1</v>
      </c>
      <c r="AI749">
        <v>1</v>
      </c>
      <c r="AJ749">
        <v>21</v>
      </c>
      <c r="AK749">
        <v>45</v>
      </c>
      <c r="AL749" t="s">
        <v>297</v>
      </c>
      <c r="AM749" t="s">
        <v>298</v>
      </c>
      <c r="AN749" t="s">
        <v>299</v>
      </c>
      <c r="AO749" t="s">
        <v>14336</v>
      </c>
      <c r="AP749" t="s">
        <v>14337</v>
      </c>
      <c r="AQ749" t="s">
        <v>74</v>
      </c>
      <c r="AR749" t="s">
        <v>14338</v>
      </c>
      <c r="AS749" t="s">
        <v>14339</v>
      </c>
      <c r="AT749" t="s">
        <v>99</v>
      </c>
      <c r="AU749">
        <v>2023</v>
      </c>
      <c r="AV749">
        <v>29</v>
      </c>
      <c r="AW749">
        <v>3</v>
      </c>
      <c r="AX749" t="s">
        <v>74</v>
      </c>
      <c r="AY749" t="s">
        <v>74</v>
      </c>
      <c r="AZ749" t="s">
        <v>74</v>
      </c>
      <c r="BA749" t="s">
        <v>74</v>
      </c>
      <c r="BB749">
        <v>648</v>
      </c>
      <c r="BC749">
        <v>667</v>
      </c>
      <c r="BD749" t="s">
        <v>74</v>
      </c>
      <c r="BE749" t="s">
        <v>14340</v>
      </c>
      <c r="BF749" t="str">
        <f>HYPERLINK("http://dx.doi.org/10.1111/gcb.16500","http://dx.doi.org/10.1111/gcb.16500")</f>
        <v>http://dx.doi.org/10.1111/gcb.16500</v>
      </c>
      <c r="BG749" t="s">
        <v>74</v>
      </c>
      <c r="BH749" t="s">
        <v>11396</v>
      </c>
      <c r="BI749">
        <v>20</v>
      </c>
      <c r="BJ749" t="s">
        <v>8549</v>
      </c>
      <c r="BK749" t="s">
        <v>104</v>
      </c>
      <c r="BL749" t="s">
        <v>306</v>
      </c>
      <c r="BM749" t="s">
        <v>14341</v>
      </c>
      <c r="BN749">
        <v>36278894</v>
      </c>
      <c r="BO749" t="s">
        <v>8017</v>
      </c>
      <c r="BP749" t="s">
        <v>74</v>
      </c>
      <c r="BQ749" t="s">
        <v>74</v>
      </c>
      <c r="BR749" t="s">
        <v>108</v>
      </c>
      <c r="BS749" t="s">
        <v>14342</v>
      </c>
      <c r="BT749" t="str">
        <f>HYPERLINK("https%3A%2F%2Fwww.webofscience.com%2Fwos%2Fwoscc%2Ffull-record%2FWOS:000882562300001","View Full Record in Web of Science")</f>
        <v>View Full Record in Web of Science</v>
      </c>
    </row>
    <row r="750" spans="1:72" x14ac:dyDescent="0.15">
      <c r="A750" t="s">
        <v>72</v>
      </c>
      <c r="B750" t="s">
        <v>14343</v>
      </c>
      <c r="C750" t="s">
        <v>74</v>
      </c>
      <c r="D750" t="s">
        <v>74</v>
      </c>
      <c r="E750" t="s">
        <v>74</v>
      </c>
      <c r="F750" t="s">
        <v>14344</v>
      </c>
      <c r="G750" t="s">
        <v>74</v>
      </c>
      <c r="H750" t="s">
        <v>74</v>
      </c>
      <c r="I750" t="s">
        <v>14345</v>
      </c>
      <c r="J750" t="s">
        <v>7410</v>
      </c>
      <c r="K750" t="s">
        <v>74</v>
      </c>
      <c r="L750" t="s">
        <v>74</v>
      </c>
      <c r="M750" t="s">
        <v>78</v>
      </c>
      <c r="N750" t="s">
        <v>79</v>
      </c>
      <c r="O750" t="s">
        <v>74</v>
      </c>
      <c r="P750" t="s">
        <v>74</v>
      </c>
      <c r="Q750" t="s">
        <v>74</v>
      </c>
      <c r="R750" t="s">
        <v>74</v>
      </c>
      <c r="S750" t="s">
        <v>74</v>
      </c>
      <c r="T750" t="s">
        <v>74</v>
      </c>
      <c r="U750" t="s">
        <v>14346</v>
      </c>
      <c r="V750" t="s">
        <v>14347</v>
      </c>
      <c r="W750" t="s">
        <v>14348</v>
      </c>
      <c r="X750" t="s">
        <v>14349</v>
      </c>
      <c r="Y750" t="s">
        <v>14350</v>
      </c>
      <c r="Z750" t="s">
        <v>14351</v>
      </c>
      <c r="AA750" t="s">
        <v>14352</v>
      </c>
      <c r="AB750" t="s">
        <v>14353</v>
      </c>
      <c r="AC750" t="s">
        <v>14354</v>
      </c>
      <c r="AD750" t="s">
        <v>14355</v>
      </c>
      <c r="AE750" t="s">
        <v>14356</v>
      </c>
      <c r="AF750" t="s">
        <v>74</v>
      </c>
      <c r="AG750">
        <v>68</v>
      </c>
      <c r="AH750">
        <v>2</v>
      </c>
      <c r="AI750">
        <v>2</v>
      </c>
      <c r="AJ750">
        <v>0</v>
      </c>
      <c r="AK750">
        <v>4</v>
      </c>
      <c r="AL750" t="s">
        <v>182</v>
      </c>
      <c r="AM750" t="s">
        <v>183</v>
      </c>
      <c r="AN750" t="s">
        <v>184</v>
      </c>
      <c r="AO750" t="s">
        <v>74</v>
      </c>
      <c r="AP750" t="s">
        <v>7422</v>
      </c>
      <c r="AQ750" t="s">
        <v>74</v>
      </c>
      <c r="AR750" t="s">
        <v>7423</v>
      </c>
      <c r="AS750" t="s">
        <v>7424</v>
      </c>
      <c r="AT750" t="s">
        <v>14283</v>
      </c>
      <c r="AU750">
        <v>2022</v>
      </c>
      <c r="AV750">
        <v>13</v>
      </c>
      <c r="AW750">
        <v>1</v>
      </c>
      <c r="AX750" t="s">
        <v>74</v>
      </c>
      <c r="AY750" t="s">
        <v>74</v>
      </c>
      <c r="AZ750" t="s">
        <v>74</v>
      </c>
      <c r="BA750" t="s">
        <v>74</v>
      </c>
      <c r="BB750" t="s">
        <v>74</v>
      </c>
      <c r="BC750" t="s">
        <v>74</v>
      </c>
      <c r="BD750">
        <v>6785</v>
      </c>
      <c r="BE750" t="s">
        <v>14357</v>
      </c>
      <c r="BF750" t="str">
        <f>HYPERLINK("http://dx.doi.org/10.1038/s41467-022-34623-9","http://dx.doi.org/10.1038/s41467-022-34623-9")</f>
        <v>http://dx.doi.org/10.1038/s41467-022-34623-9</v>
      </c>
      <c r="BG750" t="s">
        <v>74</v>
      </c>
      <c r="BH750" t="s">
        <v>74</v>
      </c>
      <c r="BI750">
        <v>10</v>
      </c>
      <c r="BJ750" t="s">
        <v>189</v>
      </c>
      <c r="BK750" t="s">
        <v>104</v>
      </c>
      <c r="BL750" t="s">
        <v>190</v>
      </c>
      <c r="BM750" t="s">
        <v>14358</v>
      </c>
      <c r="BN750">
        <v>36351905</v>
      </c>
      <c r="BO750" t="s">
        <v>192</v>
      </c>
      <c r="BP750" t="s">
        <v>74</v>
      </c>
      <c r="BQ750" t="s">
        <v>74</v>
      </c>
      <c r="BR750" t="s">
        <v>108</v>
      </c>
      <c r="BS750" t="s">
        <v>14359</v>
      </c>
      <c r="BT750" t="str">
        <f>HYPERLINK("https%3A%2F%2Fwww.webofscience.com%2Fwos%2Fwoscc%2Ffull-record%2FWOS:000885175100001","View Full Record in Web of Science")</f>
        <v>View Full Record in Web of Science</v>
      </c>
    </row>
    <row r="751" spans="1:72" x14ac:dyDescent="0.15">
      <c r="A751" t="s">
        <v>72</v>
      </c>
      <c r="B751" t="s">
        <v>14360</v>
      </c>
      <c r="C751" t="s">
        <v>74</v>
      </c>
      <c r="D751" t="s">
        <v>74</v>
      </c>
      <c r="E751" t="s">
        <v>74</v>
      </c>
      <c r="F751" t="s">
        <v>14361</v>
      </c>
      <c r="G751" t="s">
        <v>74</v>
      </c>
      <c r="H751" t="s">
        <v>74</v>
      </c>
      <c r="I751" t="s">
        <v>14362</v>
      </c>
      <c r="J751" t="s">
        <v>14363</v>
      </c>
      <c r="K751" t="s">
        <v>74</v>
      </c>
      <c r="L751" t="s">
        <v>74</v>
      </c>
      <c r="M751" t="s">
        <v>78</v>
      </c>
      <c r="N751" t="s">
        <v>743</v>
      </c>
      <c r="O751" t="s">
        <v>74</v>
      </c>
      <c r="P751" t="s">
        <v>74</v>
      </c>
      <c r="Q751" t="s">
        <v>74</v>
      </c>
      <c r="R751" t="s">
        <v>74</v>
      </c>
      <c r="S751" t="s">
        <v>74</v>
      </c>
      <c r="T751" t="s">
        <v>74</v>
      </c>
      <c r="U751" t="s">
        <v>14364</v>
      </c>
      <c r="V751" t="s">
        <v>74</v>
      </c>
      <c r="W751" t="s">
        <v>14365</v>
      </c>
      <c r="X751" t="s">
        <v>14366</v>
      </c>
      <c r="Y751" t="s">
        <v>14367</v>
      </c>
      <c r="Z751" t="s">
        <v>12134</v>
      </c>
      <c r="AA751" t="s">
        <v>74</v>
      </c>
      <c r="AB751" t="s">
        <v>74</v>
      </c>
      <c r="AC751" t="s">
        <v>14368</v>
      </c>
      <c r="AD751" t="s">
        <v>14369</v>
      </c>
      <c r="AE751" t="s">
        <v>14370</v>
      </c>
      <c r="AF751" t="s">
        <v>74</v>
      </c>
      <c r="AG751">
        <v>12</v>
      </c>
      <c r="AH751">
        <v>0</v>
      </c>
      <c r="AI751">
        <v>0</v>
      </c>
      <c r="AJ751">
        <v>2</v>
      </c>
      <c r="AK751">
        <v>14</v>
      </c>
      <c r="AL751" t="s">
        <v>3783</v>
      </c>
      <c r="AM751" t="s">
        <v>155</v>
      </c>
      <c r="AN751" t="s">
        <v>4557</v>
      </c>
      <c r="AO751" t="s">
        <v>14371</v>
      </c>
      <c r="AP751" t="s">
        <v>14372</v>
      </c>
      <c r="AQ751" t="s">
        <v>74</v>
      </c>
      <c r="AR751" t="s">
        <v>14373</v>
      </c>
      <c r="AS751" t="s">
        <v>14374</v>
      </c>
      <c r="AT751" t="s">
        <v>9001</v>
      </c>
      <c r="AU751">
        <v>2022</v>
      </c>
      <c r="AV751">
        <v>65</v>
      </c>
      <c r="AW751">
        <v>12</v>
      </c>
      <c r="AX751" t="s">
        <v>74</v>
      </c>
      <c r="AY751" t="s">
        <v>74</v>
      </c>
      <c r="AZ751" t="s">
        <v>74</v>
      </c>
      <c r="BA751" t="s">
        <v>74</v>
      </c>
      <c r="BB751">
        <v>2417</v>
      </c>
      <c r="BC751">
        <v>2420</v>
      </c>
      <c r="BD751" t="s">
        <v>74</v>
      </c>
      <c r="BE751" t="s">
        <v>14375</v>
      </c>
      <c r="BF751" t="str">
        <f>HYPERLINK("http://dx.doi.org/10.1007/s11430-022-1021-6","http://dx.doi.org/10.1007/s11430-022-1021-6")</f>
        <v>http://dx.doi.org/10.1007/s11430-022-1021-6</v>
      </c>
      <c r="BG751" t="s">
        <v>74</v>
      </c>
      <c r="BH751" t="s">
        <v>11396</v>
      </c>
      <c r="BI751">
        <v>4</v>
      </c>
      <c r="BJ751" t="s">
        <v>455</v>
      </c>
      <c r="BK751" t="s">
        <v>104</v>
      </c>
      <c r="BL751" t="s">
        <v>456</v>
      </c>
      <c r="BM751" t="s">
        <v>14376</v>
      </c>
      <c r="BN751" t="s">
        <v>74</v>
      </c>
      <c r="BO751" t="s">
        <v>74</v>
      </c>
      <c r="BP751" t="s">
        <v>74</v>
      </c>
      <c r="BQ751" t="s">
        <v>74</v>
      </c>
      <c r="BR751" t="s">
        <v>108</v>
      </c>
      <c r="BS751" t="s">
        <v>14377</v>
      </c>
      <c r="BT751" t="str">
        <f>HYPERLINK("https%3A%2F%2Fwww.webofscience.com%2Fwos%2Fwoscc%2Ffull-record%2FWOS:000881653500001","View Full Record in Web of Science")</f>
        <v>View Full Record in Web of Science</v>
      </c>
    </row>
    <row r="752" spans="1:72" x14ac:dyDescent="0.15">
      <c r="A752" t="s">
        <v>72</v>
      </c>
      <c r="B752" t="s">
        <v>14378</v>
      </c>
      <c r="C752" t="s">
        <v>74</v>
      </c>
      <c r="D752" t="s">
        <v>74</v>
      </c>
      <c r="E752" t="s">
        <v>74</v>
      </c>
      <c r="F752" t="s">
        <v>14379</v>
      </c>
      <c r="G752" t="s">
        <v>74</v>
      </c>
      <c r="H752" t="s">
        <v>74</v>
      </c>
      <c r="I752" t="s">
        <v>14380</v>
      </c>
      <c r="J752" t="s">
        <v>14381</v>
      </c>
      <c r="K752" t="s">
        <v>74</v>
      </c>
      <c r="L752" t="s">
        <v>74</v>
      </c>
      <c r="M752" t="s">
        <v>78</v>
      </c>
      <c r="N752" t="s">
        <v>79</v>
      </c>
      <c r="O752" t="s">
        <v>74</v>
      </c>
      <c r="P752" t="s">
        <v>74</v>
      </c>
      <c r="Q752" t="s">
        <v>74</v>
      </c>
      <c r="R752" t="s">
        <v>74</v>
      </c>
      <c r="S752" t="s">
        <v>74</v>
      </c>
      <c r="T752" t="s">
        <v>14382</v>
      </c>
      <c r="U752" t="s">
        <v>14383</v>
      </c>
      <c r="V752" t="s">
        <v>14384</v>
      </c>
      <c r="W752" t="s">
        <v>14385</v>
      </c>
      <c r="X752" t="s">
        <v>14386</v>
      </c>
      <c r="Y752" t="s">
        <v>14387</v>
      </c>
      <c r="Z752" t="s">
        <v>14388</v>
      </c>
      <c r="AA752" t="s">
        <v>74</v>
      </c>
      <c r="AB752" t="s">
        <v>14389</v>
      </c>
      <c r="AC752" t="s">
        <v>14390</v>
      </c>
      <c r="AD752" t="s">
        <v>14391</v>
      </c>
      <c r="AE752" t="s">
        <v>14392</v>
      </c>
      <c r="AF752" t="s">
        <v>74</v>
      </c>
      <c r="AG752">
        <v>45</v>
      </c>
      <c r="AH752">
        <v>1</v>
      </c>
      <c r="AI752">
        <v>1</v>
      </c>
      <c r="AJ752">
        <v>1</v>
      </c>
      <c r="AK752">
        <v>7</v>
      </c>
      <c r="AL752" t="s">
        <v>14393</v>
      </c>
      <c r="AM752" t="s">
        <v>14394</v>
      </c>
      <c r="AN752" t="s">
        <v>14395</v>
      </c>
      <c r="AO752" t="s">
        <v>14396</v>
      </c>
      <c r="AP752" t="s">
        <v>14397</v>
      </c>
      <c r="AQ752" t="s">
        <v>74</v>
      </c>
      <c r="AR752" t="s">
        <v>14398</v>
      </c>
      <c r="AS752" t="s">
        <v>14399</v>
      </c>
      <c r="AT752" t="s">
        <v>9001</v>
      </c>
      <c r="AU752">
        <v>2022</v>
      </c>
      <c r="AV752">
        <v>57</v>
      </c>
      <c r="AW752">
        <v>4</v>
      </c>
      <c r="AX752" t="s">
        <v>74</v>
      </c>
      <c r="AY752" t="s">
        <v>74</v>
      </c>
      <c r="AZ752" t="s">
        <v>74</v>
      </c>
      <c r="BA752" t="s">
        <v>74</v>
      </c>
      <c r="BB752">
        <v>672</v>
      </c>
      <c r="BC752">
        <v>679</v>
      </c>
      <c r="BD752" t="s">
        <v>74</v>
      </c>
      <c r="BE752" t="s">
        <v>14400</v>
      </c>
      <c r="BF752" t="str">
        <f>HYPERLINK("http://dx.doi.org/10.1007/s12601-022-00092-w","http://dx.doi.org/10.1007/s12601-022-00092-w")</f>
        <v>http://dx.doi.org/10.1007/s12601-022-00092-w</v>
      </c>
      <c r="BG752" t="s">
        <v>74</v>
      </c>
      <c r="BH752" t="s">
        <v>11396</v>
      </c>
      <c r="BI752">
        <v>8</v>
      </c>
      <c r="BJ752" t="s">
        <v>556</v>
      </c>
      <c r="BK752" t="s">
        <v>104</v>
      </c>
      <c r="BL752" t="s">
        <v>556</v>
      </c>
      <c r="BM752" t="s">
        <v>14401</v>
      </c>
      <c r="BN752" t="s">
        <v>74</v>
      </c>
      <c r="BO752" t="s">
        <v>74</v>
      </c>
      <c r="BP752" t="s">
        <v>74</v>
      </c>
      <c r="BQ752" t="s">
        <v>74</v>
      </c>
      <c r="BR752" t="s">
        <v>108</v>
      </c>
      <c r="BS752" t="s">
        <v>14402</v>
      </c>
      <c r="BT752" t="str">
        <f>HYPERLINK("https%3A%2F%2Fwww.webofscience.com%2Fwos%2Fwoscc%2Ffull-record%2FWOS:000880503300001","View Full Record in Web of Science")</f>
        <v>View Full Record in Web of Science</v>
      </c>
    </row>
    <row r="753" spans="1:72" x14ac:dyDescent="0.15">
      <c r="A753" t="s">
        <v>72</v>
      </c>
      <c r="B753" t="s">
        <v>14403</v>
      </c>
      <c r="C753" t="s">
        <v>74</v>
      </c>
      <c r="D753" t="s">
        <v>74</v>
      </c>
      <c r="E753" t="s">
        <v>74</v>
      </c>
      <c r="F753" t="s">
        <v>14404</v>
      </c>
      <c r="G753" t="s">
        <v>74</v>
      </c>
      <c r="H753" t="s">
        <v>74</v>
      </c>
      <c r="I753" t="s">
        <v>14405</v>
      </c>
      <c r="J753" t="s">
        <v>14406</v>
      </c>
      <c r="K753" t="s">
        <v>74</v>
      </c>
      <c r="L753" t="s">
        <v>74</v>
      </c>
      <c r="M753" t="s">
        <v>78</v>
      </c>
      <c r="N753" t="s">
        <v>79</v>
      </c>
      <c r="O753" t="s">
        <v>74</v>
      </c>
      <c r="P753" t="s">
        <v>74</v>
      </c>
      <c r="Q753" t="s">
        <v>74</v>
      </c>
      <c r="R753" t="s">
        <v>74</v>
      </c>
      <c r="S753" t="s">
        <v>74</v>
      </c>
      <c r="T753" t="s">
        <v>14407</v>
      </c>
      <c r="U753" t="s">
        <v>14408</v>
      </c>
      <c r="V753" t="s">
        <v>14409</v>
      </c>
      <c r="W753" t="s">
        <v>14410</v>
      </c>
      <c r="X753" t="s">
        <v>14411</v>
      </c>
      <c r="Y753" t="s">
        <v>14412</v>
      </c>
      <c r="Z753" t="s">
        <v>14413</v>
      </c>
      <c r="AA753" t="s">
        <v>74</v>
      </c>
      <c r="AB753" t="s">
        <v>14414</v>
      </c>
      <c r="AC753" t="s">
        <v>14415</v>
      </c>
      <c r="AD753" t="s">
        <v>14416</v>
      </c>
      <c r="AE753" t="s">
        <v>14417</v>
      </c>
      <c r="AF753" t="s">
        <v>74</v>
      </c>
      <c r="AG753">
        <v>58</v>
      </c>
      <c r="AH753">
        <v>1</v>
      </c>
      <c r="AI753">
        <v>1</v>
      </c>
      <c r="AJ753">
        <v>0</v>
      </c>
      <c r="AK753">
        <v>4</v>
      </c>
      <c r="AL753" t="s">
        <v>237</v>
      </c>
      <c r="AM753" t="s">
        <v>238</v>
      </c>
      <c r="AN753" t="s">
        <v>239</v>
      </c>
      <c r="AO753" t="s">
        <v>14418</v>
      </c>
      <c r="AP753" t="s">
        <v>14419</v>
      </c>
      <c r="AQ753" t="s">
        <v>74</v>
      </c>
      <c r="AR753" t="s">
        <v>14420</v>
      </c>
      <c r="AS753" t="s">
        <v>14421</v>
      </c>
      <c r="AT753" t="s">
        <v>13402</v>
      </c>
      <c r="AU753">
        <v>2022</v>
      </c>
      <c r="AV753">
        <v>600</v>
      </c>
      <c r="AW753" t="s">
        <v>74</v>
      </c>
      <c r="AX753" t="s">
        <v>74</v>
      </c>
      <c r="AY753" t="s">
        <v>74</v>
      </c>
      <c r="AZ753" t="s">
        <v>74</v>
      </c>
      <c r="BA753" t="s">
        <v>74</v>
      </c>
      <c r="BB753" t="s">
        <v>74</v>
      </c>
      <c r="BC753" t="s">
        <v>74</v>
      </c>
      <c r="BD753" t="s">
        <v>74</v>
      </c>
      <c r="BE753" t="s">
        <v>14422</v>
      </c>
      <c r="BF753" t="str">
        <f>HYPERLINK("http://dx.doi.org/10.1016/j.epsl.2022.117885","http://dx.doi.org/10.1016/j.epsl.2022.117885")</f>
        <v>http://dx.doi.org/10.1016/j.epsl.2022.117885</v>
      </c>
      <c r="BG753" t="s">
        <v>74</v>
      </c>
      <c r="BH753" t="s">
        <v>11396</v>
      </c>
      <c r="BI753">
        <v>11</v>
      </c>
      <c r="BJ753" t="s">
        <v>430</v>
      </c>
      <c r="BK753" t="s">
        <v>104</v>
      </c>
      <c r="BL753" t="s">
        <v>430</v>
      </c>
      <c r="BM753" t="s">
        <v>14423</v>
      </c>
      <c r="BN753" t="s">
        <v>74</v>
      </c>
      <c r="BO753" t="s">
        <v>1727</v>
      </c>
      <c r="BP753" t="s">
        <v>74</v>
      </c>
      <c r="BQ753" t="s">
        <v>74</v>
      </c>
      <c r="BR753" t="s">
        <v>108</v>
      </c>
      <c r="BS753" t="s">
        <v>14424</v>
      </c>
      <c r="BT753" t="str">
        <f>HYPERLINK("https%3A%2F%2Fwww.webofscience.com%2Fwos%2Fwoscc%2Ffull-record%2FWOS:000933515500002","View Full Record in Web of Science")</f>
        <v>View Full Record in Web of Science</v>
      </c>
    </row>
    <row r="754" spans="1:72" x14ac:dyDescent="0.15">
      <c r="A754" t="s">
        <v>72</v>
      </c>
      <c r="B754" t="s">
        <v>14425</v>
      </c>
      <c r="C754" t="s">
        <v>74</v>
      </c>
      <c r="D754" t="s">
        <v>74</v>
      </c>
      <c r="E754" t="s">
        <v>74</v>
      </c>
      <c r="F754" t="s">
        <v>14426</v>
      </c>
      <c r="G754" t="s">
        <v>74</v>
      </c>
      <c r="H754" t="s">
        <v>74</v>
      </c>
      <c r="I754" t="s">
        <v>14427</v>
      </c>
      <c r="J754" t="s">
        <v>7102</v>
      </c>
      <c r="K754" t="s">
        <v>74</v>
      </c>
      <c r="L754" t="s">
        <v>74</v>
      </c>
      <c r="M754" t="s">
        <v>78</v>
      </c>
      <c r="N754" t="s">
        <v>79</v>
      </c>
      <c r="O754" t="s">
        <v>74</v>
      </c>
      <c r="P754" t="s">
        <v>74</v>
      </c>
      <c r="Q754" t="s">
        <v>74</v>
      </c>
      <c r="R754" t="s">
        <v>74</v>
      </c>
      <c r="S754" t="s">
        <v>74</v>
      </c>
      <c r="T754" t="s">
        <v>14428</v>
      </c>
      <c r="U754" t="s">
        <v>14429</v>
      </c>
      <c r="V754" t="s">
        <v>14430</v>
      </c>
      <c r="W754" t="s">
        <v>14431</v>
      </c>
      <c r="X754" t="s">
        <v>14432</v>
      </c>
      <c r="Y754" t="s">
        <v>14433</v>
      </c>
      <c r="Z754" t="s">
        <v>14434</v>
      </c>
      <c r="AA754" t="s">
        <v>14435</v>
      </c>
      <c r="AB754" t="s">
        <v>14436</v>
      </c>
      <c r="AC754" t="s">
        <v>14437</v>
      </c>
      <c r="AD754" t="s">
        <v>14438</v>
      </c>
      <c r="AE754" t="s">
        <v>14439</v>
      </c>
      <c r="AF754" t="s">
        <v>74</v>
      </c>
      <c r="AG754">
        <v>89</v>
      </c>
      <c r="AH754">
        <v>4</v>
      </c>
      <c r="AI754">
        <v>4</v>
      </c>
      <c r="AJ754">
        <v>5</v>
      </c>
      <c r="AK754">
        <v>15</v>
      </c>
      <c r="AL754" t="s">
        <v>448</v>
      </c>
      <c r="AM754" t="s">
        <v>449</v>
      </c>
      <c r="AN754" t="s">
        <v>450</v>
      </c>
      <c r="AO754" t="s">
        <v>74</v>
      </c>
      <c r="AP754" t="s">
        <v>7115</v>
      </c>
      <c r="AQ754" t="s">
        <v>74</v>
      </c>
      <c r="AR754" t="s">
        <v>7116</v>
      </c>
      <c r="AS754" t="s">
        <v>7117</v>
      </c>
      <c r="AT754" t="s">
        <v>14440</v>
      </c>
      <c r="AU754">
        <v>2022</v>
      </c>
      <c r="AV754">
        <v>9</v>
      </c>
      <c r="AW754" t="s">
        <v>74</v>
      </c>
      <c r="AX754" t="s">
        <v>74</v>
      </c>
      <c r="AY754" t="s">
        <v>74</v>
      </c>
      <c r="AZ754" t="s">
        <v>74</v>
      </c>
      <c r="BA754" t="s">
        <v>74</v>
      </c>
      <c r="BB754" t="s">
        <v>74</v>
      </c>
      <c r="BC754" t="s">
        <v>74</v>
      </c>
      <c r="BD754">
        <v>1015851</v>
      </c>
      <c r="BE754" t="s">
        <v>14441</v>
      </c>
      <c r="BF754" t="str">
        <f>HYPERLINK("http://dx.doi.org/10.3389/fmars.2022.1015851","http://dx.doi.org/10.3389/fmars.2022.1015851")</f>
        <v>http://dx.doi.org/10.3389/fmars.2022.1015851</v>
      </c>
      <c r="BG754" t="s">
        <v>74</v>
      </c>
      <c r="BH754" t="s">
        <v>74</v>
      </c>
      <c r="BI754">
        <v>24</v>
      </c>
      <c r="BJ754" t="s">
        <v>6728</v>
      </c>
      <c r="BK754" t="s">
        <v>104</v>
      </c>
      <c r="BL754" t="s">
        <v>6729</v>
      </c>
      <c r="BM754" t="s">
        <v>14442</v>
      </c>
      <c r="BN754" t="s">
        <v>74</v>
      </c>
      <c r="BO754" t="s">
        <v>4658</v>
      </c>
      <c r="BP754" t="s">
        <v>74</v>
      </c>
      <c r="BQ754" t="s">
        <v>74</v>
      </c>
      <c r="BR754" t="s">
        <v>108</v>
      </c>
      <c r="BS754" t="s">
        <v>14443</v>
      </c>
      <c r="BT754" t="str">
        <f>HYPERLINK("https%3A%2F%2Fwww.webofscience.com%2Fwos%2Fwoscc%2Ffull-record%2FWOS:000890618400001","View Full Record in Web of Science")</f>
        <v>View Full Record in Web of Science</v>
      </c>
    </row>
    <row r="755" spans="1:72" x14ac:dyDescent="0.15">
      <c r="A755" t="s">
        <v>72</v>
      </c>
      <c r="B755" t="s">
        <v>14444</v>
      </c>
      <c r="C755" t="s">
        <v>74</v>
      </c>
      <c r="D755" t="s">
        <v>74</v>
      </c>
      <c r="E755" t="s">
        <v>74</v>
      </c>
      <c r="F755" t="s">
        <v>14445</v>
      </c>
      <c r="G755" t="s">
        <v>74</v>
      </c>
      <c r="H755" t="s">
        <v>74</v>
      </c>
      <c r="I755" t="s">
        <v>14446</v>
      </c>
      <c r="J755" t="s">
        <v>14447</v>
      </c>
      <c r="K755" t="s">
        <v>74</v>
      </c>
      <c r="L755" t="s">
        <v>74</v>
      </c>
      <c r="M755" t="s">
        <v>78</v>
      </c>
      <c r="N755" t="s">
        <v>79</v>
      </c>
      <c r="O755" t="s">
        <v>74</v>
      </c>
      <c r="P755" t="s">
        <v>74</v>
      </c>
      <c r="Q755" t="s">
        <v>74</v>
      </c>
      <c r="R755" t="s">
        <v>74</v>
      </c>
      <c r="S755" t="s">
        <v>74</v>
      </c>
      <c r="T755" t="s">
        <v>14448</v>
      </c>
      <c r="U755" t="s">
        <v>14449</v>
      </c>
      <c r="V755" t="s">
        <v>14450</v>
      </c>
      <c r="W755" t="s">
        <v>14451</v>
      </c>
      <c r="X755" t="s">
        <v>14452</v>
      </c>
      <c r="Y755" t="s">
        <v>14453</v>
      </c>
      <c r="Z755" t="s">
        <v>14454</v>
      </c>
      <c r="AA755" t="s">
        <v>14455</v>
      </c>
      <c r="AB755" t="s">
        <v>14456</v>
      </c>
      <c r="AC755" t="s">
        <v>74</v>
      </c>
      <c r="AD755" t="s">
        <v>74</v>
      </c>
      <c r="AE755" t="s">
        <v>74</v>
      </c>
      <c r="AF755" t="s">
        <v>74</v>
      </c>
      <c r="AG755">
        <v>48</v>
      </c>
      <c r="AH755">
        <v>2</v>
      </c>
      <c r="AI755">
        <v>2</v>
      </c>
      <c r="AJ755">
        <v>0</v>
      </c>
      <c r="AK755">
        <v>0</v>
      </c>
      <c r="AL755" t="s">
        <v>14457</v>
      </c>
      <c r="AM755" t="s">
        <v>14458</v>
      </c>
      <c r="AN755" t="s">
        <v>14459</v>
      </c>
      <c r="AO755" t="s">
        <v>14460</v>
      </c>
      <c r="AP755" t="s">
        <v>14461</v>
      </c>
      <c r="AQ755" t="s">
        <v>74</v>
      </c>
      <c r="AR755" t="s">
        <v>14447</v>
      </c>
      <c r="AS755" t="s">
        <v>14462</v>
      </c>
      <c r="AT755" t="s">
        <v>14440</v>
      </c>
      <c r="AU755">
        <v>2022</v>
      </c>
      <c r="AV755">
        <v>572</v>
      </c>
      <c r="AW755">
        <v>1</v>
      </c>
      <c r="AX755" t="s">
        <v>74</v>
      </c>
      <c r="AY755" t="s">
        <v>74</v>
      </c>
      <c r="AZ755" t="s">
        <v>74</v>
      </c>
      <c r="BA755" t="s">
        <v>74</v>
      </c>
      <c r="BB755">
        <v>1</v>
      </c>
      <c r="BC755">
        <v>24</v>
      </c>
      <c r="BD755" t="s">
        <v>74</v>
      </c>
      <c r="BE755" t="s">
        <v>14463</v>
      </c>
      <c r="BF755" t="str">
        <f>HYPERLINK("http://dx.doi.org/10.11646/phytotaxa.572.1.1","http://dx.doi.org/10.11646/phytotaxa.572.1.1")</f>
        <v>http://dx.doi.org/10.11646/phytotaxa.572.1.1</v>
      </c>
      <c r="BG755" t="s">
        <v>74</v>
      </c>
      <c r="BH755" t="s">
        <v>74</v>
      </c>
      <c r="BI755">
        <v>24</v>
      </c>
      <c r="BJ755" t="s">
        <v>507</v>
      </c>
      <c r="BK755" t="s">
        <v>104</v>
      </c>
      <c r="BL755" t="s">
        <v>507</v>
      </c>
      <c r="BM755" t="s">
        <v>14464</v>
      </c>
      <c r="BN755" t="s">
        <v>74</v>
      </c>
      <c r="BO755" t="s">
        <v>74</v>
      </c>
      <c r="BP755" t="s">
        <v>74</v>
      </c>
      <c r="BQ755" t="s">
        <v>74</v>
      </c>
      <c r="BR755" t="s">
        <v>108</v>
      </c>
      <c r="BS755" t="s">
        <v>14465</v>
      </c>
      <c r="BT755" t="str">
        <f>HYPERLINK("https%3A%2F%2Fwww.webofscience.com%2Fwos%2Fwoscc%2Ffull-record%2FWOS:001128487200001","View Full Record in Web of Science")</f>
        <v>View Full Record in Web of Science</v>
      </c>
    </row>
    <row r="756" spans="1:72" x14ac:dyDescent="0.15">
      <c r="A756" t="s">
        <v>72</v>
      </c>
      <c r="B756" t="s">
        <v>14466</v>
      </c>
      <c r="C756" t="s">
        <v>74</v>
      </c>
      <c r="D756" t="s">
        <v>74</v>
      </c>
      <c r="E756" t="s">
        <v>74</v>
      </c>
      <c r="F756" t="s">
        <v>14467</v>
      </c>
      <c r="G756" t="s">
        <v>74</v>
      </c>
      <c r="H756" t="s">
        <v>74</v>
      </c>
      <c r="I756" t="s">
        <v>14468</v>
      </c>
      <c r="J756" t="s">
        <v>6711</v>
      </c>
      <c r="K756" t="s">
        <v>74</v>
      </c>
      <c r="L756" t="s">
        <v>74</v>
      </c>
      <c r="M756" t="s">
        <v>78</v>
      </c>
      <c r="N756" t="s">
        <v>256</v>
      </c>
      <c r="O756" t="s">
        <v>74</v>
      </c>
      <c r="P756" t="s">
        <v>74</v>
      </c>
      <c r="Q756" t="s">
        <v>74</v>
      </c>
      <c r="R756" t="s">
        <v>74</v>
      </c>
      <c r="S756" t="s">
        <v>74</v>
      </c>
      <c r="T756" t="s">
        <v>14469</v>
      </c>
      <c r="U756" t="s">
        <v>14470</v>
      </c>
      <c r="V756" t="s">
        <v>14471</v>
      </c>
      <c r="W756" t="s">
        <v>14472</v>
      </c>
      <c r="X756" t="s">
        <v>14473</v>
      </c>
      <c r="Y756" t="s">
        <v>14474</v>
      </c>
      <c r="Z756" t="s">
        <v>14475</v>
      </c>
      <c r="AA756" t="s">
        <v>14476</v>
      </c>
      <c r="AB756" t="s">
        <v>14477</v>
      </c>
      <c r="AC756" t="s">
        <v>14478</v>
      </c>
      <c r="AD756" t="s">
        <v>14479</v>
      </c>
      <c r="AE756" t="s">
        <v>14480</v>
      </c>
      <c r="AF756" t="s">
        <v>74</v>
      </c>
      <c r="AG756">
        <v>119</v>
      </c>
      <c r="AH756">
        <v>1</v>
      </c>
      <c r="AI756">
        <v>1</v>
      </c>
      <c r="AJ756">
        <v>6</v>
      </c>
      <c r="AK756">
        <v>20</v>
      </c>
      <c r="AL756" t="s">
        <v>603</v>
      </c>
      <c r="AM756" t="s">
        <v>208</v>
      </c>
      <c r="AN756" t="s">
        <v>604</v>
      </c>
      <c r="AO756" t="s">
        <v>6723</v>
      </c>
      <c r="AP756" t="s">
        <v>6724</v>
      </c>
      <c r="AQ756" t="s">
        <v>74</v>
      </c>
      <c r="AR756" t="s">
        <v>6725</v>
      </c>
      <c r="AS756" t="s">
        <v>6726</v>
      </c>
      <c r="AT756" t="s">
        <v>9001</v>
      </c>
      <c r="AU756">
        <v>2022</v>
      </c>
      <c r="AV756">
        <v>185</v>
      </c>
      <c r="AW756" t="s">
        <v>74</v>
      </c>
      <c r="AX756" t="s">
        <v>12005</v>
      </c>
      <c r="AY756" t="s">
        <v>74</v>
      </c>
      <c r="AZ756" t="s">
        <v>74</v>
      </c>
      <c r="BA756" t="s">
        <v>74</v>
      </c>
      <c r="BB756" t="s">
        <v>74</v>
      </c>
      <c r="BC756" t="s">
        <v>74</v>
      </c>
      <c r="BD756">
        <v>114192</v>
      </c>
      <c r="BE756" t="s">
        <v>14481</v>
      </c>
      <c r="BF756" t="str">
        <f>HYPERLINK("http://dx.doi.org/10.1016/j.marpolbul.2022.114192","http://dx.doi.org/10.1016/j.marpolbul.2022.114192")</f>
        <v>http://dx.doi.org/10.1016/j.marpolbul.2022.114192</v>
      </c>
      <c r="BG756" t="s">
        <v>74</v>
      </c>
      <c r="BH756" t="s">
        <v>11396</v>
      </c>
      <c r="BI756">
        <v>9</v>
      </c>
      <c r="BJ756" t="s">
        <v>6728</v>
      </c>
      <c r="BK756" t="s">
        <v>104</v>
      </c>
      <c r="BL756" t="s">
        <v>6729</v>
      </c>
      <c r="BM756" t="s">
        <v>14482</v>
      </c>
      <c r="BN756">
        <v>36356341</v>
      </c>
      <c r="BO756" t="s">
        <v>74</v>
      </c>
      <c r="BP756" t="s">
        <v>74</v>
      </c>
      <c r="BQ756" t="s">
        <v>74</v>
      </c>
      <c r="BR756" t="s">
        <v>108</v>
      </c>
      <c r="BS756" t="s">
        <v>14483</v>
      </c>
      <c r="BT756" t="str">
        <f>HYPERLINK("https%3A%2F%2Fwww.webofscience.com%2Fwos%2Fwoscc%2Ffull-record%2FWOS:000891759700011","View Full Record in Web of Science")</f>
        <v>View Full Record in Web of Science</v>
      </c>
    </row>
    <row r="757" spans="1:72" x14ac:dyDescent="0.15">
      <c r="A757" t="s">
        <v>72</v>
      </c>
      <c r="B757" t="s">
        <v>14484</v>
      </c>
      <c r="C757" t="s">
        <v>74</v>
      </c>
      <c r="D757" t="s">
        <v>74</v>
      </c>
      <c r="E757" t="s">
        <v>74</v>
      </c>
      <c r="F757" t="s">
        <v>14485</v>
      </c>
      <c r="G757" t="s">
        <v>74</v>
      </c>
      <c r="H757" t="s">
        <v>74</v>
      </c>
      <c r="I757" t="s">
        <v>14486</v>
      </c>
      <c r="J757" t="s">
        <v>7001</v>
      </c>
      <c r="K757" t="s">
        <v>74</v>
      </c>
      <c r="L757" t="s">
        <v>74</v>
      </c>
      <c r="M757" t="s">
        <v>78</v>
      </c>
      <c r="N757" t="s">
        <v>79</v>
      </c>
      <c r="O757" t="s">
        <v>74</v>
      </c>
      <c r="P757" t="s">
        <v>74</v>
      </c>
      <c r="Q757" t="s">
        <v>74</v>
      </c>
      <c r="R757" t="s">
        <v>74</v>
      </c>
      <c r="S757" t="s">
        <v>74</v>
      </c>
      <c r="T757" t="s">
        <v>14487</v>
      </c>
      <c r="U757" t="s">
        <v>14488</v>
      </c>
      <c r="V757" t="s">
        <v>14489</v>
      </c>
      <c r="W757" t="s">
        <v>14490</v>
      </c>
      <c r="X757" t="s">
        <v>14491</v>
      </c>
      <c r="Y757" t="s">
        <v>14492</v>
      </c>
      <c r="Z757" t="s">
        <v>14493</v>
      </c>
      <c r="AA757" t="s">
        <v>14494</v>
      </c>
      <c r="AB757" t="s">
        <v>14495</v>
      </c>
      <c r="AC757" t="s">
        <v>74</v>
      </c>
      <c r="AD757" t="s">
        <v>74</v>
      </c>
      <c r="AE757" t="s">
        <v>74</v>
      </c>
      <c r="AF757" t="s">
        <v>74</v>
      </c>
      <c r="AG757">
        <v>90</v>
      </c>
      <c r="AH757">
        <v>1</v>
      </c>
      <c r="AI757">
        <v>1</v>
      </c>
      <c r="AJ757">
        <v>3</v>
      </c>
      <c r="AK757">
        <v>8</v>
      </c>
      <c r="AL757" t="s">
        <v>422</v>
      </c>
      <c r="AM757" t="s">
        <v>208</v>
      </c>
      <c r="AN757" t="s">
        <v>423</v>
      </c>
      <c r="AO757" t="s">
        <v>7014</v>
      </c>
      <c r="AP757" t="s">
        <v>7015</v>
      </c>
      <c r="AQ757" t="s">
        <v>74</v>
      </c>
      <c r="AR757" t="s">
        <v>7016</v>
      </c>
      <c r="AS757" t="s">
        <v>7017</v>
      </c>
      <c r="AT757" t="s">
        <v>8287</v>
      </c>
      <c r="AU757">
        <v>2022</v>
      </c>
      <c r="AV757">
        <v>79</v>
      </c>
      <c r="AW757">
        <v>10</v>
      </c>
      <c r="AX757" t="s">
        <v>74</v>
      </c>
      <c r="AY757" t="s">
        <v>74</v>
      </c>
      <c r="AZ757" t="s">
        <v>74</v>
      </c>
      <c r="BA757" t="s">
        <v>74</v>
      </c>
      <c r="BB757">
        <v>2630</v>
      </c>
      <c r="BC757">
        <v>2642</v>
      </c>
      <c r="BD757" t="s">
        <v>74</v>
      </c>
      <c r="BE757" t="s">
        <v>14496</v>
      </c>
      <c r="BF757" t="str">
        <f>HYPERLINK("http://dx.doi.org/10.1093/icesjms/fsac197","http://dx.doi.org/10.1093/icesjms/fsac197")</f>
        <v>http://dx.doi.org/10.1093/icesjms/fsac197</v>
      </c>
      <c r="BG757" t="s">
        <v>74</v>
      </c>
      <c r="BH757" t="s">
        <v>11396</v>
      </c>
      <c r="BI757">
        <v>13</v>
      </c>
      <c r="BJ757" t="s">
        <v>1019</v>
      </c>
      <c r="BK757" t="s">
        <v>104</v>
      </c>
      <c r="BL757" t="s">
        <v>1019</v>
      </c>
      <c r="BM757" t="s">
        <v>14497</v>
      </c>
      <c r="BN757" t="s">
        <v>74</v>
      </c>
      <c r="BO757" t="s">
        <v>219</v>
      </c>
      <c r="BP757" t="s">
        <v>74</v>
      </c>
      <c r="BQ757" t="s">
        <v>74</v>
      </c>
      <c r="BR757" t="s">
        <v>108</v>
      </c>
      <c r="BS757" t="s">
        <v>14498</v>
      </c>
      <c r="BT757" t="str">
        <f>HYPERLINK("https%3A%2F%2Fwww.webofscience.com%2Fwos%2Fwoscc%2Ffull-record%2FWOS:000879467200001","View Full Record in Web of Science")</f>
        <v>View Full Record in Web of Science</v>
      </c>
    </row>
    <row r="758" spans="1:72" x14ac:dyDescent="0.15">
      <c r="A758" t="s">
        <v>72</v>
      </c>
      <c r="B758" t="s">
        <v>14499</v>
      </c>
      <c r="C758" t="s">
        <v>74</v>
      </c>
      <c r="D758" t="s">
        <v>74</v>
      </c>
      <c r="E758" t="s">
        <v>74</v>
      </c>
      <c r="F758" t="s">
        <v>14500</v>
      </c>
      <c r="G758" t="s">
        <v>74</v>
      </c>
      <c r="H758" t="s">
        <v>74</v>
      </c>
      <c r="I758" t="s">
        <v>14501</v>
      </c>
      <c r="J758" t="s">
        <v>170</v>
      </c>
      <c r="K758" t="s">
        <v>74</v>
      </c>
      <c r="L758" t="s">
        <v>74</v>
      </c>
      <c r="M758" t="s">
        <v>78</v>
      </c>
      <c r="N758" t="s">
        <v>79</v>
      </c>
      <c r="O758" t="s">
        <v>74</v>
      </c>
      <c r="P758" t="s">
        <v>74</v>
      </c>
      <c r="Q758" t="s">
        <v>74</v>
      </c>
      <c r="R758" t="s">
        <v>74</v>
      </c>
      <c r="S758" t="s">
        <v>74</v>
      </c>
      <c r="T758" t="s">
        <v>74</v>
      </c>
      <c r="U758" t="s">
        <v>14502</v>
      </c>
      <c r="V758" t="s">
        <v>14503</v>
      </c>
      <c r="W758" t="s">
        <v>14504</v>
      </c>
      <c r="X758" t="s">
        <v>14505</v>
      </c>
      <c r="Y758" t="s">
        <v>14506</v>
      </c>
      <c r="Z758" t="s">
        <v>14507</v>
      </c>
      <c r="AA758" t="s">
        <v>14508</v>
      </c>
      <c r="AB758" t="s">
        <v>14509</v>
      </c>
      <c r="AC758" t="s">
        <v>14510</v>
      </c>
      <c r="AD758" t="s">
        <v>14511</v>
      </c>
      <c r="AE758" t="s">
        <v>14512</v>
      </c>
      <c r="AF758" t="s">
        <v>74</v>
      </c>
      <c r="AG758">
        <v>72</v>
      </c>
      <c r="AH758">
        <v>3</v>
      </c>
      <c r="AI758">
        <v>3</v>
      </c>
      <c r="AJ758">
        <v>7</v>
      </c>
      <c r="AK758">
        <v>20</v>
      </c>
      <c r="AL758" t="s">
        <v>182</v>
      </c>
      <c r="AM758" t="s">
        <v>183</v>
      </c>
      <c r="AN758" t="s">
        <v>184</v>
      </c>
      <c r="AO758" t="s">
        <v>185</v>
      </c>
      <c r="AP758" t="s">
        <v>74</v>
      </c>
      <c r="AQ758" t="s">
        <v>74</v>
      </c>
      <c r="AR758" t="s">
        <v>186</v>
      </c>
      <c r="AS758" t="s">
        <v>187</v>
      </c>
      <c r="AT758" t="s">
        <v>14513</v>
      </c>
      <c r="AU758">
        <v>2022</v>
      </c>
      <c r="AV758">
        <v>12</v>
      </c>
      <c r="AW758">
        <v>1</v>
      </c>
      <c r="AX758" t="s">
        <v>74</v>
      </c>
      <c r="AY758" t="s">
        <v>74</v>
      </c>
      <c r="AZ758" t="s">
        <v>74</v>
      </c>
      <c r="BA758" t="s">
        <v>74</v>
      </c>
      <c r="BB758" t="s">
        <v>74</v>
      </c>
      <c r="BC758" t="s">
        <v>74</v>
      </c>
      <c r="BD758">
        <v>18839</v>
      </c>
      <c r="BE758" t="s">
        <v>14514</v>
      </c>
      <c r="BF758" t="str">
        <f>HYPERLINK("http://dx.doi.org/10.1038/s41598-022-23582-2","http://dx.doi.org/10.1038/s41598-022-23582-2")</f>
        <v>http://dx.doi.org/10.1038/s41598-022-23582-2</v>
      </c>
      <c r="BG758" t="s">
        <v>74</v>
      </c>
      <c r="BH758" t="s">
        <v>74</v>
      </c>
      <c r="BI758">
        <v>13</v>
      </c>
      <c r="BJ758" t="s">
        <v>189</v>
      </c>
      <c r="BK758" t="s">
        <v>104</v>
      </c>
      <c r="BL758" t="s">
        <v>190</v>
      </c>
      <c r="BM758" t="s">
        <v>14515</v>
      </c>
      <c r="BN758">
        <v>36336707</v>
      </c>
      <c r="BO758" t="s">
        <v>3181</v>
      </c>
      <c r="BP758" t="s">
        <v>74</v>
      </c>
      <c r="BQ758" t="s">
        <v>74</v>
      </c>
      <c r="BR758" t="s">
        <v>108</v>
      </c>
      <c r="BS758" t="s">
        <v>14516</v>
      </c>
      <c r="BT758" t="str">
        <f>HYPERLINK("https%3A%2F%2Fwww.webofscience.com%2Fwos%2Fwoscc%2Ffull-record%2FWOS:000879341800003","View Full Record in Web of Science")</f>
        <v>View Full Record in Web of Science</v>
      </c>
    </row>
    <row r="759" spans="1:72" x14ac:dyDescent="0.15">
      <c r="A759" t="s">
        <v>72</v>
      </c>
      <c r="B759" t="s">
        <v>14517</v>
      </c>
      <c r="C759" t="s">
        <v>74</v>
      </c>
      <c r="D759" t="s">
        <v>74</v>
      </c>
      <c r="E759" t="s">
        <v>74</v>
      </c>
      <c r="F759" t="s">
        <v>14518</v>
      </c>
      <c r="G759" t="s">
        <v>74</v>
      </c>
      <c r="H759" t="s">
        <v>74</v>
      </c>
      <c r="I759" t="s">
        <v>14519</v>
      </c>
      <c r="J759" t="s">
        <v>14520</v>
      </c>
      <c r="K759" t="s">
        <v>74</v>
      </c>
      <c r="L759" t="s">
        <v>74</v>
      </c>
      <c r="M759" t="s">
        <v>78</v>
      </c>
      <c r="N759" t="s">
        <v>79</v>
      </c>
      <c r="O759" t="s">
        <v>74</v>
      </c>
      <c r="P759" t="s">
        <v>74</v>
      </c>
      <c r="Q759" t="s">
        <v>74</v>
      </c>
      <c r="R759" t="s">
        <v>74</v>
      </c>
      <c r="S759" t="s">
        <v>74</v>
      </c>
      <c r="T759" t="s">
        <v>74</v>
      </c>
      <c r="U759" t="s">
        <v>14521</v>
      </c>
      <c r="V759" t="s">
        <v>14522</v>
      </c>
      <c r="W759" t="s">
        <v>14523</v>
      </c>
      <c r="X759" t="s">
        <v>14524</v>
      </c>
      <c r="Y759" t="s">
        <v>14525</v>
      </c>
      <c r="Z759" t="s">
        <v>14526</v>
      </c>
      <c r="AA759" t="s">
        <v>74</v>
      </c>
      <c r="AB759" t="s">
        <v>14527</v>
      </c>
      <c r="AC759" t="s">
        <v>14528</v>
      </c>
      <c r="AD759" t="s">
        <v>14528</v>
      </c>
      <c r="AE759" t="s">
        <v>14529</v>
      </c>
      <c r="AF759" t="s">
        <v>74</v>
      </c>
      <c r="AG759">
        <v>131</v>
      </c>
      <c r="AH759">
        <v>0</v>
      </c>
      <c r="AI759">
        <v>0</v>
      </c>
      <c r="AJ759">
        <v>5</v>
      </c>
      <c r="AK759">
        <v>8</v>
      </c>
      <c r="AL759" t="s">
        <v>603</v>
      </c>
      <c r="AM759" t="s">
        <v>208</v>
      </c>
      <c r="AN759" t="s">
        <v>604</v>
      </c>
      <c r="AO759" t="s">
        <v>14530</v>
      </c>
      <c r="AP759" t="s">
        <v>14531</v>
      </c>
      <c r="AQ759" t="s">
        <v>74</v>
      </c>
      <c r="AR759" t="s">
        <v>14532</v>
      </c>
      <c r="AS759" t="s">
        <v>14533</v>
      </c>
      <c r="AT759" t="s">
        <v>9001</v>
      </c>
      <c r="AU759">
        <v>2022</v>
      </c>
      <c r="AV759">
        <v>206</v>
      </c>
      <c r="AW759" t="s">
        <v>74</v>
      </c>
      <c r="AX759" t="s">
        <v>74</v>
      </c>
      <c r="AY759" t="s">
        <v>74</v>
      </c>
      <c r="AZ759" t="s">
        <v>74</v>
      </c>
      <c r="BA759" t="s">
        <v>74</v>
      </c>
      <c r="BB759" t="s">
        <v>74</v>
      </c>
      <c r="BC759" t="s">
        <v>74</v>
      </c>
      <c r="BD759">
        <v>105204</v>
      </c>
      <c r="BE759" t="s">
        <v>14534</v>
      </c>
      <c r="BF759" t="str">
        <f>HYPERLINK("http://dx.doi.org/10.1016/j.dsr2.2022.105204","http://dx.doi.org/10.1016/j.dsr2.2022.105204")</f>
        <v>http://dx.doi.org/10.1016/j.dsr2.2022.105204</v>
      </c>
      <c r="BG759" t="s">
        <v>74</v>
      </c>
      <c r="BH759" t="s">
        <v>11396</v>
      </c>
      <c r="BI759">
        <v>15</v>
      </c>
      <c r="BJ759" t="s">
        <v>403</v>
      </c>
      <c r="BK759" t="s">
        <v>104</v>
      </c>
      <c r="BL759" t="s">
        <v>403</v>
      </c>
      <c r="BM759" t="s">
        <v>14535</v>
      </c>
      <c r="BN759" t="s">
        <v>74</v>
      </c>
      <c r="BO759" t="s">
        <v>1279</v>
      </c>
      <c r="BP759" t="s">
        <v>74</v>
      </c>
      <c r="BQ759" t="s">
        <v>74</v>
      </c>
      <c r="BR759" t="s">
        <v>108</v>
      </c>
      <c r="BS759" t="s">
        <v>14536</v>
      </c>
      <c r="BT759" t="str">
        <f>HYPERLINK("https%3A%2F%2Fwww.webofscience.com%2Fwos%2Fwoscc%2Ffull-record%2FWOS:000901783600002","View Full Record in Web of Science")</f>
        <v>View Full Record in Web of Science</v>
      </c>
    </row>
    <row r="760" spans="1:72" x14ac:dyDescent="0.15">
      <c r="A760" t="s">
        <v>72</v>
      </c>
      <c r="B760" t="s">
        <v>14537</v>
      </c>
      <c r="C760" t="s">
        <v>74</v>
      </c>
      <c r="D760" t="s">
        <v>74</v>
      </c>
      <c r="E760" t="s">
        <v>74</v>
      </c>
      <c r="F760" t="s">
        <v>14538</v>
      </c>
      <c r="G760" t="s">
        <v>74</v>
      </c>
      <c r="H760" t="s">
        <v>74</v>
      </c>
      <c r="I760" t="s">
        <v>14539</v>
      </c>
      <c r="J760" t="s">
        <v>12453</v>
      </c>
      <c r="K760" t="s">
        <v>74</v>
      </c>
      <c r="L760" t="s">
        <v>74</v>
      </c>
      <c r="M760" t="s">
        <v>78</v>
      </c>
      <c r="N760" t="s">
        <v>79</v>
      </c>
      <c r="O760" t="s">
        <v>74</v>
      </c>
      <c r="P760" t="s">
        <v>74</v>
      </c>
      <c r="Q760" t="s">
        <v>74</v>
      </c>
      <c r="R760" t="s">
        <v>74</v>
      </c>
      <c r="S760" t="s">
        <v>74</v>
      </c>
      <c r="T760" t="s">
        <v>14540</v>
      </c>
      <c r="U760" t="s">
        <v>14541</v>
      </c>
      <c r="V760" t="s">
        <v>14542</v>
      </c>
      <c r="W760" t="s">
        <v>14543</v>
      </c>
      <c r="X760" t="s">
        <v>14544</v>
      </c>
      <c r="Y760" t="s">
        <v>14545</v>
      </c>
      <c r="Z760" t="s">
        <v>14546</v>
      </c>
      <c r="AA760" t="s">
        <v>14547</v>
      </c>
      <c r="AB760" t="s">
        <v>14548</v>
      </c>
      <c r="AC760" t="s">
        <v>14549</v>
      </c>
      <c r="AD760" t="s">
        <v>14550</v>
      </c>
      <c r="AE760" t="s">
        <v>14551</v>
      </c>
      <c r="AF760" t="s">
        <v>74</v>
      </c>
      <c r="AG760">
        <v>61</v>
      </c>
      <c r="AH760">
        <v>1</v>
      </c>
      <c r="AI760">
        <v>1</v>
      </c>
      <c r="AJ760">
        <v>2</v>
      </c>
      <c r="AK760">
        <v>7</v>
      </c>
      <c r="AL760" t="s">
        <v>269</v>
      </c>
      <c r="AM760" t="s">
        <v>93</v>
      </c>
      <c r="AN760" t="s">
        <v>397</v>
      </c>
      <c r="AO760" t="s">
        <v>12466</v>
      </c>
      <c r="AP760" t="s">
        <v>12467</v>
      </c>
      <c r="AQ760" t="s">
        <v>74</v>
      </c>
      <c r="AR760" t="s">
        <v>12468</v>
      </c>
      <c r="AS760" t="s">
        <v>12469</v>
      </c>
      <c r="AT760" t="s">
        <v>9241</v>
      </c>
      <c r="AU760">
        <v>2023</v>
      </c>
      <c r="AV760">
        <v>60</v>
      </c>
      <c r="AW760" t="s">
        <v>14552</v>
      </c>
      <c r="AX760" t="s">
        <v>74</v>
      </c>
      <c r="AY760" t="s">
        <v>74</v>
      </c>
      <c r="AZ760" t="s">
        <v>74</v>
      </c>
      <c r="BA760" t="s">
        <v>74</v>
      </c>
      <c r="BB760">
        <v>4145</v>
      </c>
      <c r="BC760">
        <v>4155</v>
      </c>
      <c r="BD760" t="s">
        <v>74</v>
      </c>
      <c r="BE760" t="s">
        <v>14553</v>
      </c>
      <c r="BF760" t="str">
        <f>HYPERLINK("http://dx.doi.org/10.1007/s00382-022-06568-8","http://dx.doi.org/10.1007/s00382-022-06568-8")</f>
        <v>http://dx.doi.org/10.1007/s00382-022-06568-8</v>
      </c>
      <c r="BG760" t="s">
        <v>74</v>
      </c>
      <c r="BH760" t="s">
        <v>11396</v>
      </c>
      <c r="BI760">
        <v>11</v>
      </c>
      <c r="BJ760" t="s">
        <v>532</v>
      </c>
      <c r="BK760" t="s">
        <v>104</v>
      </c>
      <c r="BL760" t="s">
        <v>532</v>
      </c>
      <c r="BM760" t="s">
        <v>14554</v>
      </c>
      <c r="BN760" t="s">
        <v>74</v>
      </c>
      <c r="BO760" t="s">
        <v>1279</v>
      </c>
      <c r="BP760" t="s">
        <v>74</v>
      </c>
      <c r="BQ760" t="s">
        <v>74</v>
      </c>
      <c r="BR760" t="s">
        <v>108</v>
      </c>
      <c r="BS760" t="s">
        <v>14555</v>
      </c>
      <c r="BT760" t="str">
        <f>HYPERLINK("https%3A%2F%2Fwww.webofscience.com%2Fwos%2Fwoscc%2Ffull-record%2FWOS:000879155000003","View Full Record in Web of Science")</f>
        <v>View Full Record in Web of Science</v>
      </c>
    </row>
    <row r="761" spans="1:72" x14ac:dyDescent="0.15">
      <c r="A761" t="s">
        <v>72</v>
      </c>
      <c r="B761" t="s">
        <v>14556</v>
      </c>
      <c r="C761" t="s">
        <v>74</v>
      </c>
      <c r="D761" t="s">
        <v>74</v>
      </c>
      <c r="E761" t="s">
        <v>74</v>
      </c>
      <c r="F761" t="s">
        <v>14557</v>
      </c>
      <c r="G761" t="s">
        <v>74</v>
      </c>
      <c r="H761" t="s">
        <v>74</v>
      </c>
      <c r="I761" t="s">
        <v>14558</v>
      </c>
      <c r="J761" t="s">
        <v>362</v>
      </c>
      <c r="K761" t="s">
        <v>74</v>
      </c>
      <c r="L761" t="s">
        <v>74</v>
      </c>
      <c r="M761" t="s">
        <v>78</v>
      </c>
      <c r="N761" t="s">
        <v>79</v>
      </c>
      <c r="O761" t="s">
        <v>74</v>
      </c>
      <c r="P761" t="s">
        <v>74</v>
      </c>
      <c r="Q761" t="s">
        <v>74</v>
      </c>
      <c r="R761" t="s">
        <v>74</v>
      </c>
      <c r="S761" t="s">
        <v>74</v>
      </c>
      <c r="T761" t="s">
        <v>74</v>
      </c>
      <c r="U761" t="s">
        <v>14559</v>
      </c>
      <c r="V761" t="s">
        <v>14560</v>
      </c>
      <c r="W761" t="s">
        <v>14561</v>
      </c>
      <c r="X761" t="s">
        <v>14562</v>
      </c>
      <c r="Y761" t="s">
        <v>14563</v>
      </c>
      <c r="Z761" t="s">
        <v>14564</v>
      </c>
      <c r="AA761" t="s">
        <v>14565</v>
      </c>
      <c r="AB761" t="s">
        <v>14566</v>
      </c>
      <c r="AC761" t="s">
        <v>14567</v>
      </c>
      <c r="AD761" t="s">
        <v>14568</v>
      </c>
      <c r="AE761" t="s">
        <v>14569</v>
      </c>
      <c r="AF761" t="s">
        <v>74</v>
      </c>
      <c r="AG761">
        <v>100</v>
      </c>
      <c r="AH761">
        <v>12</v>
      </c>
      <c r="AI761">
        <v>12</v>
      </c>
      <c r="AJ761">
        <v>2</v>
      </c>
      <c r="AK761">
        <v>12</v>
      </c>
      <c r="AL761" t="s">
        <v>374</v>
      </c>
      <c r="AM761" t="s">
        <v>375</v>
      </c>
      <c r="AN761" t="s">
        <v>376</v>
      </c>
      <c r="AO761" t="s">
        <v>74</v>
      </c>
      <c r="AP761" t="s">
        <v>377</v>
      </c>
      <c r="AQ761" t="s">
        <v>74</v>
      </c>
      <c r="AR761" t="s">
        <v>378</v>
      </c>
      <c r="AS761" t="s">
        <v>379</v>
      </c>
      <c r="AT761" t="s">
        <v>14570</v>
      </c>
      <c r="AU761">
        <v>2022</v>
      </c>
      <c r="AV761">
        <v>3</v>
      </c>
      <c r="AW761">
        <v>1</v>
      </c>
      <c r="AX761" t="s">
        <v>74</v>
      </c>
      <c r="AY761" t="s">
        <v>74</v>
      </c>
      <c r="AZ761" t="s">
        <v>74</v>
      </c>
      <c r="BA761" t="s">
        <v>74</v>
      </c>
      <c r="BB761" t="s">
        <v>74</v>
      </c>
      <c r="BC761" t="s">
        <v>74</v>
      </c>
      <c r="BD761">
        <v>269</v>
      </c>
      <c r="BE761" t="s">
        <v>14571</v>
      </c>
      <c r="BF761" t="str">
        <f>HYPERLINK("http://dx.doi.org/10.1038/s43247-022-00588-2","http://dx.doi.org/10.1038/s43247-022-00588-2")</f>
        <v>http://dx.doi.org/10.1038/s43247-022-00588-2</v>
      </c>
      <c r="BG761" t="s">
        <v>74</v>
      </c>
      <c r="BH761" t="s">
        <v>74</v>
      </c>
      <c r="BI761">
        <v>11</v>
      </c>
      <c r="BJ761" t="s">
        <v>381</v>
      </c>
      <c r="BK761" t="s">
        <v>104</v>
      </c>
      <c r="BL761" t="s">
        <v>382</v>
      </c>
      <c r="BM761" t="s">
        <v>14572</v>
      </c>
      <c r="BN761" t="s">
        <v>74</v>
      </c>
      <c r="BO761" t="s">
        <v>14573</v>
      </c>
      <c r="BP761" t="s">
        <v>74</v>
      </c>
      <c r="BQ761" t="s">
        <v>74</v>
      </c>
      <c r="BR761" t="s">
        <v>108</v>
      </c>
      <c r="BS761" t="s">
        <v>14574</v>
      </c>
      <c r="BT761" t="str">
        <f>HYPERLINK("https%3A%2F%2Fwww.webofscience.com%2Fwos%2Fwoscc%2Ffull-record%2FWOS:000879172800002","View Full Record in Web of Science")</f>
        <v>View Full Record in Web of Science</v>
      </c>
    </row>
    <row r="762" spans="1:72" x14ac:dyDescent="0.15">
      <c r="A762" t="s">
        <v>72</v>
      </c>
      <c r="B762" t="s">
        <v>14575</v>
      </c>
      <c r="C762" t="s">
        <v>74</v>
      </c>
      <c r="D762" t="s">
        <v>74</v>
      </c>
      <c r="E762" t="s">
        <v>74</v>
      </c>
      <c r="F762" t="s">
        <v>14576</v>
      </c>
      <c r="G762" t="s">
        <v>74</v>
      </c>
      <c r="H762" t="s">
        <v>74</v>
      </c>
      <c r="I762" t="s">
        <v>14577</v>
      </c>
      <c r="J762" t="s">
        <v>14578</v>
      </c>
      <c r="K762" t="s">
        <v>74</v>
      </c>
      <c r="L762" t="s">
        <v>74</v>
      </c>
      <c r="M762" t="s">
        <v>78</v>
      </c>
      <c r="N762" t="s">
        <v>79</v>
      </c>
      <c r="O762" t="s">
        <v>74</v>
      </c>
      <c r="P762" t="s">
        <v>74</v>
      </c>
      <c r="Q762" t="s">
        <v>74</v>
      </c>
      <c r="R762" t="s">
        <v>74</v>
      </c>
      <c r="S762" t="s">
        <v>74</v>
      </c>
      <c r="T762" t="s">
        <v>14579</v>
      </c>
      <c r="U762" t="s">
        <v>14580</v>
      </c>
      <c r="V762" t="s">
        <v>14581</v>
      </c>
      <c r="W762" t="s">
        <v>14582</v>
      </c>
      <c r="X762" t="s">
        <v>14583</v>
      </c>
      <c r="Y762" t="s">
        <v>14584</v>
      </c>
      <c r="Z762" t="s">
        <v>14585</v>
      </c>
      <c r="AA762" t="s">
        <v>74</v>
      </c>
      <c r="AB762" t="s">
        <v>74</v>
      </c>
      <c r="AC762" t="s">
        <v>14586</v>
      </c>
      <c r="AD762" t="s">
        <v>14587</v>
      </c>
      <c r="AE762" t="s">
        <v>14588</v>
      </c>
      <c r="AF762" t="s">
        <v>74</v>
      </c>
      <c r="AG762">
        <v>44</v>
      </c>
      <c r="AH762">
        <v>3</v>
      </c>
      <c r="AI762">
        <v>3</v>
      </c>
      <c r="AJ762">
        <v>0</v>
      </c>
      <c r="AK762">
        <v>1</v>
      </c>
      <c r="AL762" t="s">
        <v>237</v>
      </c>
      <c r="AM762" t="s">
        <v>238</v>
      </c>
      <c r="AN762" t="s">
        <v>239</v>
      </c>
      <c r="AO762" t="s">
        <v>14589</v>
      </c>
      <c r="AP762" t="s">
        <v>14590</v>
      </c>
      <c r="AQ762" t="s">
        <v>74</v>
      </c>
      <c r="AR762" t="s">
        <v>14591</v>
      </c>
      <c r="AS762" t="s">
        <v>14592</v>
      </c>
      <c r="AT762" t="s">
        <v>9001</v>
      </c>
      <c r="AU762">
        <v>2022</v>
      </c>
      <c r="AV762">
        <v>106</v>
      </c>
      <c r="AW762" t="s">
        <v>74</v>
      </c>
      <c r="AX762" t="s">
        <v>74</v>
      </c>
      <c r="AY762" t="s">
        <v>74</v>
      </c>
      <c r="AZ762" t="s">
        <v>74</v>
      </c>
      <c r="BA762" t="s">
        <v>74</v>
      </c>
      <c r="BB762" t="s">
        <v>74</v>
      </c>
      <c r="BC762" t="s">
        <v>74</v>
      </c>
      <c r="BD762">
        <v>105382</v>
      </c>
      <c r="BE762" t="s">
        <v>14593</v>
      </c>
      <c r="BF762" t="str">
        <f>HYPERLINK("http://dx.doi.org/10.1016/j.meegid.2022.105382","http://dx.doi.org/10.1016/j.meegid.2022.105382")</f>
        <v>http://dx.doi.org/10.1016/j.meegid.2022.105382</v>
      </c>
      <c r="BG762" t="s">
        <v>74</v>
      </c>
      <c r="BH762" t="s">
        <v>11396</v>
      </c>
      <c r="BI762">
        <v>6</v>
      </c>
      <c r="BJ762" t="s">
        <v>14594</v>
      </c>
      <c r="BK762" t="s">
        <v>104</v>
      </c>
      <c r="BL762" t="s">
        <v>14594</v>
      </c>
      <c r="BM762" t="s">
        <v>14595</v>
      </c>
      <c r="BN762">
        <v>36336276</v>
      </c>
      <c r="BO762" t="s">
        <v>74</v>
      </c>
      <c r="BP762" t="s">
        <v>74</v>
      </c>
      <c r="BQ762" t="s">
        <v>74</v>
      </c>
      <c r="BR762" t="s">
        <v>108</v>
      </c>
      <c r="BS762" t="s">
        <v>14596</v>
      </c>
      <c r="BT762" t="str">
        <f>HYPERLINK("https%3A%2F%2Fwww.webofscience.com%2Fwos%2Fwoscc%2Ffull-record%2FWOS:000967844800001","View Full Record in Web of Science")</f>
        <v>View Full Record in Web of Science</v>
      </c>
    </row>
    <row r="763" spans="1:72" x14ac:dyDescent="0.15">
      <c r="A763" t="s">
        <v>72</v>
      </c>
      <c r="B763" t="s">
        <v>14597</v>
      </c>
      <c r="C763" t="s">
        <v>74</v>
      </c>
      <c r="D763" t="s">
        <v>74</v>
      </c>
      <c r="E763" t="s">
        <v>74</v>
      </c>
      <c r="F763" t="s">
        <v>14598</v>
      </c>
      <c r="G763" t="s">
        <v>74</v>
      </c>
      <c r="H763" t="s">
        <v>74</v>
      </c>
      <c r="I763" t="s">
        <v>14599</v>
      </c>
      <c r="J763" t="s">
        <v>7470</v>
      </c>
      <c r="K763" t="s">
        <v>74</v>
      </c>
      <c r="L763" t="s">
        <v>74</v>
      </c>
      <c r="M763" t="s">
        <v>78</v>
      </c>
      <c r="N763" t="s">
        <v>79</v>
      </c>
      <c r="O763" t="s">
        <v>74</v>
      </c>
      <c r="P763" t="s">
        <v>74</v>
      </c>
      <c r="Q763" t="s">
        <v>74</v>
      </c>
      <c r="R763" t="s">
        <v>74</v>
      </c>
      <c r="S763" t="s">
        <v>74</v>
      </c>
      <c r="T763" t="s">
        <v>14600</v>
      </c>
      <c r="U763" t="s">
        <v>14601</v>
      </c>
      <c r="V763" t="s">
        <v>14602</v>
      </c>
      <c r="W763" t="s">
        <v>14603</v>
      </c>
      <c r="X763" t="s">
        <v>14604</v>
      </c>
      <c r="Y763" t="s">
        <v>14605</v>
      </c>
      <c r="Z763" t="s">
        <v>14606</v>
      </c>
      <c r="AA763" t="s">
        <v>74</v>
      </c>
      <c r="AB763" t="s">
        <v>74</v>
      </c>
      <c r="AC763" t="s">
        <v>74</v>
      </c>
      <c r="AD763" t="s">
        <v>74</v>
      </c>
      <c r="AE763" t="s">
        <v>74</v>
      </c>
      <c r="AF763" t="s">
        <v>74</v>
      </c>
      <c r="AG763">
        <v>28</v>
      </c>
      <c r="AH763">
        <v>2</v>
      </c>
      <c r="AI763">
        <v>2</v>
      </c>
      <c r="AJ763">
        <v>0</v>
      </c>
      <c r="AK763">
        <v>0</v>
      </c>
      <c r="AL763" t="s">
        <v>6610</v>
      </c>
      <c r="AM763" t="s">
        <v>1372</v>
      </c>
      <c r="AN763" t="s">
        <v>6611</v>
      </c>
      <c r="AO763" t="s">
        <v>7483</v>
      </c>
      <c r="AP763" t="s">
        <v>7484</v>
      </c>
      <c r="AQ763" t="s">
        <v>74</v>
      </c>
      <c r="AR763" t="s">
        <v>7470</v>
      </c>
      <c r="AS763" t="s">
        <v>7485</v>
      </c>
      <c r="AT763" t="s">
        <v>14607</v>
      </c>
      <c r="AU763">
        <v>2022</v>
      </c>
      <c r="AV763" t="s">
        <v>74</v>
      </c>
      <c r="AW763">
        <v>1128</v>
      </c>
      <c r="AX763" t="s">
        <v>74</v>
      </c>
      <c r="AY763" t="s">
        <v>74</v>
      </c>
      <c r="AZ763" t="s">
        <v>74</v>
      </c>
      <c r="BA763" t="s">
        <v>74</v>
      </c>
      <c r="BB763">
        <v>33</v>
      </c>
      <c r="BC763">
        <v>45</v>
      </c>
      <c r="BD763" t="s">
        <v>74</v>
      </c>
      <c r="BE763" t="s">
        <v>14608</v>
      </c>
      <c r="BF763" t="str">
        <f>HYPERLINK("http://dx.doi.org/10.3897/zookeys.1128.84944","http://dx.doi.org/10.3897/zookeys.1128.84944")</f>
        <v>http://dx.doi.org/10.3897/zookeys.1128.84944</v>
      </c>
      <c r="BG763" t="s">
        <v>74</v>
      </c>
      <c r="BH763" t="s">
        <v>74</v>
      </c>
      <c r="BI763">
        <v>13</v>
      </c>
      <c r="BJ763" t="s">
        <v>2468</v>
      </c>
      <c r="BK763" t="s">
        <v>104</v>
      </c>
      <c r="BL763" t="s">
        <v>2468</v>
      </c>
      <c r="BM763" t="s">
        <v>14609</v>
      </c>
      <c r="BN763">
        <v>36762235</v>
      </c>
      <c r="BO763" t="s">
        <v>3181</v>
      </c>
      <c r="BP763" t="s">
        <v>74</v>
      </c>
      <c r="BQ763" t="s">
        <v>74</v>
      </c>
      <c r="BR763" t="s">
        <v>108</v>
      </c>
      <c r="BS763" t="s">
        <v>14610</v>
      </c>
      <c r="BT763" t="str">
        <f>HYPERLINK("https%3A%2F%2Fwww.webofscience.com%2Fwos%2Fwoscc%2Ffull-record%2FWOS:000930659000003","View Full Record in Web of Science")</f>
        <v>View Full Record in Web of Science</v>
      </c>
    </row>
    <row r="764" spans="1:72" x14ac:dyDescent="0.15">
      <c r="A764" t="s">
        <v>72</v>
      </c>
      <c r="B764" t="s">
        <v>14611</v>
      </c>
      <c r="C764" t="s">
        <v>74</v>
      </c>
      <c r="D764" t="s">
        <v>74</v>
      </c>
      <c r="E764" t="s">
        <v>74</v>
      </c>
      <c r="F764" t="s">
        <v>14612</v>
      </c>
      <c r="G764" t="s">
        <v>74</v>
      </c>
      <c r="H764" t="s">
        <v>74</v>
      </c>
      <c r="I764" t="s">
        <v>14613</v>
      </c>
      <c r="J764" t="s">
        <v>462</v>
      </c>
      <c r="K764" t="s">
        <v>74</v>
      </c>
      <c r="L764" t="s">
        <v>74</v>
      </c>
      <c r="M764" t="s">
        <v>78</v>
      </c>
      <c r="N764" t="s">
        <v>79</v>
      </c>
      <c r="O764" t="s">
        <v>74</v>
      </c>
      <c r="P764" t="s">
        <v>74</v>
      </c>
      <c r="Q764" t="s">
        <v>74</v>
      </c>
      <c r="R764" t="s">
        <v>74</v>
      </c>
      <c r="S764" t="s">
        <v>74</v>
      </c>
      <c r="T764" t="s">
        <v>14614</v>
      </c>
      <c r="U764" t="s">
        <v>14615</v>
      </c>
      <c r="V764" t="s">
        <v>14616</v>
      </c>
      <c r="W764" t="s">
        <v>14617</v>
      </c>
      <c r="X764" t="s">
        <v>14618</v>
      </c>
      <c r="Y764" t="s">
        <v>14619</v>
      </c>
      <c r="Z764" t="s">
        <v>14620</v>
      </c>
      <c r="AA764" t="s">
        <v>14621</v>
      </c>
      <c r="AB764" t="s">
        <v>14622</v>
      </c>
      <c r="AC764" t="s">
        <v>14623</v>
      </c>
      <c r="AD764" t="s">
        <v>14623</v>
      </c>
      <c r="AE764" t="s">
        <v>14624</v>
      </c>
      <c r="AF764" t="s">
        <v>74</v>
      </c>
      <c r="AG764">
        <v>74</v>
      </c>
      <c r="AH764">
        <v>2</v>
      </c>
      <c r="AI764">
        <v>2</v>
      </c>
      <c r="AJ764">
        <v>3</v>
      </c>
      <c r="AK764">
        <v>7</v>
      </c>
      <c r="AL764" t="s">
        <v>237</v>
      </c>
      <c r="AM764" t="s">
        <v>238</v>
      </c>
      <c r="AN764" t="s">
        <v>239</v>
      </c>
      <c r="AO764" t="s">
        <v>475</v>
      </c>
      <c r="AP764" t="s">
        <v>476</v>
      </c>
      <c r="AQ764" t="s">
        <v>74</v>
      </c>
      <c r="AR764" t="s">
        <v>477</v>
      </c>
      <c r="AS764" t="s">
        <v>478</v>
      </c>
      <c r="AT764" t="s">
        <v>609</v>
      </c>
      <c r="AU764">
        <v>2023</v>
      </c>
      <c r="AV764">
        <v>858</v>
      </c>
      <c r="AW764" t="s">
        <v>74</v>
      </c>
      <c r="AX764">
        <v>1</v>
      </c>
      <c r="AY764" t="s">
        <v>74</v>
      </c>
      <c r="AZ764" t="s">
        <v>74</v>
      </c>
      <c r="BA764" t="s">
        <v>74</v>
      </c>
      <c r="BB764" t="s">
        <v>74</v>
      </c>
      <c r="BC764" t="s">
        <v>74</v>
      </c>
      <c r="BD764">
        <v>159770</v>
      </c>
      <c r="BE764" t="s">
        <v>14625</v>
      </c>
      <c r="BF764" t="str">
        <f>HYPERLINK("http://dx.doi.org/10.1016/j.scitotenv.2022.159770","http://dx.doi.org/10.1016/j.scitotenv.2022.159770")</f>
        <v>http://dx.doi.org/10.1016/j.scitotenv.2022.159770</v>
      </c>
      <c r="BG764" t="s">
        <v>74</v>
      </c>
      <c r="BH764" t="s">
        <v>11396</v>
      </c>
      <c r="BI764">
        <v>15</v>
      </c>
      <c r="BJ764" t="s">
        <v>216</v>
      </c>
      <c r="BK764" t="s">
        <v>104</v>
      </c>
      <c r="BL764" t="s">
        <v>217</v>
      </c>
      <c r="BM764" t="s">
        <v>14626</v>
      </c>
      <c r="BN764">
        <v>36309254</v>
      </c>
      <c r="BO764" t="s">
        <v>74</v>
      </c>
      <c r="BP764" t="s">
        <v>74</v>
      </c>
      <c r="BQ764" t="s">
        <v>74</v>
      </c>
      <c r="BR764" t="s">
        <v>108</v>
      </c>
      <c r="BS764" t="s">
        <v>14627</v>
      </c>
      <c r="BT764" t="str">
        <f>HYPERLINK("https%3A%2F%2Fwww.webofscience.com%2Fwos%2Fwoscc%2Ffull-record%2FWOS:000913196100006","View Full Record in Web of Science")</f>
        <v>View Full Record in Web of Science</v>
      </c>
    </row>
    <row r="765" spans="1:72" x14ac:dyDescent="0.15">
      <c r="A765" t="s">
        <v>72</v>
      </c>
      <c r="B765" t="s">
        <v>14628</v>
      </c>
      <c r="C765" t="s">
        <v>74</v>
      </c>
      <c r="D765" t="s">
        <v>74</v>
      </c>
      <c r="E765" t="s">
        <v>74</v>
      </c>
      <c r="F765" t="s">
        <v>14629</v>
      </c>
      <c r="G765" t="s">
        <v>74</v>
      </c>
      <c r="H765" t="s">
        <v>74</v>
      </c>
      <c r="I765" t="s">
        <v>14630</v>
      </c>
      <c r="J765" t="s">
        <v>14631</v>
      </c>
      <c r="K765" t="s">
        <v>74</v>
      </c>
      <c r="L765" t="s">
        <v>74</v>
      </c>
      <c r="M765" t="s">
        <v>78</v>
      </c>
      <c r="N765" t="s">
        <v>256</v>
      </c>
      <c r="O765" t="s">
        <v>74</v>
      </c>
      <c r="P765" t="s">
        <v>74</v>
      </c>
      <c r="Q765" t="s">
        <v>74</v>
      </c>
      <c r="R765" t="s">
        <v>74</v>
      </c>
      <c r="S765" t="s">
        <v>74</v>
      </c>
      <c r="T765" t="s">
        <v>74</v>
      </c>
      <c r="U765" t="s">
        <v>14632</v>
      </c>
      <c r="V765" t="s">
        <v>14633</v>
      </c>
      <c r="W765" t="s">
        <v>14634</v>
      </c>
      <c r="X765" t="s">
        <v>14635</v>
      </c>
      <c r="Y765" t="s">
        <v>14636</v>
      </c>
      <c r="Z765" t="s">
        <v>14637</v>
      </c>
      <c r="AA765" t="s">
        <v>14638</v>
      </c>
      <c r="AB765" t="s">
        <v>14639</v>
      </c>
      <c r="AC765" t="s">
        <v>14640</v>
      </c>
      <c r="AD765" t="s">
        <v>14641</v>
      </c>
      <c r="AE765" t="s">
        <v>14642</v>
      </c>
      <c r="AF765" t="s">
        <v>74</v>
      </c>
      <c r="AG765">
        <v>93</v>
      </c>
      <c r="AH765">
        <v>3</v>
      </c>
      <c r="AI765">
        <v>4</v>
      </c>
      <c r="AJ765">
        <v>4</v>
      </c>
      <c r="AK765">
        <v>23</v>
      </c>
      <c r="AL765" t="s">
        <v>7639</v>
      </c>
      <c r="AM765" t="s">
        <v>7640</v>
      </c>
      <c r="AN765" t="s">
        <v>7641</v>
      </c>
      <c r="AO765" t="s">
        <v>74</v>
      </c>
      <c r="AP765" t="s">
        <v>14643</v>
      </c>
      <c r="AQ765" t="s">
        <v>74</v>
      </c>
      <c r="AR765" t="s">
        <v>14631</v>
      </c>
      <c r="AS765" t="s">
        <v>14644</v>
      </c>
      <c r="AT765" t="s">
        <v>13021</v>
      </c>
      <c r="AU765">
        <v>2022</v>
      </c>
      <c r="AV765">
        <v>25</v>
      </c>
      <c r="AW765">
        <v>11</v>
      </c>
      <c r="AX765" t="s">
        <v>74</v>
      </c>
      <c r="AY765" t="s">
        <v>74</v>
      </c>
      <c r="AZ765" t="s">
        <v>74</v>
      </c>
      <c r="BA765" t="s">
        <v>74</v>
      </c>
      <c r="BB765" t="s">
        <v>74</v>
      </c>
      <c r="BC765" t="s">
        <v>74</v>
      </c>
      <c r="BD765">
        <v>105423</v>
      </c>
      <c r="BE765" t="s">
        <v>14645</v>
      </c>
      <c r="BF765" t="str">
        <f>HYPERLINK("http://dx.doi.org/10.1016/j.isci.2022.105423","http://dx.doi.org/10.1016/j.isci.2022.105423")</f>
        <v>http://dx.doi.org/10.1016/j.isci.2022.105423</v>
      </c>
      <c r="BG765" t="s">
        <v>74</v>
      </c>
      <c r="BH765" t="s">
        <v>11396</v>
      </c>
      <c r="BI765">
        <v>11</v>
      </c>
      <c r="BJ765" t="s">
        <v>189</v>
      </c>
      <c r="BK765" t="s">
        <v>104</v>
      </c>
      <c r="BL765" t="s">
        <v>190</v>
      </c>
      <c r="BM765" t="s">
        <v>14646</v>
      </c>
      <c r="BN765">
        <v>36388962</v>
      </c>
      <c r="BO765" t="s">
        <v>3561</v>
      </c>
      <c r="BP765" t="s">
        <v>74</v>
      </c>
      <c r="BQ765" t="s">
        <v>74</v>
      </c>
      <c r="BR765" t="s">
        <v>108</v>
      </c>
      <c r="BS765" t="s">
        <v>14647</v>
      </c>
      <c r="BT765" t="str">
        <f>HYPERLINK("https%3A%2F%2Fwww.webofscience.com%2Fwos%2Fwoscc%2Ffull-record%2FWOS:000891246600002","View Full Record in Web of Science")</f>
        <v>View Full Record in Web of Science</v>
      </c>
    </row>
    <row r="766" spans="1:72" x14ac:dyDescent="0.15">
      <c r="A766" t="s">
        <v>72</v>
      </c>
      <c r="B766" t="s">
        <v>14648</v>
      </c>
      <c r="C766" t="s">
        <v>74</v>
      </c>
      <c r="D766" t="s">
        <v>74</v>
      </c>
      <c r="E766" t="s">
        <v>74</v>
      </c>
      <c r="F766" t="s">
        <v>14649</v>
      </c>
      <c r="G766" t="s">
        <v>74</v>
      </c>
      <c r="H766" t="s">
        <v>74</v>
      </c>
      <c r="I766" t="s">
        <v>14650</v>
      </c>
      <c r="J766" t="s">
        <v>362</v>
      </c>
      <c r="K766" t="s">
        <v>74</v>
      </c>
      <c r="L766" t="s">
        <v>74</v>
      </c>
      <c r="M766" t="s">
        <v>78</v>
      </c>
      <c r="N766" t="s">
        <v>79</v>
      </c>
      <c r="O766" t="s">
        <v>74</v>
      </c>
      <c r="P766" t="s">
        <v>74</v>
      </c>
      <c r="Q766" t="s">
        <v>74</v>
      </c>
      <c r="R766" t="s">
        <v>74</v>
      </c>
      <c r="S766" t="s">
        <v>74</v>
      </c>
      <c r="T766" t="s">
        <v>74</v>
      </c>
      <c r="U766" t="s">
        <v>14651</v>
      </c>
      <c r="V766" t="s">
        <v>14652</v>
      </c>
      <c r="W766" t="s">
        <v>14653</v>
      </c>
      <c r="X766" t="s">
        <v>14654</v>
      </c>
      <c r="Y766" t="s">
        <v>14655</v>
      </c>
      <c r="Z766" t="s">
        <v>14656</v>
      </c>
      <c r="AA766" t="s">
        <v>14657</v>
      </c>
      <c r="AB766" t="s">
        <v>14658</v>
      </c>
      <c r="AC766" t="s">
        <v>14659</v>
      </c>
      <c r="AD766" t="s">
        <v>14660</v>
      </c>
      <c r="AE766" t="s">
        <v>14661</v>
      </c>
      <c r="AF766" t="s">
        <v>74</v>
      </c>
      <c r="AG766">
        <v>59</v>
      </c>
      <c r="AH766">
        <v>2</v>
      </c>
      <c r="AI766">
        <v>2</v>
      </c>
      <c r="AJ766">
        <v>0</v>
      </c>
      <c r="AK766">
        <v>4</v>
      </c>
      <c r="AL766" t="s">
        <v>374</v>
      </c>
      <c r="AM766" t="s">
        <v>375</v>
      </c>
      <c r="AN766" t="s">
        <v>376</v>
      </c>
      <c r="AO766" t="s">
        <v>74</v>
      </c>
      <c r="AP766" t="s">
        <v>377</v>
      </c>
      <c r="AQ766" t="s">
        <v>74</v>
      </c>
      <c r="AR766" t="s">
        <v>378</v>
      </c>
      <c r="AS766" t="s">
        <v>379</v>
      </c>
      <c r="AT766" t="s">
        <v>14607</v>
      </c>
      <c r="AU766">
        <v>2022</v>
      </c>
      <c r="AV766">
        <v>3</v>
      </c>
      <c r="AW766">
        <v>1</v>
      </c>
      <c r="AX766" t="s">
        <v>74</v>
      </c>
      <c r="AY766" t="s">
        <v>74</v>
      </c>
      <c r="AZ766" t="s">
        <v>74</v>
      </c>
      <c r="BA766" t="s">
        <v>74</v>
      </c>
      <c r="BB766" t="s">
        <v>74</v>
      </c>
      <c r="BC766" t="s">
        <v>74</v>
      </c>
      <c r="BD766">
        <v>265</v>
      </c>
      <c r="BE766" t="s">
        <v>14662</v>
      </c>
      <c r="BF766" t="str">
        <f>HYPERLINK("http://dx.doi.org/10.1038/s43247-022-00592-6","http://dx.doi.org/10.1038/s43247-022-00592-6")</f>
        <v>http://dx.doi.org/10.1038/s43247-022-00592-6</v>
      </c>
      <c r="BG766" t="s">
        <v>74</v>
      </c>
      <c r="BH766" t="s">
        <v>74</v>
      </c>
      <c r="BI766">
        <v>9</v>
      </c>
      <c r="BJ766" t="s">
        <v>381</v>
      </c>
      <c r="BK766" t="s">
        <v>104</v>
      </c>
      <c r="BL766" t="s">
        <v>382</v>
      </c>
      <c r="BM766" t="s">
        <v>14663</v>
      </c>
      <c r="BN766" t="s">
        <v>74</v>
      </c>
      <c r="BO766" t="s">
        <v>14664</v>
      </c>
      <c r="BP766" t="s">
        <v>74</v>
      </c>
      <c r="BQ766" t="s">
        <v>74</v>
      </c>
      <c r="BR766" t="s">
        <v>108</v>
      </c>
      <c r="BS766" t="s">
        <v>14665</v>
      </c>
      <c r="BT766" t="str">
        <f>HYPERLINK("https%3A%2F%2Fwww.webofscience.com%2Fwos%2Fwoscc%2Ffull-record%2FWOS:000879037400002","View Full Record in Web of Science")</f>
        <v>View Full Record in Web of Science</v>
      </c>
    </row>
    <row r="767" spans="1:72" x14ac:dyDescent="0.15">
      <c r="A767" t="s">
        <v>72</v>
      </c>
      <c r="B767" t="s">
        <v>14666</v>
      </c>
      <c r="C767" t="s">
        <v>74</v>
      </c>
      <c r="D767" t="s">
        <v>74</v>
      </c>
      <c r="E767" t="s">
        <v>74</v>
      </c>
      <c r="F767" t="s">
        <v>14667</v>
      </c>
      <c r="G767" t="s">
        <v>74</v>
      </c>
      <c r="H767" t="s">
        <v>74</v>
      </c>
      <c r="I767" t="s">
        <v>14668</v>
      </c>
      <c r="J767" t="s">
        <v>14669</v>
      </c>
      <c r="K767" t="s">
        <v>74</v>
      </c>
      <c r="L767" t="s">
        <v>74</v>
      </c>
      <c r="M767" t="s">
        <v>78</v>
      </c>
      <c r="N767" t="s">
        <v>79</v>
      </c>
      <c r="O767" t="s">
        <v>74</v>
      </c>
      <c r="P767" t="s">
        <v>74</v>
      </c>
      <c r="Q767" t="s">
        <v>74</v>
      </c>
      <c r="R767" t="s">
        <v>74</v>
      </c>
      <c r="S767" t="s">
        <v>74</v>
      </c>
      <c r="T767" t="s">
        <v>74</v>
      </c>
      <c r="U767" t="s">
        <v>14670</v>
      </c>
      <c r="V767" t="s">
        <v>14671</v>
      </c>
      <c r="W767" t="s">
        <v>14672</v>
      </c>
      <c r="X767" t="s">
        <v>14673</v>
      </c>
      <c r="Y767" t="s">
        <v>14674</v>
      </c>
      <c r="Z767" t="s">
        <v>14675</v>
      </c>
      <c r="AA767" t="s">
        <v>14676</v>
      </c>
      <c r="AB767" t="s">
        <v>14677</v>
      </c>
      <c r="AC767" t="s">
        <v>74</v>
      </c>
      <c r="AD767" t="s">
        <v>74</v>
      </c>
      <c r="AE767" t="s">
        <v>74</v>
      </c>
      <c r="AF767" t="s">
        <v>74</v>
      </c>
      <c r="AG767">
        <v>66</v>
      </c>
      <c r="AH767">
        <v>6</v>
      </c>
      <c r="AI767">
        <v>6</v>
      </c>
      <c r="AJ767">
        <v>0</v>
      </c>
      <c r="AK767">
        <v>5</v>
      </c>
      <c r="AL767" t="s">
        <v>14678</v>
      </c>
      <c r="AM767" t="s">
        <v>14679</v>
      </c>
      <c r="AN767" t="s">
        <v>14680</v>
      </c>
      <c r="AO767" t="s">
        <v>14681</v>
      </c>
      <c r="AP767" t="s">
        <v>14682</v>
      </c>
      <c r="AQ767" t="s">
        <v>74</v>
      </c>
      <c r="AR767" t="s">
        <v>14683</v>
      </c>
      <c r="AS767" t="s">
        <v>14684</v>
      </c>
      <c r="AT767" t="s">
        <v>14607</v>
      </c>
      <c r="AU767">
        <v>2022</v>
      </c>
      <c r="AV767">
        <v>179</v>
      </c>
      <c r="AW767">
        <v>6</v>
      </c>
      <c r="AX767" t="s">
        <v>74</v>
      </c>
      <c r="AY767" t="s">
        <v>74</v>
      </c>
      <c r="AZ767" t="s">
        <v>74</v>
      </c>
      <c r="BA767" t="s">
        <v>74</v>
      </c>
      <c r="BB767" t="s">
        <v>74</v>
      </c>
      <c r="BC767" t="s">
        <v>74</v>
      </c>
      <c r="BD767" t="s">
        <v>74</v>
      </c>
      <c r="BE767" t="s">
        <v>14685</v>
      </c>
      <c r="BF767" t="str">
        <f>HYPERLINK("http://dx.doi.org/10.1144/jgs2022-008","http://dx.doi.org/10.1144/jgs2022-008")</f>
        <v>http://dx.doi.org/10.1144/jgs2022-008</v>
      </c>
      <c r="BG767" t="s">
        <v>74</v>
      </c>
      <c r="BH767" t="s">
        <v>74</v>
      </c>
      <c r="BI767">
        <v>11</v>
      </c>
      <c r="BJ767" t="s">
        <v>455</v>
      </c>
      <c r="BK767" t="s">
        <v>104</v>
      </c>
      <c r="BL767" t="s">
        <v>456</v>
      </c>
      <c r="BM767" t="s">
        <v>14686</v>
      </c>
      <c r="BN767" t="s">
        <v>74</v>
      </c>
      <c r="BO767" t="s">
        <v>14687</v>
      </c>
      <c r="BP767" t="s">
        <v>74</v>
      </c>
      <c r="BQ767" t="s">
        <v>74</v>
      </c>
      <c r="BR767" t="s">
        <v>108</v>
      </c>
      <c r="BS767" t="s">
        <v>14688</v>
      </c>
      <c r="BT767" t="str">
        <f>HYPERLINK("https%3A%2F%2Fwww.webofscience.com%2Fwos%2Fwoscc%2Ffull-record%2FWOS:000861737200001","View Full Record in Web of Science")</f>
        <v>View Full Record in Web of Science</v>
      </c>
    </row>
    <row r="768" spans="1:72" x14ac:dyDescent="0.15">
      <c r="A768" t="s">
        <v>72</v>
      </c>
      <c r="B768" t="s">
        <v>14689</v>
      </c>
      <c r="C768" t="s">
        <v>74</v>
      </c>
      <c r="D768" t="s">
        <v>74</v>
      </c>
      <c r="E768" t="s">
        <v>74</v>
      </c>
      <c r="F768" t="s">
        <v>14690</v>
      </c>
      <c r="G768" t="s">
        <v>74</v>
      </c>
      <c r="H768" t="s">
        <v>74</v>
      </c>
      <c r="I768" t="s">
        <v>14691</v>
      </c>
      <c r="J768" t="s">
        <v>7998</v>
      </c>
      <c r="K768" t="s">
        <v>74</v>
      </c>
      <c r="L768" t="s">
        <v>74</v>
      </c>
      <c r="M768" t="s">
        <v>78</v>
      </c>
      <c r="N768" t="s">
        <v>256</v>
      </c>
      <c r="O768" t="s">
        <v>74</v>
      </c>
      <c r="P768" t="s">
        <v>74</v>
      </c>
      <c r="Q768" t="s">
        <v>74</v>
      </c>
      <c r="R768" t="s">
        <v>74</v>
      </c>
      <c r="S768" t="s">
        <v>74</v>
      </c>
      <c r="T768" t="s">
        <v>14692</v>
      </c>
      <c r="U768" t="s">
        <v>14693</v>
      </c>
      <c r="V768" t="s">
        <v>14694</v>
      </c>
      <c r="W768" t="s">
        <v>14695</v>
      </c>
      <c r="X768" t="s">
        <v>14696</v>
      </c>
      <c r="Y768" t="s">
        <v>14697</v>
      </c>
      <c r="Z768" t="s">
        <v>14698</v>
      </c>
      <c r="AA768" t="s">
        <v>14699</v>
      </c>
      <c r="AB768" t="s">
        <v>14700</v>
      </c>
      <c r="AC768" t="s">
        <v>14701</v>
      </c>
      <c r="AD768" t="s">
        <v>14702</v>
      </c>
      <c r="AE768" t="s">
        <v>14703</v>
      </c>
      <c r="AF768" t="s">
        <v>74</v>
      </c>
      <c r="AG768">
        <v>117</v>
      </c>
      <c r="AH768">
        <v>1</v>
      </c>
      <c r="AI768">
        <v>1</v>
      </c>
      <c r="AJ768">
        <v>4</v>
      </c>
      <c r="AK768">
        <v>13</v>
      </c>
      <c r="AL768" t="s">
        <v>603</v>
      </c>
      <c r="AM768" t="s">
        <v>208</v>
      </c>
      <c r="AN768" t="s">
        <v>604</v>
      </c>
      <c r="AO768" t="s">
        <v>8011</v>
      </c>
      <c r="AP768" t="s">
        <v>8012</v>
      </c>
      <c r="AQ768" t="s">
        <v>74</v>
      </c>
      <c r="AR768" t="s">
        <v>8013</v>
      </c>
      <c r="AS768" t="s">
        <v>8014</v>
      </c>
      <c r="AT768" t="s">
        <v>9001</v>
      </c>
      <c r="AU768">
        <v>2022</v>
      </c>
      <c r="AV768">
        <v>209</v>
      </c>
      <c r="AW768" t="s">
        <v>74</v>
      </c>
      <c r="AX768" t="s">
        <v>74</v>
      </c>
      <c r="AY768" t="s">
        <v>74</v>
      </c>
      <c r="AZ768" t="s">
        <v>74</v>
      </c>
      <c r="BA768" t="s">
        <v>74</v>
      </c>
      <c r="BB768" t="s">
        <v>74</v>
      </c>
      <c r="BC768" t="s">
        <v>74</v>
      </c>
      <c r="BD768">
        <v>102904</v>
      </c>
      <c r="BE768" t="s">
        <v>14704</v>
      </c>
      <c r="BF768" t="str">
        <f>HYPERLINK("http://dx.doi.org/10.1016/j.pocean.2022.102904","http://dx.doi.org/10.1016/j.pocean.2022.102904")</f>
        <v>http://dx.doi.org/10.1016/j.pocean.2022.102904</v>
      </c>
      <c r="BG768" t="s">
        <v>74</v>
      </c>
      <c r="BH768" t="s">
        <v>11396</v>
      </c>
      <c r="BI768">
        <v>28</v>
      </c>
      <c r="BJ768" t="s">
        <v>403</v>
      </c>
      <c r="BK768" t="s">
        <v>104</v>
      </c>
      <c r="BL768" t="s">
        <v>403</v>
      </c>
      <c r="BM768" t="s">
        <v>14705</v>
      </c>
      <c r="BN768" t="s">
        <v>74</v>
      </c>
      <c r="BO768" t="s">
        <v>219</v>
      </c>
      <c r="BP768" t="s">
        <v>74</v>
      </c>
      <c r="BQ768" t="s">
        <v>74</v>
      </c>
      <c r="BR768" t="s">
        <v>108</v>
      </c>
      <c r="BS768" t="s">
        <v>14706</v>
      </c>
      <c r="BT768" t="str">
        <f>HYPERLINK("https%3A%2F%2Fwww.webofscience.com%2Fwos%2Fwoscc%2Ffull-record%2FWOS:000918073600001","View Full Record in Web of Science")</f>
        <v>View Full Record in Web of Science</v>
      </c>
    </row>
    <row r="769" spans="1:72" x14ac:dyDescent="0.15">
      <c r="A769" t="s">
        <v>72</v>
      </c>
      <c r="B769" t="s">
        <v>14707</v>
      </c>
      <c r="C769" t="s">
        <v>74</v>
      </c>
      <c r="D769" t="s">
        <v>74</v>
      </c>
      <c r="E769" t="s">
        <v>74</v>
      </c>
      <c r="F769" t="s">
        <v>14708</v>
      </c>
      <c r="G769" t="s">
        <v>74</v>
      </c>
      <c r="H769" t="s">
        <v>74</v>
      </c>
      <c r="I769" t="s">
        <v>14709</v>
      </c>
      <c r="J769" t="s">
        <v>8235</v>
      </c>
      <c r="K769" t="s">
        <v>74</v>
      </c>
      <c r="L769" t="s">
        <v>74</v>
      </c>
      <c r="M769" t="s">
        <v>78</v>
      </c>
      <c r="N769" t="s">
        <v>79</v>
      </c>
      <c r="O769" t="s">
        <v>74</v>
      </c>
      <c r="P769" t="s">
        <v>74</v>
      </c>
      <c r="Q769" t="s">
        <v>74</v>
      </c>
      <c r="R769" t="s">
        <v>74</v>
      </c>
      <c r="S769" t="s">
        <v>74</v>
      </c>
      <c r="T769" t="s">
        <v>14710</v>
      </c>
      <c r="U769" t="s">
        <v>14711</v>
      </c>
      <c r="V769" t="s">
        <v>14712</v>
      </c>
      <c r="W769" t="s">
        <v>14713</v>
      </c>
      <c r="X769" t="s">
        <v>14714</v>
      </c>
      <c r="Y769" t="s">
        <v>14715</v>
      </c>
      <c r="Z769" t="s">
        <v>14716</v>
      </c>
      <c r="AA769" t="s">
        <v>14717</v>
      </c>
      <c r="AB769" t="s">
        <v>14718</v>
      </c>
      <c r="AC769" t="s">
        <v>14719</v>
      </c>
      <c r="AD769" t="s">
        <v>14720</v>
      </c>
      <c r="AE769" t="s">
        <v>14721</v>
      </c>
      <c r="AF769" t="s">
        <v>74</v>
      </c>
      <c r="AG769">
        <v>117</v>
      </c>
      <c r="AH769">
        <v>1</v>
      </c>
      <c r="AI769">
        <v>1</v>
      </c>
      <c r="AJ769">
        <v>5</v>
      </c>
      <c r="AK769">
        <v>17</v>
      </c>
      <c r="AL769" t="s">
        <v>603</v>
      </c>
      <c r="AM769" t="s">
        <v>208</v>
      </c>
      <c r="AN769" t="s">
        <v>604</v>
      </c>
      <c r="AO769" t="s">
        <v>8248</v>
      </c>
      <c r="AP769" t="s">
        <v>8249</v>
      </c>
      <c r="AQ769" t="s">
        <v>74</v>
      </c>
      <c r="AR769" t="s">
        <v>8250</v>
      </c>
      <c r="AS769" t="s">
        <v>8251</v>
      </c>
      <c r="AT769" t="s">
        <v>9001</v>
      </c>
      <c r="AU769">
        <v>2022</v>
      </c>
      <c r="AV769">
        <v>190</v>
      </c>
      <c r="AW769" t="s">
        <v>74</v>
      </c>
      <c r="AX769" t="s">
        <v>74</v>
      </c>
      <c r="AY769" t="s">
        <v>74</v>
      </c>
      <c r="AZ769" t="s">
        <v>74</v>
      </c>
      <c r="BA769" t="s">
        <v>74</v>
      </c>
      <c r="BB769" t="s">
        <v>74</v>
      </c>
      <c r="BC769" t="s">
        <v>74</v>
      </c>
      <c r="BD769">
        <v>103899</v>
      </c>
      <c r="BE769" t="s">
        <v>14722</v>
      </c>
      <c r="BF769" t="str">
        <f>HYPERLINK("http://dx.doi.org/10.1016/j.dsr.2022.103899","http://dx.doi.org/10.1016/j.dsr.2022.103899")</f>
        <v>http://dx.doi.org/10.1016/j.dsr.2022.103899</v>
      </c>
      <c r="BG769" t="s">
        <v>74</v>
      </c>
      <c r="BH769" t="s">
        <v>11396</v>
      </c>
      <c r="BI769">
        <v>14</v>
      </c>
      <c r="BJ769" t="s">
        <v>403</v>
      </c>
      <c r="BK769" t="s">
        <v>104</v>
      </c>
      <c r="BL769" t="s">
        <v>403</v>
      </c>
      <c r="BM769" t="s">
        <v>14723</v>
      </c>
      <c r="BN769" t="s">
        <v>74</v>
      </c>
      <c r="BO769" t="s">
        <v>107</v>
      </c>
      <c r="BP769" t="s">
        <v>74</v>
      </c>
      <c r="BQ769" t="s">
        <v>74</v>
      </c>
      <c r="BR769" t="s">
        <v>108</v>
      </c>
      <c r="BS769" t="s">
        <v>14724</v>
      </c>
      <c r="BT769" t="str">
        <f>HYPERLINK("https%3A%2F%2Fwww.webofscience.com%2Fwos%2Fwoscc%2Ffull-record%2FWOS:000884383200003","View Full Record in Web of Science")</f>
        <v>View Full Record in Web of Science</v>
      </c>
    </row>
    <row r="770" spans="1:72" x14ac:dyDescent="0.15">
      <c r="A770" t="s">
        <v>72</v>
      </c>
      <c r="B770" t="s">
        <v>14725</v>
      </c>
      <c r="C770" t="s">
        <v>74</v>
      </c>
      <c r="D770" t="s">
        <v>74</v>
      </c>
      <c r="E770" t="s">
        <v>74</v>
      </c>
      <c r="F770" t="s">
        <v>14726</v>
      </c>
      <c r="G770" t="s">
        <v>74</v>
      </c>
      <c r="H770" t="s">
        <v>74</v>
      </c>
      <c r="I770" t="s">
        <v>14727</v>
      </c>
      <c r="J770" t="s">
        <v>8235</v>
      </c>
      <c r="K770" t="s">
        <v>74</v>
      </c>
      <c r="L770" t="s">
        <v>74</v>
      </c>
      <c r="M770" t="s">
        <v>78</v>
      </c>
      <c r="N770" t="s">
        <v>79</v>
      </c>
      <c r="O770" t="s">
        <v>74</v>
      </c>
      <c r="P770" t="s">
        <v>74</v>
      </c>
      <c r="Q770" t="s">
        <v>74</v>
      </c>
      <c r="R770" t="s">
        <v>74</v>
      </c>
      <c r="S770" t="s">
        <v>74</v>
      </c>
      <c r="T770" t="s">
        <v>14728</v>
      </c>
      <c r="U770" t="s">
        <v>14729</v>
      </c>
      <c r="V770" t="s">
        <v>14730</v>
      </c>
      <c r="W770" t="s">
        <v>14731</v>
      </c>
      <c r="X770" t="s">
        <v>14732</v>
      </c>
      <c r="Y770" t="s">
        <v>14733</v>
      </c>
      <c r="Z770" t="s">
        <v>14734</v>
      </c>
      <c r="AA770" t="s">
        <v>14735</v>
      </c>
      <c r="AB770" t="s">
        <v>14736</v>
      </c>
      <c r="AC770" t="s">
        <v>14737</v>
      </c>
      <c r="AD770" t="s">
        <v>14738</v>
      </c>
      <c r="AE770" t="s">
        <v>14739</v>
      </c>
      <c r="AF770" t="s">
        <v>74</v>
      </c>
      <c r="AG770">
        <v>66</v>
      </c>
      <c r="AH770">
        <v>2</v>
      </c>
      <c r="AI770">
        <v>2</v>
      </c>
      <c r="AJ770">
        <v>2</v>
      </c>
      <c r="AK770">
        <v>6</v>
      </c>
      <c r="AL770" t="s">
        <v>603</v>
      </c>
      <c r="AM770" t="s">
        <v>208</v>
      </c>
      <c r="AN770" t="s">
        <v>604</v>
      </c>
      <c r="AO770" t="s">
        <v>8248</v>
      </c>
      <c r="AP770" t="s">
        <v>8249</v>
      </c>
      <c r="AQ770" t="s">
        <v>74</v>
      </c>
      <c r="AR770" t="s">
        <v>8250</v>
      </c>
      <c r="AS770" t="s">
        <v>8251</v>
      </c>
      <c r="AT770" t="s">
        <v>9001</v>
      </c>
      <c r="AU770">
        <v>2022</v>
      </c>
      <c r="AV770">
        <v>190</v>
      </c>
      <c r="AW770" t="s">
        <v>74</v>
      </c>
      <c r="AX770" t="s">
        <v>74</v>
      </c>
      <c r="AY770" t="s">
        <v>74</v>
      </c>
      <c r="AZ770" t="s">
        <v>74</v>
      </c>
      <c r="BA770" t="s">
        <v>74</v>
      </c>
      <c r="BB770" t="s">
        <v>74</v>
      </c>
      <c r="BC770" t="s">
        <v>74</v>
      </c>
      <c r="BD770">
        <v>103916</v>
      </c>
      <c r="BE770" t="s">
        <v>14740</v>
      </c>
      <c r="BF770" t="str">
        <f>HYPERLINK("http://dx.doi.org/10.1016/j.dsr.2022.103916","http://dx.doi.org/10.1016/j.dsr.2022.103916")</f>
        <v>http://dx.doi.org/10.1016/j.dsr.2022.103916</v>
      </c>
      <c r="BG770" t="s">
        <v>74</v>
      </c>
      <c r="BH770" t="s">
        <v>11396</v>
      </c>
      <c r="BI770">
        <v>8</v>
      </c>
      <c r="BJ770" t="s">
        <v>403</v>
      </c>
      <c r="BK770" t="s">
        <v>104</v>
      </c>
      <c r="BL770" t="s">
        <v>403</v>
      </c>
      <c r="BM770" t="s">
        <v>14741</v>
      </c>
      <c r="BN770" t="s">
        <v>74</v>
      </c>
      <c r="BO770" t="s">
        <v>74</v>
      </c>
      <c r="BP770" t="s">
        <v>74</v>
      </c>
      <c r="BQ770" t="s">
        <v>74</v>
      </c>
      <c r="BR770" t="s">
        <v>108</v>
      </c>
      <c r="BS770" t="s">
        <v>14742</v>
      </c>
      <c r="BT770" t="str">
        <f>HYPERLINK("https%3A%2F%2Fwww.webofscience.com%2Fwos%2Fwoscc%2Ffull-record%2FWOS:000883771400001","View Full Record in Web of Science")</f>
        <v>View Full Record in Web of Science</v>
      </c>
    </row>
    <row r="771" spans="1:72" x14ac:dyDescent="0.15">
      <c r="A771" t="s">
        <v>72</v>
      </c>
      <c r="B771" t="s">
        <v>14743</v>
      </c>
      <c r="C771" t="s">
        <v>74</v>
      </c>
      <c r="D771" t="s">
        <v>74</v>
      </c>
      <c r="E771" t="s">
        <v>74</v>
      </c>
      <c r="F771" t="s">
        <v>14744</v>
      </c>
      <c r="G771" t="s">
        <v>74</v>
      </c>
      <c r="H771" t="s">
        <v>74</v>
      </c>
      <c r="I771" t="s">
        <v>14745</v>
      </c>
      <c r="J771" t="s">
        <v>7102</v>
      </c>
      <c r="K771" t="s">
        <v>74</v>
      </c>
      <c r="L771" t="s">
        <v>74</v>
      </c>
      <c r="M771" t="s">
        <v>78</v>
      </c>
      <c r="N771" t="s">
        <v>79</v>
      </c>
      <c r="O771" t="s">
        <v>74</v>
      </c>
      <c r="P771" t="s">
        <v>74</v>
      </c>
      <c r="Q771" t="s">
        <v>74</v>
      </c>
      <c r="R771" t="s">
        <v>74</v>
      </c>
      <c r="S771" t="s">
        <v>74</v>
      </c>
      <c r="T771" t="s">
        <v>14746</v>
      </c>
      <c r="U771" t="s">
        <v>14747</v>
      </c>
      <c r="V771" t="s">
        <v>14748</v>
      </c>
      <c r="W771" t="s">
        <v>14749</v>
      </c>
      <c r="X771" t="s">
        <v>14750</v>
      </c>
      <c r="Y771" t="s">
        <v>14751</v>
      </c>
      <c r="Z771" t="s">
        <v>14752</v>
      </c>
      <c r="AA771" t="s">
        <v>14753</v>
      </c>
      <c r="AB771" t="s">
        <v>14754</v>
      </c>
      <c r="AC771" t="s">
        <v>14755</v>
      </c>
      <c r="AD771" t="s">
        <v>14756</v>
      </c>
      <c r="AE771" t="s">
        <v>14757</v>
      </c>
      <c r="AF771" t="s">
        <v>74</v>
      </c>
      <c r="AG771">
        <v>74</v>
      </c>
      <c r="AH771">
        <v>1</v>
      </c>
      <c r="AI771">
        <v>1</v>
      </c>
      <c r="AJ771">
        <v>1</v>
      </c>
      <c r="AK771">
        <v>14</v>
      </c>
      <c r="AL771" t="s">
        <v>448</v>
      </c>
      <c r="AM771" t="s">
        <v>449</v>
      </c>
      <c r="AN771" t="s">
        <v>450</v>
      </c>
      <c r="AO771" t="s">
        <v>74</v>
      </c>
      <c r="AP771" t="s">
        <v>7115</v>
      </c>
      <c r="AQ771" t="s">
        <v>74</v>
      </c>
      <c r="AR771" t="s">
        <v>7116</v>
      </c>
      <c r="AS771" t="s">
        <v>7117</v>
      </c>
      <c r="AT771" t="s">
        <v>14758</v>
      </c>
      <c r="AU771">
        <v>2022</v>
      </c>
      <c r="AV771">
        <v>9</v>
      </c>
      <c r="AW771" t="s">
        <v>74</v>
      </c>
      <c r="AX771" t="s">
        <v>74</v>
      </c>
      <c r="AY771" t="s">
        <v>74</v>
      </c>
      <c r="AZ771" t="s">
        <v>74</v>
      </c>
      <c r="BA771" t="s">
        <v>74</v>
      </c>
      <c r="BB771" t="s">
        <v>74</v>
      </c>
      <c r="BC771" t="s">
        <v>74</v>
      </c>
      <c r="BD771">
        <v>1019727</v>
      </c>
      <c r="BE771" t="s">
        <v>14759</v>
      </c>
      <c r="BF771" t="str">
        <f>HYPERLINK("http://dx.doi.org/10.3389/fmars.2022.1019727","http://dx.doi.org/10.3389/fmars.2022.1019727")</f>
        <v>http://dx.doi.org/10.3389/fmars.2022.1019727</v>
      </c>
      <c r="BG771" t="s">
        <v>74</v>
      </c>
      <c r="BH771" t="s">
        <v>74</v>
      </c>
      <c r="BI771">
        <v>17</v>
      </c>
      <c r="BJ771" t="s">
        <v>6728</v>
      </c>
      <c r="BK771" t="s">
        <v>104</v>
      </c>
      <c r="BL771" t="s">
        <v>6729</v>
      </c>
      <c r="BM771" t="s">
        <v>14760</v>
      </c>
      <c r="BN771" t="s">
        <v>74</v>
      </c>
      <c r="BO771" t="s">
        <v>3181</v>
      </c>
      <c r="BP771" t="s">
        <v>74</v>
      </c>
      <c r="BQ771" t="s">
        <v>74</v>
      </c>
      <c r="BR771" t="s">
        <v>108</v>
      </c>
      <c r="BS771" t="s">
        <v>14761</v>
      </c>
      <c r="BT771" t="str">
        <f>HYPERLINK("https%3A%2F%2Fwww.webofscience.com%2Fwos%2Fwoscc%2Ffull-record%2FWOS:000886473500001","View Full Record in Web of Science")</f>
        <v>View Full Record in Web of Science</v>
      </c>
    </row>
    <row r="772" spans="1:72" x14ac:dyDescent="0.15">
      <c r="A772" t="s">
        <v>72</v>
      </c>
      <c r="B772" t="s">
        <v>14762</v>
      </c>
      <c r="C772" t="s">
        <v>74</v>
      </c>
      <c r="D772" t="s">
        <v>74</v>
      </c>
      <c r="E772" t="s">
        <v>74</v>
      </c>
      <c r="F772" t="s">
        <v>14763</v>
      </c>
      <c r="G772" t="s">
        <v>74</v>
      </c>
      <c r="H772" t="s">
        <v>74</v>
      </c>
      <c r="I772" t="s">
        <v>14764</v>
      </c>
      <c r="J772" t="s">
        <v>14765</v>
      </c>
      <c r="K772" t="s">
        <v>74</v>
      </c>
      <c r="L772" t="s">
        <v>74</v>
      </c>
      <c r="M772" t="s">
        <v>78</v>
      </c>
      <c r="N772" t="s">
        <v>256</v>
      </c>
      <c r="O772" t="s">
        <v>74</v>
      </c>
      <c r="P772" t="s">
        <v>74</v>
      </c>
      <c r="Q772" t="s">
        <v>74</v>
      </c>
      <c r="R772" t="s">
        <v>74</v>
      </c>
      <c r="S772" t="s">
        <v>74</v>
      </c>
      <c r="T772" t="s">
        <v>14766</v>
      </c>
      <c r="U772" t="s">
        <v>14767</v>
      </c>
      <c r="V772" t="s">
        <v>14768</v>
      </c>
      <c r="W772" t="s">
        <v>14769</v>
      </c>
      <c r="X772" t="s">
        <v>14770</v>
      </c>
      <c r="Y772" t="s">
        <v>14771</v>
      </c>
      <c r="Z772" t="s">
        <v>14772</v>
      </c>
      <c r="AA772" t="s">
        <v>14773</v>
      </c>
      <c r="AB772" t="s">
        <v>14774</v>
      </c>
      <c r="AC772" t="s">
        <v>14775</v>
      </c>
      <c r="AD772" t="s">
        <v>14775</v>
      </c>
      <c r="AE772" t="s">
        <v>14776</v>
      </c>
      <c r="AF772" t="s">
        <v>74</v>
      </c>
      <c r="AG772">
        <v>203</v>
      </c>
      <c r="AH772">
        <v>4</v>
      </c>
      <c r="AI772">
        <v>4</v>
      </c>
      <c r="AJ772">
        <v>27</v>
      </c>
      <c r="AK772">
        <v>118</v>
      </c>
      <c r="AL772" t="s">
        <v>2255</v>
      </c>
      <c r="AM772" t="s">
        <v>2256</v>
      </c>
      <c r="AN772" t="s">
        <v>2257</v>
      </c>
      <c r="AO772" t="s">
        <v>14777</v>
      </c>
      <c r="AP772" t="s">
        <v>14778</v>
      </c>
      <c r="AQ772" t="s">
        <v>74</v>
      </c>
      <c r="AR772" t="s">
        <v>14779</v>
      </c>
      <c r="AS772" t="s">
        <v>14780</v>
      </c>
      <c r="AT772" t="s">
        <v>9001</v>
      </c>
      <c r="AU772">
        <v>2022</v>
      </c>
      <c r="AV772">
        <v>29</v>
      </c>
      <c r="AW772">
        <v>59</v>
      </c>
      <c r="AX772" t="s">
        <v>74</v>
      </c>
      <c r="AY772" t="s">
        <v>74</v>
      </c>
      <c r="AZ772" t="s">
        <v>74</v>
      </c>
      <c r="BA772" t="s">
        <v>74</v>
      </c>
      <c r="BB772">
        <v>88410</v>
      </c>
      <c r="BC772">
        <v>88431</v>
      </c>
      <c r="BD772" t="s">
        <v>74</v>
      </c>
      <c r="BE772" t="s">
        <v>14781</v>
      </c>
      <c r="BF772" t="str">
        <f>HYPERLINK("http://dx.doi.org/10.1007/s11356-022-23810-2","http://dx.doi.org/10.1007/s11356-022-23810-2")</f>
        <v>http://dx.doi.org/10.1007/s11356-022-23810-2</v>
      </c>
      <c r="BG772" t="s">
        <v>74</v>
      </c>
      <c r="BH772" t="s">
        <v>11396</v>
      </c>
      <c r="BI772">
        <v>22</v>
      </c>
      <c r="BJ772" t="s">
        <v>216</v>
      </c>
      <c r="BK772" t="s">
        <v>104</v>
      </c>
      <c r="BL772" t="s">
        <v>217</v>
      </c>
      <c r="BM772" t="s">
        <v>14782</v>
      </c>
      <c r="BN772">
        <v>36327084</v>
      </c>
      <c r="BO772" t="s">
        <v>74</v>
      </c>
      <c r="BP772" t="s">
        <v>74</v>
      </c>
      <c r="BQ772" t="s">
        <v>74</v>
      </c>
      <c r="BR772" t="s">
        <v>108</v>
      </c>
      <c r="BS772" t="s">
        <v>14783</v>
      </c>
      <c r="BT772" t="str">
        <f>HYPERLINK("https%3A%2F%2Fwww.webofscience.com%2Fwos%2Fwoscc%2Ffull-record%2FWOS:000878521900002","View Full Record in Web of Science")</f>
        <v>View Full Record in Web of Science</v>
      </c>
    </row>
    <row r="773" spans="1:72" x14ac:dyDescent="0.15">
      <c r="A773" t="s">
        <v>72</v>
      </c>
      <c r="B773" t="s">
        <v>14784</v>
      </c>
      <c r="C773" t="s">
        <v>74</v>
      </c>
      <c r="D773" t="s">
        <v>74</v>
      </c>
      <c r="E773" t="s">
        <v>74</v>
      </c>
      <c r="F773" t="s">
        <v>14785</v>
      </c>
      <c r="G773" t="s">
        <v>74</v>
      </c>
      <c r="H773" t="s">
        <v>74</v>
      </c>
      <c r="I773" t="s">
        <v>14786</v>
      </c>
      <c r="J773" t="s">
        <v>14787</v>
      </c>
      <c r="K773" t="s">
        <v>74</v>
      </c>
      <c r="L773" t="s">
        <v>74</v>
      </c>
      <c r="M773" t="s">
        <v>78</v>
      </c>
      <c r="N773" t="s">
        <v>79</v>
      </c>
      <c r="O773" t="s">
        <v>74</v>
      </c>
      <c r="P773" t="s">
        <v>74</v>
      </c>
      <c r="Q773" t="s">
        <v>74</v>
      </c>
      <c r="R773" t="s">
        <v>74</v>
      </c>
      <c r="S773" t="s">
        <v>74</v>
      </c>
      <c r="T773" t="s">
        <v>14788</v>
      </c>
      <c r="U773" t="s">
        <v>14789</v>
      </c>
      <c r="V773" t="s">
        <v>14790</v>
      </c>
      <c r="W773" t="s">
        <v>14791</v>
      </c>
      <c r="X773" t="s">
        <v>14792</v>
      </c>
      <c r="Y773" t="s">
        <v>14793</v>
      </c>
      <c r="Z773" t="s">
        <v>14794</v>
      </c>
      <c r="AA773" t="s">
        <v>74</v>
      </c>
      <c r="AB773" t="s">
        <v>14795</v>
      </c>
      <c r="AC773" t="s">
        <v>14796</v>
      </c>
      <c r="AD773" t="s">
        <v>14797</v>
      </c>
      <c r="AE773" t="s">
        <v>14798</v>
      </c>
      <c r="AF773" t="s">
        <v>74</v>
      </c>
      <c r="AG773">
        <v>49</v>
      </c>
      <c r="AH773">
        <v>1</v>
      </c>
      <c r="AI773">
        <v>1</v>
      </c>
      <c r="AJ773">
        <v>0</v>
      </c>
      <c r="AK773">
        <v>2</v>
      </c>
      <c r="AL773" t="s">
        <v>269</v>
      </c>
      <c r="AM773" t="s">
        <v>93</v>
      </c>
      <c r="AN773" t="s">
        <v>397</v>
      </c>
      <c r="AO773" t="s">
        <v>14799</v>
      </c>
      <c r="AP773" t="s">
        <v>14800</v>
      </c>
      <c r="AQ773" t="s">
        <v>74</v>
      </c>
      <c r="AR773" t="s">
        <v>14801</v>
      </c>
      <c r="AS773" t="s">
        <v>14802</v>
      </c>
      <c r="AT773" t="s">
        <v>214</v>
      </c>
      <c r="AU773">
        <v>2023</v>
      </c>
      <c r="AV773">
        <v>46</v>
      </c>
      <c r="AW773">
        <v>2</v>
      </c>
      <c r="AX773" t="s">
        <v>74</v>
      </c>
      <c r="AY773" t="s">
        <v>74</v>
      </c>
      <c r="AZ773" t="s">
        <v>74</v>
      </c>
      <c r="BA773" t="s">
        <v>74</v>
      </c>
      <c r="BB773">
        <v>463</v>
      </c>
      <c r="BC773">
        <v>476</v>
      </c>
      <c r="BD773" t="s">
        <v>74</v>
      </c>
      <c r="BE773" t="s">
        <v>14803</v>
      </c>
      <c r="BF773" t="str">
        <f>HYPERLINK("http://dx.doi.org/10.1007/s12237-022-01135-0","http://dx.doi.org/10.1007/s12237-022-01135-0")</f>
        <v>http://dx.doi.org/10.1007/s12237-022-01135-0</v>
      </c>
      <c r="BG773" t="s">
        <v>74</v>
      </c>
      <c r="BH773" t="s">
        <v>11396</v>
      </c>
      <c r="BI773">
        <v>14</v>
      </c>
      <c r="BJ773" t="s">
        <v>6728</v>
      </c>
      <c r="BK773" t="s">
        <v>104</v>
      </c>
      <c r="BL773" t="s">
        <v>6729</v>
      </c>
      <c r="BM773" t="s">
        <v>14804</v>
      </c>
      <c r="BN773" t="s">
        <v>74</v>
      </c>
      <c r="BO773" t="s">
        <v>74</v>
      </c>
      <c r="BP773" t="s">
        <v>74</v>
      </c>
      <c r="BQ773" t="s">
        <v>74</v>
      </c>
      <c r="BR773" t="s">
        <v>108</v>
      </c>
      <c r="BS773" t="s">
        <v>14805</v>
      </c>
      <c r="BT773" t="str">
        <f>HYPERLINK("https%3A%2F%2Fwww.webofscience.com%2Fwos%2Fwoscc%2Ffull-record%2FWOS:000878452900001","View Full Record in Web of Science")</f>
        <v>View Full Record in Web of Science</v>
      </c>
    </row>
    <row r="774" spans="1:72" x14ac:dyDescent="0.15">
      <c r="A774" t="s">
        <v>72</v>
      </c>
      <c r="B774" t="s">
        <v>14806</v>
      </c>
      <c r="C774" t="s">
        <v>74</v>
      </c>
      <c r="D774" t="s">
        <v>74</v>
      </c>
      <c r="E774" t="s">
        <v>74</v>
      </c>
      <c r="F774" t="s">
        <v>14807</v>
      </c>
      <c r="G774" t="s">
        <v>74</v>
      </c>
      <c r="H774" t="s">
        <v>74</v>
      </c>
      <c r="I774" t="s">
        <v>14808</v>
      </c>
      <c r="J774" t="s">
        <v>7001</v>
      </c>
      <c r="K774" t="s">
        <v>74</v>
      </c>
      <c r="L774" t="s">
        <v>74</v>
      </c>
      <c r="M774" t="s">
        <v>78</v>
      </c>
      <c r="N774" t="s">
        <v>79</v>
      </c>
      <c r="O774" t="s">
        <v>74</v>
      </c>
      <c r="P774" t="s">
        <v>74</v>
      </c>
      <c r="Q774" t="s">
        <v>74</v>
      </c>
      <c r="R774" t="s">
        <v>74</v>
      </c>
      <c r="S774" t="s">
        <v>74</v>
      </c>
      <c r="T774" t="s">
        <v>14809</v>
      </c>
      <c r="U774" t="s">
        <v>14810</v>
      </c>
      <c r="V774" t="s">
        <v>14811</v>
      </c>
      <c r="W774" t="s">
        <v>14812</v>
      </c>
      <c r="X774" t="s">
        <v>14813</v>
      </c>
      <c r="Y774" t="s">
        <v>14814</v>
      </c>
      <c r="Z774" t="s">
        <v>14815</v>
      </c>
      <c r="AA774" t="s">
        <v>14816</v>
      </c>
      <c r="AB774" t="s">
        <v>14817</v>
      </c>
      <c r="AC774" t="s">
        <v>74</v>
      </c>
      <c r="AD774" t="s">
        <v>74</v>
      </c>
      <c r="AE774" t="s">
        <v>74</v>
      </c>
      <c r="AF774" t="s">
        <v>74</v>
      </c>
      <c r="AG774">
        <v>72</v>
      </c>
      <c r="AH774">
        <v>1</v>
      </c>
      <c r="AI774">
        <v>1</v>
      </c>
      <c r="AJ774">
        <v>5</v>
      </c>
      <c r="AK774">
        <v>14</v>
      </c>
      <c r="AL774" t="s">
        <v>422</v>
      </c>
      <c r="AM774" t="s">
        <v>208</v>
      </c>
      <c r="AN774" t="s">
        <v>423</v>
      </c>
      <c r="AO774" t="s">
        <v>7014</v>
      </c>
      <c r="AP774" t="s">
        <v>7015</v>
      </c>
      <c r="AQ774" t="s">
        <v>74</v>
      </c>
      <c r="AR774" t="s">
        <v>7016</v>
      </c>
      <c r="AS774" t="s">
        <v>7017</v>
      </c>
      <c r="AT774" t="s">
        <v>11979</v>
      </c>
      <c r="AU774">
        <v>2022</v>
      </c>
      <c r="AV774">
        <v>79</v>
      </c>
      <c r="AW774">
        <v>9</v>
      </c>
      <c r="AX774" t="s">
        <v>74</v>
      </c>
      <c r="AY774" t="s">
        <v>74</v>
      </c>
      <c r="AZ774" t="s">
        <v>74</v>
      </c>
      <c r="BA774" t="s">
        <v>74</v>
      </c>
      <c r="BB774">
        <v>2351</v>
      </c>
      <c r="BC774">
        <v>2361</v>
      </c>
      <c r="BD774" t="s">
        <v>74</v>
      </c>
      <c r="BE774" t="s">
        <v>14818</v>
      </c>
      <c r="BF774" t="str">
        <f>HYPERLINK("http://dx.doi.org/10.1093/icesjms/fsac187","http://dx.doi.org/10.1093/icesjms/fsac187")</f>
        <v>http://dx.doi.org/10.1093/icesjms/fsac187</v>
      </c>
      <c r="BG774" t="s">
        <v>74</v>
      </c>
      <c r="BH774" t="s">
        <v>11396</v>
      </c>
      <c r="BI774">
        <v>11</v>
      </c>
      <c r="BJ774" t="s">
        <v>1019</v>
      </c>
      <c r="BK774" t="s">
        <v>104</v>
      </c>
      <c r="BL774" t="s">
        <v>1019</v>
      </c>
      <c r="BM774" t="s">
        <v>14819</v>
      </c>
      <c r="BN774" t="s">
        <v>74</v>
      </c>
      <c r="BO774" t="s">
        <v>13356</v>
      </c>
      <c r="BP774" t="s">
        <v>74</v>
      </c>
      <c r="BQ774" t="s">
        <v>74</v>
      </c>
      <c r="BR774" t="s">
        <v>108</v>
      </c>
      <c r="BS774" t="s">
        <v>14820</v>
      </c>
      <c r="BT774" t="str">
        <f>HYPERLINK("https%3A%2F%2Fwww.webofscience.com%2Fwos%2Fwoscc%2Ffull-record%2FWOS:000878285200001","View Full Record in Web of Science")</f>
        <v>View Full Record in Web of Science</v>
      </c>
    </row>
    <row r="775" spans="1:72" x14ac:dyDescent="0.15">
      <c r="A775" t="s">
        <v>72</v>
      </c>
      <c r="B775" t="s">
        <v>14821</v>
      </c>
      <c r="C775" t="s">
        <v>74</v>
      </c>
      <c r="D775" t="s">
        <v>74</v>
      </c>
      <c r="E775" t="s">
        <v>74</v>
      </c>
      <c r="F775" t="s">
        <v>14822</v>
      </c>
      <c r="G775" t="s">
        <v>74</v>
      </c>
      <c r="H775" t="s">
        <v>74</v>
      </c>
      <c r="I775" t="s">
        <v>14823</v>
      </c>
      <c r="J775" t="s">
        <v>7470</v>
      </c>
      <c r="K775" t="s">
        <v>74</v>
      </c>
      <c r="L775" t="s">
        <v>74</v>
      </c>
      <c r="M775" t="s">
        <v>78</v>
      </c>
      <c r="N775" t="s">
        <v>79</v>
      </c>
      <c r="O775" t="s">
        <v>74</v>
      </c>
      <c r="P775" t="s">
        <v>74</v>
      </c>
      <c r="Q775" t="s">
        <v>74</v>
      </c>
      <c r="R775" t="s">
        <v>74</v>
      </c>
      <c r="S775" t="s">
        <v>74</v>
      </c>
      <c r="T775" t="s">
        <v>14824</v>
      </c>
      <c r="U775" t="s">
        <v>14825</v>
      </c>
      <c r="V775" t="s">
        <v>14826</v>
      </c>
      <c r="W775" t="s">
        <v>14827</v>
      </c>
      <c r="X775" t="s">
        <v>14828</v>
      </c>
      <c r="Y775" t="s">
        <v>14829</v>
      </c>
      <c r="Z775" t="s">
        <v>14830</v>
      </c>
      <c r="AA775" t="s">
        <v>14831</v>
      </c>
      <c r="AB775" t="s">
        <v>14832</v>
      </c>
      <c r="AC775" t="s">
        <v>14833</v>
      </c>
      <c r="AD775" t="s">
        <v>14834</v>
      </c>
      <c r="AE775" t="s">
        <v>14835</v>
      </c>
      <c r="AF775" t="s">
        <v>74</v>
      </c>
      <c r="AG775">
        <v>55</v>
      </c>
      <c r="AH775">
        <v>6</v>
      </c>
      <c r="AI775">
        <v>6</v>
      </c>
      <c r="AJ775">
        <v>0</v>
      </c>
      <c r="AK775">
        <v>6</v>
      </c>
      <c r="AL775" t="s">
        <v>6610</v>
      </c>
      <c r="AM775" t="s">
        <v>1372</v>
      </c>
      <c r="AN775" t="s">
        <v>6611</v>
      </c>
      <c r="AO775" t="s">
        <v>7483</v>
      </c>
      <c r="AP775" t="s">
        <v>7484</v>
      </c>
      <c r="AQ775" t="s">
        <v>74</v>
      </c>
      <c r="AR775" t="s">
        <v>7470</v>
      </c>
      <c r="AS775" t="s">
        <v>7485</v>
      </c>
      <c r="AT775" t="s">
        <v>14836</v>
      </c>
      <c r="AU775">
        <v>2022</v>
      </c>
      <c r="AV775" t="s">
        <v>74</v>
      </c>
      <c r="AW775">
        <v>1127</v>
      </c>
      <c r="AX775" t="s">
        <v>74</v>
      </c>
      <c r="AY775" t="s">
        <v>74</v>
      </c>
      <c r="AZ775" t="s">
        <v>74</v>
      </c>
      <c r="BA775" t="s">
        <v>74</v>
      </c>
      <c r="BB775">
        <v>61</v>
      </c>
      <c r="BC775">
        <v>77</v>
      </c>
      <c r="BD775" t="s">
        <v>74</v>
      </c>
      <c r="BE775" t="s">
        <v>14837</v>
      </c>
      <c r="BF775" t="str">
        <f>HYPERLINK("http://dx.doi.org/10.3897/zookeys.1127.91310","http://dx.doi.org/10.3897/zookeys.1127.91310")</f>
        <v>http://dx.doi.org/10.3897/zookeys.1127.91310</v>
      </c>
      <c r="BG775" t="s">
        <v>74</v>
      </c>
      <c r="BH775" t="s">
        <v>74</v>
      </c>
      <c r="BI775">
        <v>17</v>
      </c>
      <c r="BJ775" t="s">
        <v>2468</v>
      </c>
      <c r="BK775" t="s">
        <v>104</v>
      </c>
      <c r="BL775" t="s">
        <v>2468</v>
      </c>
      <c r="BM775" t="s">
        <v>14838</v>
      </c>
      <c r="BN775">
        <v>36760354</v>
      </c>
      <c r="BO775" t="s">
        <v>7465</v>
      </c>
      <c r="BP775" t="s">
        <v>74</v>
      </c>
      <c r="BQ775" t="s">
        <v>74</v>
      </c>
      <c r="BR775" t="s">
        <v>108</v>
      </c>
      <c r="BS775" t="s">
        <v>14839</v>
      </c>
      <c r="BT775" t="str">
        <f>HYPERLINK("https%3A%2F%2Fwww.webofscience.com%2Fwos%2Fwoscc%2Ffull-record%2FWOS:000885948800002","View Full Record in Web of Science")</f>
        <v>View Full Record in Web of Science</v>
      </c>
    </row>
    <row r="776" spans="1:72" x14ac:dyDescent="0.15">
      <c r="A776" t="s">
        <v>72</v>
      </c>
      <c r="B776" t="s">
        <v>14840</v>
      </c>
      <c r="C776" t="s">
        <v>74</v>
      </c>
      <c r="D776" t="s">
        <v>74</v>
      </c>
      <c r="E776" t="s">
        <v>74</v>
      </c>
      <c r="F776" t="s">
        <v>14841</v>
      </c>
      <c r="G776" t="s">
        <v>74</v>
      </c>
      <c r="H776" t="s">
        <v>74</v>
      </c>
      <c r="I776" t="s">
        <v>14842</v>
      </c>
      <c r="J776" t="s">
        <v>14843</v>
      </c>
      <c r="K776" t="s">
        <v>74</v>
      </c>
      <c r="L776" t="s">
        <v>74</v>
      </c>
      <c r="M776" t="s">
        <v>78</v>
      </c>
      <c r="N776" t="s">
        <v>256</v>
      </c>
      <c r="O776" t="s">
        <v>74</v>
      </c>
      <c r="P776" t="s">
        <v>74</v>
      </c>
      <c r="Q776" t="s">
        <v>74</v>
      </c>
      <c r="R776" t="s">
        <v>74</v>
      </c>
      <c r="S776" t="s">
        <v>74</v>
      </c>
      <c r="T776" t="s">
        <v>74</v>
      </c>
      <c r="U776" t="s">
        <v>14844</v>
      </c>
      <c r="V776" t="s">
        <v>14845</v>
      </c>
      <c r="W776" t="s">
        <v>14846</v>
      </c>
      <c r="X776" t="s">
        <v>14847</v>
      </c>
      <c r="Y776" t="s">
        <v>14848</v>
      </c>
      <c r="Z776" t="s">
        <v>14849</v>
      </c>
      <c r="AA776" t="s">
        <v>74</v>
      </c>
      <c r="AB776" t="s">
        <v>14850</v>
      </c>
      <c r="AC776" t="s">
        <v>74</v>
      </c>
      <c r="AD776" t="s">
        <v>74</v>
      </c>
      <c r="AE776" t="s">
        <v>74</v>
      </c>
      <c r="AF776" t="s">
        <v>74</v>
      </c>
      <c r="AG776">
        <v>285</v>
      </c>
      <c r="AH776">
        <v>8</v>
      </c>
      <c r="AI776">
        <v>8</v>
      </c>
      <c r="AJ776">
        <v>6</v>
      </c>
      <c r="AK776">
        <v>47</v>
      </c>
      <c r="AL776" t="s">
        <v>207</v>
      </c>
      <c r="AM776" t="s">
        <v>208</v>
      </c>
      <c r="AN776" t="s">
        <v>209</v>
      </c>
      <c r="AO776" t="s">
        <v>14851</v>
      </c>
      <c r="AP776" t="s">
        <v>14852</v>
      </c>
      <c r="AQ776" t="s">
        <v>74</v>
      </c>
      <c r="AR776" t="s">
        <v>14853</v>
      </c>
      <c r="AS776" t="s">
        <v>14854</v>
      </c>
      <c r="AT776" t="s">
        <v>2592</v>
      </c>
      <c r="AU776">
        <v>2023</v>
      </c>
      <c r="AV776">
        <v>231</v>
      </c>
      <c r="AW776" t="s">
        <v>74</v>
      </c>
      <c r="AX776" t="s">
        <v>74</v>
      </c>
      <c r="AY776" t="s">
        <v>74</v>
      </c>
      <c r="AZ776" t="s">
        <v>74</v>
      </c>
      <c r="BA776" t="s">
        <v>74</v>
      </c>
      <c r="BB776" t="s">
        <v>74</v>
      </c>
      <c r="BC776" t="s">
        <v>74</v>
      </c>
      <c r="BD776">
        <v>106280</v>
      </c>
      <c r="BE776" t="s">
        <v>14855</v>
      </c>
      <c r="BF776" t="str">
        <f>HYPERLINK("http://dx.doi.org/10.1016/j.ocecoaman.2022.106280","http://dx.doi.org/10.1016/j.ocecoaman.2022.106280")</f>
        <v>http://dx.doi.org/10.1016/j.ocecoaman.2022.106280</v>
      </c>
      <c r="BG776" t="s">
        <v>74</v>
      </c>
      <c r="BH776" t="s">
        <v>11396</v>
      </c>
      <c r="BI776">
        <v>16</v>
      </c>
      <c r="BJ776" t="s">
        <v>14856</v>
      </c>
      <c r="BK776" t="s">
        <v>104</v>
      </c>
      <c r="BL776" t="s">
        <v>14856</v>
      </c>
      <c r="BM776" t="s">
        <v>14857</v>
      </c>
      <c r="BN776" t="s">
        <v>74</v>
      </c>
      <c r="BO776" t="s">
        <v>74</v>
      </c>
      <c r="BP776" t="s">
        <v>74</v>
      </c>
      <c r="BQ776" t="s">
        <v>74</v>
      </c>
      <c r="BR776" t="s">
        <v>108</v>
      </c>
      <c r="BS776" t="s">
        <v>14858</v>
      </c>
      <c r="BT776" t="str">
        <f>HYPERLINK("https%3A%2F%2Fwww.webofscience.com%2Fwos%2Fwoscc%2Ffull-record%2FWOS:000882573800004","View Full Record in Web of Science")</f>
        <v>View Full Record in Web of Science</v>
      </c>
    </row>
    <row r="777" spans="1:72" x14ac:dyDescent="0.15">
      <c r="A777" t="s">
        <v>72</v>
      </c>
      <c r="B777" t="s">
        <v>14859</v>
      </c>
      <c r="C777" t="s">
        <v>74</v>
      </c>
      <c r="D777" t="s">
        <v>74</v>
      </c>
      <c r="E777" t="s">
        <v>74</v>
      </c>
      <c r="F777" t="s">
        <v>14860</v>
      </c>
      <c r="G777" t="s">
        <v>74</v>
      </c>
      <c r="H777" t="s">
        <v>74</v>
      </c>
      <c r="I777" t="s">
        <v>14861</v>
      </c>
      <c r="J777" t="s">
        <v>7492</v>
      </c>
      <c r="K777" t="s">
        <v>74</v>
      </c>
      <c r="L777" t="s">
        <v>74</v>
      </c>
      <c r="M777" t="s">
        <v>78</v>
      </c>
      <c r="N777" t="s">
        <v>79</v>
      </c>
      <c r="O777" t="s">
        <v>74</v>
      </c>
      <c r="P777" t="s">
        <v>74</v>
      </c>
      <c r="Q777" t="s">
        <v>74</v>
      </c>
      <c r="R777" t="s">
        <v>74</v>
      </c>
      <c r="S777" t="s">
        <v>74</v>
      </c>
      <c r="T777" t="s">
        <v>14862</v>
      </c>
      <c r="U777" t="s">
        <v>14863</v>
      </c>
      <c r="V777" t="s">
        <v>14864</v>
      </c>
      <c r="W777" t="s">
        <v>14865</v>
      </c>
      <c r="X777" t="s">
        <v>14866</v>
      </c>
      <c r="Y777" t="s">
        <v>14867</v>
      </c>
      <c r="Z777" t="s">
        <v>12228</v>
      </c>
      <c r="AA777" t="s">
        <v>12229</v>
      </c>
      <c r="AB777" t="s">
        <v>14868</v>
      </c>
      <c r="AC777" t="s">
        <v>14869</v>
      </c>
      <c r="AD777" t="s">
        <v>14870</v>
      </c>
      <c r="AE777" t="s">
        <v>14871</v>
      </c>
      <c r="AF777" t="s">
        <v>74</v>
      </c>
      <c r="AG777">
        <v>74</v>
      </c>
      <c r="AH777">
        <v>5</v>
      </c>
      <c r="AI777">
        <v>5</v>
      </c>
      <c r="AJ777">
        <v>0</v>
      </c>
      <c r="AK777">
        <v>8</v>
      </c>
      <c r="AL777" t="s">
        <v>7504</v>
      </c>
      <c r="AM777" t="s">
        <v>375</v>
      </c>
      <c r="AN777" t="s">
        <v>7505</v>
      </c>
      <c r="AO777" t="s">
        <v>7506</v>
      </c>
      <c r="AP777" t="s">
        <v>74</v>
      </c>
      <c r="AQ777" t="s">
        <v>74</v>
      </c>
      <c r="AR777" t="s">
        <v>7507</v>
      </c>
      <c r="AS777" t="s">
        <v>7508</v>
      </c>
      <c r="AT777" t="s">
        <v>14836</v>
      </c>
      <c r="AU777">
        <v>2022</v>
      </c>
      <c r="AV777">
        <v>9</v>
      </c>
      <c r="AW777">
        <v>11</v>
      </c>
      <c r="AX777" t="s">
        <v>74</v>
      </c>
      <c r="AY777" t="s">
        <v>74</v>
      </c>
      <c r="AZ777" t="s">
        <v>74</v>
      </c>
      <c r="BA777" t="s">
        <v>74</v>
      </c>
      <c r="BB777" t="s">
        <v>74</v>
      </c>
      <c r="BC777" t="s">
        <v>74</v>
      </c>
      <c r="BD777">
        <v>220724</v>
      </c>
      <c r="BE777" t="s">
        <v>14872</v>
      </c>
      <c r="BF777" t="str">
        <f>HYPERLINK("http://dx.doi.org/10.1098/rsos.220724","http://dx.doi.org/10.1098/rsos.220724")</f>
        <v>http://dx.doi.org/10.1098/rsos.220724</v>
      </c>
      <c r="BG777" t="s">
        <v>74</v>
      </c>
      <c r="BH777" t="s">
        <v>74</v>
      </c>
      <c r="BI777">
        <v>16</v>
      </c>
      <c r="BJ777" t="s">
        <v>189</v>
      </c>
      <c r="BK777" t="s">
        <v>104</v>
      </c>
      <c r="BL777" t="s">
        <v>190</v>
      </c>
      <c r="BM777" t="s">
        <v>14873</v>
      </c>
      <c r="BN777">
        <v>36397972</v>
      </c>
      <c r="BO777" t="s">
        <v>3181</v>
      </c>
      <c r="BP777" t="s">
        <v>74</v>
      </c>
      <c r="BQ777" t="s">
        <v>74</v>
      </c>
      <c r="BR777" t="s">
        <v>108</v>
      </c>
      <c r="BS777" t="s">
        <v>14874</v>
      </c>
      <c r="BT777" t="str">
        <f>HYPERLINK("https%3A%2F%2Fwww.webofscience.com%2Fwos%2Fwoscc%2Ffull-record%2FWOS:000878721800007","View Full Record in Web of Science")</f>
        <v>View Full Record in Web of Science</v>
      </c>
    </row>
    <row r="778" spans="1:72" x14ac:dyDescent="0.15">
      <c r="A778" t="s">
        <v>72</v>
      </c>
      <c r="B778" t="s">
        <v>14875</v>
      </c>
      <c r="C778" t="s">
        <v>74</v>
      </c>
      <c r="D778" t="s">
        <v>74</v>
      </c>
      <c r="E778" t="s">
        <v>74</v>
      </c>
      <c r="F778" t="s">
        <v>14876</v>
      </c>
      <c r="G778" t="s">
        <v>74</v>
      </c>
      <c r="H778" t="s">
        <v>74</v>
      </c>
      <c r="I778" t="s">
        <v>14877</v>
      </c>
      <c r="J778" t="s">
        <v>170</v>
      </c>
      <c r="K778" t="s">
        <v>74</v>
      </c>
      <c r="L778" t="s">
        <v>74</v>
      </c>
      <c r="M778" t="s">
        <v>78</v>
      </c>
      <c r="N778" t="s">
        <v>79</v>
      </c>
      <c r="O778" t="s">
        <v>74</v>
      </c>
      <c r="P778" t="s">
        <v>74</v>
      </c>
      <c r="Q778" t="s">
        <v>74</v>
      </c>
      <c r="R778" t="s">
        <v>74</v>
      </c>
      <c r="S778" t="s">
        <v>74</v>
      </c>
      <c r="T778" t="s">
        <v>74</v>
      </c>
      <c r="U778" t="s">
        <v>14878</v>
      </c>
      <c r="V778" t="s">
        <v>14879</v>
      </c>
      <c r="W778" t="s">
        <v>14880</v>
      </c>
      <c r="X778" t="s">
        <v>14881</v>
      </c>
      <c r="Y778" t="s">
        <v>14882</v>
      </c>
      <c r="Z778" t="s">
        <v>14883</v>
      </c>
      <c r="AA778" t="s">
        <v>14884</v>
      </c>
      <c r="AB778" t="s">
        <v>14885</v>
      </c>
      <c r="AC778" t="s">
        <v>14886</v>
      </c>
      <c r="AD778" t="s">
        <v>14887</v>
      </c>
      <c r="AE778" t="s">
        <v>14888</v>
      </c>
      <c r="AF778" t="s">
        <v>74</v>
      </c>
      <c r="AG778">
        <v>59</v>
      </c>
      <c r="AH778">
        <v>5</v>
      </c>
      <c r="AI778">
        <v>5</v>
      </c>
      <c r="AJ778">
        <v>4</v>
      </c>
      <c r="AK778">
        <v>11</v>
      </c>
      <c r="AL778" t="s">
        <v>182</v>
      </c>
      <c r="AM778" t="s">
        <v>183</v>
      </c>
      <c r="AN778" t="s">
        <v>184</v>
      </c>
      <c r="AO778" t="s">
        <v>185</v>
      </c>
      <c r="AP778" t="s">
        <v>74</v>
      </c>
      <c r="AQ778" t="s">
        <v>74</v>
      </c>
      <c r="AR778" t="s">
        <v>186</v>
      </c>
      <c r="AS778" t="s">
        <v>187</v>
      </c>
      <c r="AT778" t="s">
        <v>14836</v>
      </c>
      <c r="AU778">
        <v>2022</v>
      </c>
      <c r="AV778">
        <v>12</v>
      </c>
      <c r="AW778">
        <v>1</v>
      </c>
      <c r="AX778" t="s">
        <v>74</v>
      </c>
      <c r="AY778" t="s">
        <v>74</v>
      </c>
      <c r="AZ778" t="s">
        <v>74</v>
      </c>
      <c r="BA778" t="s">
        <v>74</v>
      </c>
      <c r="BB778" t="s">
        <v>74</v>
      </c>
      <c r="BC778" t="s">
        <v>74</v>
      </c>
      <c r="BD778">
        <v>18468</v>
      </c>
      <c r="BE778" t="s">
        <v>14889</v>
      </c>
      <c r="BF778" t="str">
        <f>HYPERLINK("http://dx.doi.org/10.1038/s41598-022-22496-3","http://dx.doi.org/10.1038/s41598-022-22496-3")</f>
        <v>http://dx.doi.org/10.1038/s41598-022-22496-3</v>
      </c>
      <c r="BG778" t="s">
        <v>74</v>
      </c>
      <c r="BH778" t="s">
        <v>74</v>
      </c>
      <c r="BI778">
        <v>15</v>
      </c>
      <c r="BJ778" t="s">
        <v>189</v>
      </c>
      <c r="BK778" t="s">
        <v>104</v>
      </c>
      <c r="BL778" t="s">
        <v>190</v>
      </c>
      <c r="BM778" t="s">
        <v>14890</v>
      </c>
      <c r="BN778">
        <v>36323724</v>
      </c>
      <c r="BO778" t="s">
        <v>192</v>
      </c>
      <c r="BP778" t="s">
        <v>74</v>
      </c>
      <c r="BQ778" t="s">
        <v>74</v>
      </c>
      <c r="BR778" t="s">
        <v>108</v>
      </c>
      <c r="BS778" t="s">
        <v>14891</v>
      </c>
      <c r="BT778" t="str">
        <f>HYPERLINK("https%3A%2F%2Fwww.webofscience.com%2Fwos%2Fwoscc%2Ffull-record%2FWOS:000878306800090","View Full Record in Web of Science")</f>
        <v>View Full Record in Web of Science</v>
      </c>
    </row>
    <row r="779" spans="1:72" x14ac:dyDescent="0.15">
      <c r="A779" t="s">
        <v>72</v>
      </c>
      <c r="B779" t="s">
        <v>14892</v>
      </c>
      <c r="C779" t="s">
        <v>74</v>
      </c>
      <c r="D779" t="s">
        <v>74</v>
      </c>
      <c r="E779" t="s">
        <v>74</v>
      </c>
      <c r="F779" t="s">
        <v>14893</v>
      </c>
      <c r="G779" t="s">
        <v>74</v>
      </c>
      <c r="H779" t="s">
        <v>74</v>
      </c>
      <c r="I779" t="s">
        <v>14894</v>
      </c>
      <c r="J779" t="s">
        <v>14895</v>
      </c>
      <c r="K779" t="s">
        <v>74</v>
      </c>
      <c r="L779" t="s">
        <v>74</v>
      </c>
      <c r="M779" t="s">
        <v>78</v>
      </c>
      <c r="N779" t="s">
        <v>79</v>
      </c>
      <c r="O779" t="s">
        <v>74</v>
      </c>
      <c r="P779" t="s">
        <v>74</v>
      </c>
      <c r="Q779" t="s">
        <v>74</v>
      </c>
      <c r="R779" t="s">
        <v>74</v>
      </c>
      <c r="S779" t="s">
        <v>74</v>
      </c>
      <c r="T779" t="s">
        <v>14896</v>
      </c>
      <c r="U779" t="s">
        <v>14897</v>
      </c>
      <c r="V779" t="s">
        <v>14898</v>
      </c>
      <c r="W779" t="s">
        <v>14899</v>
      </c>
      <c r="X779" t="s">
        <v>14900</v>
      </c>
      <c r="Y779" t="s">
        <v>14901</v>
      </c>
      <c r="Z779" t="s">
        <v>14902</v>
      </c>
      <c r="AA779" t="s">
        <v>14903</v>
      </c>
      <c r="AB779" t="s">
        <v>14904</v>
      </c>
      <c r="AC779" t="s">
        <v>14905</v>
      </c>
      <c r="AD779" t="s">
        <v>14906</v>
      </c>
      <c r="AE779" t="s">
        <v>14907</v>
      </c>
      <c r="AF779" t="s">
        <v>74</v>
      </c>
      <c r="AG779">
        <v>115</v>
      </c>
      <c r="AH779">
        <v>0</v>
      </c>
      <c r="AI779">
        <v>0</v>
      </c>
      <c r="AJ779">
        <v>3</v>
      </c>
      <c r="AK779">
        <v>10</v>
      </c>
      <c r="AL779" t="s">
        <v>297</v>
      </c>
      <c r="AM779" t="s">
        <v>298</v>
      </c>
      <c r="AN779" t="s">
        <v>299</v>
      </c>
      <c r="AO779" t="s">
        <v>14908</v>
      </c>
      <c r="AP779" t="s">
        <v>14909</v>
      </c>
      <c r="AQ779" t="s">
        <v>74</v>
      </c>
      <c r="AR779" t="s">
        <v>14910</v>
      </c>
      <c r="AS779" t="s">
        <v>14911</v>
      </c>
      <c r="AT779" t="s">
        <v>276</v>
      </c>
      <c r="AU779">
        <v>2023</v>
      </c>
      <c r="AV779">
        <v>29</v>
      </c>
      <c r="AW779">
        <v>1</v>
      </c>
      <c r="AX779" t="s">
        <v>74</v>
      </c>
      <c r="AY779" t="s">
        <v>74</v>
      </c>
      <c r="AZ779" t="s">
        <v>74</v>
      </c>
      <c r="BA779" t="s">
        <v>74</v>
      </c>
      <c r="BB779">
        <v>123</v>
      </c>
      <c r="BC779">
        <v>142</v>
      </c>
      <c r="BD779" t="s">
        <v>74</v>
      </c>
      <c r="BE779" t="s">
        <v>14912</v>
      </c>
      <c r="BF779" t="str">
        <f>HYPERLINK("http://dx.doi.org/10.1111/ddi.13651","http://dx.doi.org/10.1111/ddi.13651")</f>
        <v>http://dx.doi.org/10.1111/ddi.13651</v>
      </c>
      <c r="BG779" t="s">
        <v>74</v>
      </c>
      <c r="BH779" t="s">
        <v>11396</v>
      </c>
      <c r="BI779">
        <v>20</v>
      </c>
      <c r="BJ779" t="s">
        <v>305</v>
      </c>
      <c r="BK779" t="s">
        <v>104</v>
      </c>
      <c r="BL779" t="s">
        <v>306</v>
      </c>
      <c r="BM779" t="s">
        <v>14913</v>
      </c>
      <c r="BN779" t="s">
        <v>74</v>
      </c>
      <c r="BO779" t="s">
        <v>3181</v>
      </c>
      <c r="BP779" t="s">
        <v>74</v>
      </c>
      <c r="BQ779" t="s">
        <v>74</v>
      </c>
      <c r="BR779" t="s">
        <v>108</v>
      </c>
      <c r="BS779" t="s">
        <v>14914</v>
      </c>
      <c r="BT779" t="str">
        <f>HYPERLINK("https%3A%2F%2Fwww.webofscience.com%2Fwos%2Fwoscc%2Ffull-record%2FWOS:000877494000001","View Full Record in Web of Science")</f>
        <v>View Full Record in Web of Science</v>
      </c>
    </row>
    <row r="780" spans="1:72" x14ac:dyDescent="0.15">
      <c r="A780" t="s">
        <v>72</v>
      </c>
      <c r="B780" t="s">
        <v>14915</v>
      </c>
      <c r="C780" t="s">
        <v>74</v>
      </c>
      <c r="D780" t="s">
        <v>74</v>
      </c>
      <c r="E780" t="s">
        <v>74</v>
      </c>
      <c r="F780" t="s">
        <v>14916</v>
      </c>
      <c r="G780" t="s">
        <v>74</v>
      </c>
      <c r="H780" t="s">
        <v>74</v>
      </c>
      <c r="I780" t="s">
        <v>14917</v>
      </c>
      <c r="J780" t="s">
        <v>7798</v>
      </c>
      <c r="K780" t="s">
        <v>74</v>
      </c>
      <c r="L780" t="s">
        <v>74</v>
      </c>
      <c r="M780" t="s">
        <v>78</v>
      </c>
      <c r="N780" t="s">
        <v>79</v>
      </c>
      <c r="O780" t="s">
        <v>74</v>
      </c>
      <c r="P780" t="s">
        <v>74</v>
      </c>
      <c r="Q780" t="s">
        <v>74</v>
      </c>
      <c r="R780" t="s">
        <v>74</v>
      </c>
      <c r="S780" t="s">
        <v>74</v>
      </c>
      <c r="T780" t="s">
        <v>14918</v>
      </c>
      <c r="U780" t="s">
        <v>14919</v>
      </c>
      <c r="V780" t="s">
        <v>14920</v>
      </c>
      <c r="W780" t="s">
        <v>14921</v>
      </c>
      <c r="X780" t="s">
        <v>14922</v>
      </c>
      <c r="Y780" t="s">
        <v>14923</v>
      </c>
      <c r="Z780" t="s">
        <v>14924</v>
      </c>
      <c r="AA780" t="s">
        <v>74</v>
      </c>
      <c r="AB780" t="s">
        <v>14925</v>
      </c>
      <c r="AC780" t="s">
        <v>14926</v>
      </c>
      <c r="AD780" t="s">
        <v>14927</v>
      </c>
      <c r="AE780" t="s">
        <v>14928</v>
      </c>
      <c r="AF780" t="s">
        <v>74</v>
      </c>
      <c r="AG780">
        <v>81</v>
      </c>
      <c r="AH780">
        <v>4</v>
      </c>
      <c r="AI780">
        <v>4</v>
      </c>
      <c r="AJ780">
        <v>1</v>
      </c>
      <c r="AK780">
        <v>6</v>
      </c>
      <c r="AL780" t="s">
        <v>92</v>
      </c>
      <c r="AM780" t="s">
        <v>7640</v>
      </c>
      <c r="AN780" t="s">
        <v>7811</v>
      </c>
      <c r="AO780" t="s">
        <v>7812</v>
      </c>
      <c r="AP780" t="s">
        <v>7813</v>
      </c>
      <c r="AQ780" t="s">
        <v>74</v>
      </c>
      <c r="AR780" t="s">
        <v>7814</v>
      </c>
      <c r="AS780" t="s">
        <v>7815</v>
      </c>
      <c r="AT780" t="s">
        <v>7816</v>
      </c>
      <c r="AU780">
        <v>2023</v>
      </c>
      <c r="AV780">
        <v>69</v>
      </c>
      <c r="AW780">
        <v>276</v>
      </c>
      <c r="AX780" t="s">
        <v>74</v>
      </c>
      <c r="AY780" t="s">
        <v>74</v>
      </c>
      <c r="AZ780" t="s">
        <v>74</v>
      </c>
      <c r="BA780" t="s">
        <v>74</v>
      </c>
      <c r="BB780">
        <v>737</v>
      </c>
      <c r="BC780">
        <v>748</v>
      </c>
      <c r="BD780" t="s">
        <v>14929</v>
      </c>
      <c r="BE780" t="s">
        <v>14930</v>
      </c>
      <c r="BF780" t="str">
        <f>HYPERLINK("http://dx.doi.org/10.1017/jog.2022.95","http://dx.doi.org/10.1017/jog.2022.95")</f>
        <v>http://dx.doi.org/10.1017/jog.2022.95</v>
      </c>
      <c r="BG780" t="s">
        <v>74</v>
      </c>
      <c r="BH780" t="s">
        <v>11396</v>
      </c>
      <c r="BI780">
        <v>12</v>
      </c>
      <c r="BJ780" t="s">
        <v>611</v>
      </c>
      <c r="BK780" t="s">
        <v>104</v>
      </c>
      <c r="BL780" t="s">
        <v>612</v>
      </c>
      <c r="BM780" t="s">
        <v>7819</v>
      </c>
      <c r="BN780" t="s">
        <v>74</v>
      </c>
      <c r="BO780" t="s">
        <v>165</v>
      </c>
      <c r="BP780" t="s">
        <v>74</v>
      </c>
      <c r="BQ780" t="s">
        <v>74</v>
      </c>
      <c r="BR780" t="s">
        <v>108</v>
      </c>
      <c r="BS780" t="s">
        <v>14931</v>
      </c>
      <c r="BT780" t="str">
        <f>HYPERLINK("https%3A%2F%2Fwww.webofscience.com%2Fwos%2Fwoscc%2Ffull-record%2FWOS:000877914200001","View Full Record in Web of Science")</f>
        <v>View Full Record in Web of Science</v>
      </c>
    </row>
    <row r="781" spans="1:72" x14ac:dyDescent="0.15">
      <c r="A781" t="s">
        <v>72</v>
      </c>
      <c r="B781" t="s">
        <v>14932</v>
      </c>
      <c r="C781" t="s">
        <v>74</v>
      </c>
      <c r="D781" t="s">
        <v>74</v>
      </c>
      <c r="E781" t="s">
        <v>74</v>
      </c>
      <c r="F781" t="s">
        <v>14933</v>
      </c>
      <c r="G781" t="s">
        <v>74</v>
      </c>
      <c r="H781" t="s">
        <v>74</v>
      </c>
      <c r="I781" t="s">
        <v>14934</v>
      </c>
      <c r="J781" t="s">
        <v>14935</v>
      </c>
      <c r="K781" t="s">
        <v>74</v>
      </c>
      <c r="L781" t="s">
        <v>74</v>
      </c>
      <c r="M781" t="s">
        <v>78</v>
      </c>
      <c r="N781" t="s">
        <v>256</v>
      </c>
      <c r="O781" t="s">
        <v>74</v>
      </c>
      <c r="P781" t="s">
        <v>74</v>
      </c>
      <c r="Q781" t="s">
        <v>74</v>
      </c>
      <c r="R781" t="s">
        <v>74</v>
      </c>
      <c r="S781" t="s">
        <v>74</v>
      </c>
      <c r="T781" t="s">
        <v>14936</v>
      </c>
      <c r="U781" t="s">
        <v>14937</v>
      </c>
      <c r="V781" t="s">
        <v>14938</v>
      </c>
      <c r="W781" t="s">
        <v>14939</v>
      </c>
      <c r="X781" t="s">
        <v>14940</v>
      </c>
      <c r="Y781" t="s">
        <v>14941</v>
      </c>
      <c r="Z781" t="s">
        <v>14942</v>
      </c>
      <c r="AA781" t="s">
        <v>14943</v>
      </c>
      <c r="AB781" t="s">
        <v>14944</v>
      </c>
      <c r="AC781" t="s">
        <v>14945</v>
      </c>
      <c r="AD781" t="s">
        <v>14946</v>
      </c>
      <c r="AE781" t="s">
        <v>14947</v>
      </c>
      <c r="AF781" t="s">
        <v>74</v>
      </c>
      <c r="AG781">
        <v>259</v>
      </c>
      <c r="AH781">
        <v>3</v>
      </c>
      <c r="AI781">
        <v>3</v>
      </c>
      <c r="AJ781">
        <v>2</v>
      </c>
      <c r="AK781">
        <v>13</v>
      </c>
      <c r="AL781" t="s">
        <v>297</v>
      </c>
      <c r="AM781" t="s">
        <v>298</v>
      </c>
      <c r="AN781" t="s">
        <v>299</v>
      </c>
      <c r="AO781" t="s">
        <v>14948</v>
      </c>
      <c r="AP781" t="s">
        <v>14949</v>
      </c>
      <c r="AQ781" t="s">
        <v>74</v>
      </c>
      <c r="AR781" t="s">
        <v>14950</v>
      </c>
      <c r="AS781" t="s">
        <v>14951</v>
      </c>
      <c r="AT781" t="s">
        <v>276</v>
      </c>
      <c r="AU781">
        <v>2023</v>
      </c>
      <c r="AV781">
        <v>319</v>
      </c>
      <c r="AW781">
        <v>1</v>
      </c>
      <c r="AX781" t="s">
        <v>74</v>
      </c>
      <c r="AY781" t="s">
        <v>74</v>
      </c>
      <c r="AZ781" t="s">
        <v>74</v>
      </c>
      <c r="BA781" t="s">
        <v>74</v>
      </c>
      <c r="BB781">
        <v>1</v>
      </c>
      <c r="BC781">
        <v>22</v>
      </c>
      <c r="BD781" t="s">
        <v>74</v>
      </c>
      <c r="BE781" t="s">
        <v>14952</v>
      </c>
      <c r="BF781" t="str">
        <f>HYPERLINK("http://dx.doi.org/10.1111/jzo.13029","http://dx.doi.org/10.1111/jzo.13029")</f>
        <v>http://dx.doi.org/10.1111/jzo.13029</v>
      </c>
      <c r="BG781" t="s">
        <v>74</v>
      </c>
      <c r="BH781" t="s">
        <v>11396</v>
      </c>
      <c r="BI781">
        <v>22</v>
      </c>
      <c r="BJ781" t="s">
        <v>2468</v>
      </c>
      <c r="BK781" t="s">
        <v>104</v>
      </c>
      <c r="BL781" t="s">
        <v>2468</v>
      </c>
      <c r="BM781" t="s">
        <v>14953</v>
      </c>
      <c r="BN781" t="s">
        <v>74</v>
      </c>
      <c r="BO781" t="s">
        <v>219</v>
      </c>
      <c r="BP781" t="s">
        <v>74</v>
      </c>
      <c r="BQ781" t="s">
        <v>74</v>
      </c>
      <c r="BR781" t="s">
        <v>108</v>
      </c>
      <c r="BS781" t="s">
        <v>14954</v>
      </c>
      <c r="BT781" t="str">
        <f>HYPERLINK("https%3A%2F%2Fwww.webofscience.com%2Fwos%2Fwoscc%2Ffull-record%2FWOS:000877505200001","View Full Record in Web of Science")</f>
        <v>View Full Record in Web of Science</v>
      </c>
    </row>
    <row r="782" spans="1:72" x14ac:dyDescent="0.15">
      <c r="A782" t="s">
        <v>72</v>
      </c>
      <c r="B782" t="s">
        <v>14955</v>
      </c>
      <c r="C782" t="s">
        <v>74</v>
      </c>
      <c r="D782" t="s">
        <v>74</v>
      </c>
      <c r="E782" t="s">
        <v>74</v>
      </c>
      <c r="F782" t="s">
        <v>14956</v>
      </c>
      <c r="G782" t="s">
        <v>74</v>
      </c>
      <c r="H782" t="s">
        <v>14957</v>
      </c>
      <c r="I782" t="s">
        <v>14958</v>
      </c>
      <c r="J782" t="s">
        <v>14959</v>
      </c>
      <c r="K782" t="s">
        <v>74</v>
      </c>
      <c r="L782" t="s">
        <v>74</v>
      </c>
      <c r="M782" t="s">
        <v>78</v>
      </c>
      <c r="N782" t="s">
        <v>79</v>
      </c>
      <c r="O782" t="s">
        <v>74</v>
      </c>
      <c r="P782" t="s">
        <v>74</v>
      </c>
      <c r="Q782" t="s">
        <v>74</v>
      </c>
      <c r="R782" t="s">
        <v>74</v>
      </c>
      <c r="S782" t="s">
        <v>74</v>
      </c>
      <c r="T782" t="s">
        <v>14960</v>
      </c>
      <c r="U782" t="s">
        <v>14961</v>
      </c>
      <c r="V782" t="s">
        <v>14962</v>
      </c>
      <c r="W782" t="s">
        <v>14963</v>
      </c>
      <c r="X782" t="s">
        <v>14964</v>
      </c>
      <c r="Y782" t="s">
        <v>14965</v>
      </c>
      <c r="Z782" t="s">
        <v>14966</v>
      </c>
      <c r="AA782" t="s">
        <v>14967</v>
      </c>
      <c r="AB782" t="s">
        <v>14968</v>
      </c>
      <c r="AC782" t="s">
        <v>14969</v>
      </c>
      <c r="AD782" t="s">
        <v>14970</v>
      </c>
      <c r="AE782" t="s">
        <v>14971</v>
      </c>
      <c r="AF782" t="s">
        <v>74</v>
      </c>
      <c r="AG782">
        <v>75</v>
      </c>
      <c r="AH782">
        <v>2</v>
      </c>
      <c r="AI782">
        <v>2</v>
      </c>
      <c r="AJ782">
        <v>13</v>
      </c>
      <c r="AK782">
        <v>13</v>
      </c>
      <c r="AL782" t="s">
        <v>5623</v>
      </c>
      <c r="AM782" t="s">
        <v>5624</v>
      </c>
      <c r="AN782" t="s">
        <v>5625</v>
      </c>
      <c r="AO782" t="s">
        <v>14972</v>
      </c>
      <c r="AP782" t="s">
        <v>74</v>
      </c>
      <c r="AQ782" t="s">
        <v>74</v>
      </c>
      <c r="AR782" t="s">
        <v>14973</v>
      </c>
      <c r="AS782" t="s">
        <v>14974</v>
      </c>
      <c r="AT782" t="s">
        <v>14975</v>
      </c>
      <c r="AU782">
        <v>2022</v>
      </c>
      <c r="AV782" t="s">
        <v>74</v>
      </c>
      <c r="AW782">
        <v>11</v>
      </c>
      <c r="AX782" t="s">
        <v>74</v>
      </c>
      <c r="AY782" t="s">
        <v>74</v>
      </c>
      <c r="AZ782" t="s">
        <v>74</v>
      </c>
      <c r="BA782" t="s">
        <v>74</v>
      </c>
      <c r="BB782" t="s">
        <v>74</v>
      </c>
      <c r="BC782" t="s">
        <v>74</v>
      </c>
      <c r="BD782" t="s">
        <v>74</v>
      </c>
      <c r="BE782" t="s">
        <v>14976</v>
      </c>
      <c r="BF782" t="str">
        <f>HYPERLINK("http://dx.doi.org/10.1088/1475-7516/2022/11/022","http://dx.doi.org/10.1088/1475-7516/2022/11/022")</f>
        <v>http://dx.doi.org/10.1088/1475-7516/2022/11/022</v>
      </c>
      <c r="BG782" t="s">
        <v>74</v>
      </c>
      <c r="BH782" t="s">
        <v>74</v>
      </c>
      <c r="BI782">
        <v>44</v>
      </c>
      <c r="BJ782" t="s">
        <v>13829</v>
      </c>
      <c r="BK782" t="s">
        <v>104</v>
      </c>
      <c r="BL782" t="s">
        <v>3863</v>
      </c>
      <c r="BM782" t="s">
        <v>14977</v>
      </c>
      <c r="BN782" t="s">
        <v>74</v>
      </c>
      <c r="BO782" t="s">
        <v>6731</v>
      </c>
      <c r="BP782" t="s">
        <v>74</v>
      </c>
      <c r="BQ782" t="s">
        <v>74</v>
      </c>
      <c r="BR782" t="s">
        <v>108</v>
      </c>
      <c r="BS782" t="s">
        <v>14978</v>
      </c>
      <c r="BT782" t="str">
        <f>HYPERLINK("https%3A%2F%2Fwww.webofscience.com%2Fwos%2Fwoscc%2Ffull-record%2FWOS:000983675200002","View Full Record in Web of Science")</f>
        <v>View Full Record in Web of Science</v>
      </c>
    </row>
    <row r="783" spans="1:72" x14ac:dyDescent="0.15">
      <c r="A783" t="s">
        <v>72</v>
      </c>
      <c r="B783" t="s">
        <v>14979</v>
      </c>
      <c r="C783" t="s">
        <v>74</v>
      </c>
      <c r="D783" t="s">
        <v>74</v>
      </c>
      <c r="E783" t="s">
        <v>74</v>
      </c>
      <c r="F783" t="s">
        <v>14980</v>
      </c>
      <c r="G783" t="s">
        <v>74</v>
      </c>
      <c r="H783" t="s">
        <v>74</v>
      </c>
      <c r="I783" t="s">
        <v>14981</v>
      </c>
      <c r="J783" t="s">
        <v>14982</v>
      </c>
      <c r="K783" t="s">
        <v>74</v>
      </c>
      <c r="L783" t="s">
        <v>74</v>
      </c>
      <c r="M783" t="s">
        <v>78</v>
      </c>
      <c r="N783" t="s">
        <v>79</v>
      </c>
      <c r="O783" t="s">
        <v>74</v>
      </c>
      <c r="P783" t="s">
        <v>74</v>
      </c>
      <c r="Q783" t="s">
        <v>74</v>
      </c>
      <c r="R783" t="s">
        <v>74</v>
      </c>
      <c r="S783" t="s">
        <v>74</v>
      </c>
      <c r="T783" t="s">
        <v>14983</v>
      </c>
      <c r="U783" t="s">
        <v>14984</v>
      </c>
      <c r="V783" t="s">
        <v>14985</v>
      </c>
      <c r="W783" t="s">
        <v>14986</v>
      </c>
      <c r="X783" t="s">
        <v>14987</v>
      </c>
      <c r="Y783" t="s">
        <v>14988</v>
      </c>
      <c r="Z783" t="s">
        <v>14989</v>
      </c>
      <c r="AA783" t="s">
        <v>14990</v>
      </c>
      <c r="AB783" t="s">
        <v>14991</v>
      </c>
      <c r="AC783" t="s">
        <v>14992</v>
      </c>
      <c r="AD783" t="s">
        <v>14993</v>
      </c>
      <c r="AE783" t="s">
        <v>14994</v>
      </c>
      <c r="AF783" t="s">
        <v>74</v>
      </c>
      <c r="AG783">
        <v>96</v>
      </c>
      <c r="AH783">
        <v>1</v>
      </c>
      <c r="AI783">
        <v>1</v>
      </c>
      <c r="AJ783">
        <v>0</v>
      </c>
      <c r="AK783">
        <v>1</v>
      </c>
      <c r="AL783" t="s">
        <v>12956</v>
      </c>
      <c r="AM783" t="s">
        <v>12957</v>
      </c>
      <c r="AN783" t="s">
        <v>12958</v>
      </c>
      <c r="AO783" t="s">
        <v>14995</v>
      </c>
      <c r="AP783" t="s">
        <v>14996</v>
      </c>
      <c r="AQ783" t="s">
        <v>74</v>
      </c>
      <c r="AR783" t="s">
        <v>14997</v>
      </c>
      <c r="AS783" t="s">
        <v>14998</v>
      </c>
      <c r="AT783" t="s">
        <v>14975</v>
      </c>
      <c r="AU783">
        <v>2022</v>
      </c>
      <c r="AV783">
        <v>82</v>
      </c>
      <c r="AW783">
        <v>4</v>
      </c>
      <c r="AX783" t="s">
        <v>74</v>
      </c>
      <c r="AY783" t="s">
        <v>74</v>
      </c>
      <c r="AZ783" t="s">
        <v>74</v>
      </c>
      <c r="BA783" t="s">
        <v>74</v>
      </c>
      <c r="BB783" t="s">
        <v>74</v>
      </c>
      <c r="BC783" t="s">
        <v>74</v>
      </c>
      <c r="BD783">
        <v>125904</v>
      </c>
      <c r="BE783" t="s">
        <v>14999</v>
      </c>
      <c r="BF783" t="str">
        <f>HYPERLINK("http://dx.doi.org/10.1016/j.chemer.2022.125904","http://dx.doi.org/10.1016/j.chemer.2022.125904")</f>
        <v>http://dx.doi.org/10.1016/j.chemer.2022.125904</v>
      </c>
      <c r="BG783" t="s">
        <v>74</v>
      </c>
      <c r="BH783" t="s">
        <v>74</v>
      </c>
      <c r="BI783">
        <v>16</v>
      </c>
      <c r="BJ783" t="s">
        <v>430</v>
      </c>
      <c r="BK783" t="s">
        <v>104</v>
      </c>
      <c r="BL783" t="s">
        <v>430</v>
      </c>
      <c r="BM783" t="s">
        <v>15000</v>
      </c>
      <c r="BN783" t="s">
        <v>74</v>
      </c>
      <c r="BO783" t="s">
        <v>248</v>
      </c>
      <c r="BP783" t="s">
        <v>74</v>
      </c>
      <c r="BQ783" t="s">
        <v>74</v>
      </c>
      <c r="BR783" t="s">
        <v>108</v>
      </c>
      <c r="BS783" t="s">
        <v>15001</v>
      </c>
      <c r="BT783" t="str">
        <f>HYPERLINK("https%3A%2F%2Fwww.webofscience.com%2Fwos%2Fwoscc%2Ffull-record%2FWOS:000981696700003","View Full Record in Web of Science")</f>
        <v>View Full Record in Web of Science</v>
      </c>
    </row>
    <row r="784" spans="1:72" x14ac:dyDescent="0.15">
      <c r="A784" t="s">
        <v>72</v>
      </c>
      <c r="B784" t="s">
        <v>15002</v>
      </c>
      <c r="C784" t="s">
        <v>74</v>
      </c>
      <c r="D784" t="s">
        <v>74</v>
      </c>
      <c r="E784" t="s">
        <v>74</v>
      </c>
      <c r="F784" t="s">
        <v>15003</v>
      </c>
      <c r="G784" t="s">
        <v>74</v>
      </c>
      <c r="H784" t="s">
        <v>74</v>
      </c>
      <c r="I784" t="s">
        <v>15004</v>
      </c>
      <c r="J784" t="s">
        <v>15005</v>
      </c>
      <c r="K784" t="s">
        <v>74</v>
      </c>
      <c r="L784" t="s">
        <v>74</v>
      </c>
      <c r="M784" t="s">
        <v>78</v>
      </c>
      <c r="N784" t="s">
        <v>79</v>
      </c>
      <c r="O784" t="s">
        <v>74</v>
      </c>
      <c r="P784" t="s">
        <v>74</v>
      </c>
      <c r="Q784" t="s">
        <v>74</v>
      </c>
      <c r="R784" t="s">
        <v>74</v>
      </c>
      <c r="S784" t="s">
        <v>74</v>
      </c>
      <c r="T784" t="s">
        <v>15006</v>
      </c>
      <c r="U784" t="s">
        <v>15007</v>
      </c>
      <c r="V784" t="s">
        <v>15008</v>
      </c>
      <c r="W784" t="s">
        <v>15009</v>
      </c>
      <c r="X784" t="s">
        <v>6272</v>
      </c>
      <c r="Y784" t="s">
        <v>15010</v>
      </c>
      <c r="Z784" t="s">
        <v>15011</v>
      </c>
      <c r="AA784" t="s">
        <v>74</v>
      </c>
      <c r="AB784" t="s">
        <v>15012</v>
      </c>
      <c r="AC784" t="s">
        <v>15013</v>
      </c>
      <c r="AD784" t="s">
        <v>15014</v>
      </c>
      <c r="AE784" t="s">
        <v>15015</v>
      </c>
      <c r="AF784" t="s">
        <v>74</v>
      </c>
      <c r="AG784">
        <v>91</v>
      </c>
      <c r="AH784">
        <v>0</v>
      </c>
      <c r="AI784">
        <v>0</v>
      </c>
      <c r="AJ784">
        <v>2</v>
      </c>
      <c r="AK784">
        <v>6</v>
      </c>
      <c r="AL784" t="s">
        <v>1791</v>
      </c>
      <c r="AM784" t="s">
        <v>576</v>
      </c>
      <c r="AN784" t="s">
        <v>1792</v>
      </c>
      <c r="AO784" t="s">
        <v>15016</v>
      </c>
      <c r="AP784" t="s">
        <v>15017</v>
      </c>
      <c r="AQ784" t="s">
        <v>74</v>
      </c>
      <c r="AR784" t="s">
        <v>15018</v>
      </c>
      <c r="AS784" t="s">
        <v>15019</v>
      </c>
      <c r="AT784" t="s">
        <v>14975</v>
      </c>
      <c r="AU784">
        <v>2022</v>
      </c>
      <c r="AV784">
        <v>57</v>
      </c>
      <c r="AW784">
        <v>11</v>
      </c>
      <c r="AX784" t="s">
        <v>74</v>
      </c>
      <c r="AY784" t="s">
        <v>74</v>
      </c>
      <c r="AZ784" t="s">
        <v>74</v>
      </c>
      <c r="BA784" t="s">
        <v>74</v>
      </c>
      <c r="BB784" t="s">
        <v>74</v>
      </c>
      <c r="BC784" t="s">
        <v>74</v>
      </c>
      <c r="BD784" t="s">
        <v>15020</v>
      </c>
      <c r="BE784" t="s">
        <v>15021</v>
      </c>
      <c r="BF784" t="str">
        <f>HYPERLINK("http://dx.doi.org/10.1029/2022RS007466","http://dx.doi.org/10.1029/2022RS007466")</f>
        <v>http://dx.doi.org/10.1029/2022RS007466</v>
      </c>
      <c r="BG784" t="s">
        <v>74</v>
      </c>
      <c r="BH784" t="s">
        <v>74</v>
      </c>
      <c r="BI784">
        <v>17</v>
      </c>
      <c r="BJ784" t="s">
        <v>15022</v>
      </c>
      <c r="BK784" t="s">
        <v>104</v>
      </c>
      <c r="BL784" t="s">
        <v>15022</v>
      </c>
      <c r="BM784" t="s">
        <v>15023</v>
      </c>
      <c r="BN784" t="s">
        <v>74</v>
      </c>
      <c r="BO784" t="s">
        <v>660</v>
      </c>
      <c r="BP784" t="s">
        <v>74</v>
      </c>
      <c r="BQ784" t="s">
        <v>74</v>
      </c>
      <c r="BR784" t="s">
        <v>108</v>
      </c>
      <c r="BS784" t="s">
        <v>15024</v>
      </c>
      <c r="BT784" t="str">
        <f>HYPERLINK("https%3A%2F%2Fwww.webofscience.com%2Fwos%2Fwoscc%2Ffull-record%2FWOS:000928053400009","View Full Record in Web of Science")</f>
        <v>View Full Record in Web of Science</v>
      </c>
    </row>
    <row r="785" spans="1:72" x14ac:dyDescent="0.15">
      <c r="A785" t="s">
        <v>72</v>
      </c>
      <c r="B785" t="s">
        <v>15025</v>
      </c>
      <c r="C785" t="s">
        <v>74</v>
      </c>
      <c r="D785" t="s">
        <v>74</v>
      </c>
      <c r="E785" t="s">
        <v>74</v>
      </c>
      <c r="F785" t="s">
        <v>15026</v>
      </c>
      <c r="G785" t="s">
        <v>74</v>
      </c>
      <c r="H785" t="s">
        <v>74</v>
      </c>
      <c r="I785" t="s">
        <v>15027</v>
      </c>
      <c r="J785" t="s">
        <v>15028</v>
      </c>
      <c r="K785" t="s">
        <v>74</v>
      </c>
      <c r="L785" t="s">
        <v>74</v>
      </c>
      <c r="M785" t="s">
        <v>78</v>
      </c>
      <c r="N785" t="s">
        <v>79</v>
      </c>
      <c r="O785" t="s">
        <v>74</v>
      </c>
      <c r="P785" t="s">
        <v>74</v>
      </c>
      <c r="Q785" t="s">
        <v>74</v>
      </c>
      <c r="R785" t="s">
        <v>74</v>
      </c>
      <c r="S785" t="s">
        <v>74</v>
      </c>
      <c r="T785" t="s">
        <v>15029</v>
      </c>
      <c r="U785" t="s">
        <v>15030</v>
      </c>
      <c r="V785" t="s">
        <v>15031</v>
      </c>
      <c r="W785" t="s">
        <v>15032</v>
      </c>
      <c r="X785" t="s">
        <v>15033</v>
      </c>
      <c r="Y785" t="s">
        <v>15034</v>
      </c>
      <c r="Z785" t="s">
        <v>15035</v>
      </c>
      <c r="AA785" t="s">
        <v>15036</v>
      </c>
      <c r="AB785" t="s">
        <v>15037</v>
      </c>
      <c r="AC785" t="s">
        <v>15038</v>
      </c>
      <c r="AD785" t="s">
        <v>15039</v>
      </c>
      <c r="AE785" t="s">
        <v>15040</v>
      </c>
      <c r="AF785" t="s">
        <v>74</v>
      </c>
      <c r="AG785">
        <v>76</v>
      </c>
      <c r="AH785">
        <v>2</v>
      </c>
      <c r="AI785">
        <v>2</v>
      </c>
      <c r="AJ785">
        <v>1</v>
      </c>
      <c r="AK785">
        <v>4</v>
      </c>
      <c r="AL785" t="s">
        <v>1791</v>
      </c>
      <c r="AM785" t="s">
        <v>576</v>
      </c>
      <c r="AN785" t="s">
        <v>1792</v>
      </c>
      <c r="AO785" t="s">
        <v>15041</v>
      </c>
      <c r="AP785" t="s">
        <v>15042</v>
      </c>
      <c r="AQ785" t="s">
        <v>74</v>
      </c>
      <c r="AR785" t="s">
        <v>15043</v>
      </c>
      <c r="AS785" t="s">
        <v>15044</v>
      </c>
      <c r="AT785" t="s">
        <v>14975</v>
      </c>
      <c r="AU785">
        <v>2022</v>
      </c>
      <c r="AV785">
        <v>36</v>
      </c>
      <c r="AW785">
        <v>11</v>
      </c>
      <c r="AX785" t="s">
        <v>74</v>
      </c>
      <c r="AY785" t="s">
        <v>74</v>
      </c>
      <c r="AZ785" t="s">
        <v>74</v>
      </c>
      <c r="BA785" t="s">
        <v>74</v>
      </c>
      <c r="BB785" t="s">
        <v>74</v>
      </c>
      <c r="BC785" t="s">
        <v>74</v>
      </c>
      <c r="BD785" t="s">
        <v>15045</v>
      </c>
      <c r="BE785" t="s">
        <v>15046</v>
      </c>
      <c r="BF785" t="str">
        <f>HYPERLINK("http://dx.doi.org/10.1029/2022GB007475","http://dx.doi.org/10.1029/2022GB007475")</f>
        <v>http://dx.doi.org/10.1029/2022GB007475</v>
      </c>
      <c r="BG785" t="s">
        <v>74</v>
      </c>
      <c r="BH785" t="s">
        <v>74</v>
      </c>
      <c r="BI785">
        <v>20</v>
      </c>
      <c r="BJ785" t="s">
        <v>381</v>
      </c>
      <c r="BK785" t="s">
        <v>104</v>
      </c>
      <c r="BL785" t="s">
        <v>382</v>
      </c>
      <c r="BM785" t="s">
        <v>15047</v>
      </c>
      <c r="BN785" t="s">
        <v>74</v>
      </c>
      <c r="BO785" t="s">
        <v>3561</v>
      </c>
      <c r="BP785" t="s">
        <v>74</v>
      </c>
      <c r="BQ785" t="s">
        <v>74</v>
      </c>
      <c r="BR785" t="s">
        <v>108</v>
      </c>
      <c r="BS785" t="s">
        <v>15048</v>
      </c>
      <c r="BT785" t="str">
        <f>HYPERLINK("https%3A%2F%2Fwww.webofscience.com%2Fwos%2Fwoscc%2Ffull-record%2FWOS:000934034700001","View Full Record in Web of Science")</f>
        <v>View Full Record in Web of Science</v>
      </c>
    </row>
    <row r="786" spans="1:72" x14ac:dyDescent="0.15">
      <c r="A786" t="s">
        <v>72</v>
      </c>
      <c r="B786" t="s">
        <v>15049</v>
      </c>
      <c r="C786" t="s">
        <v>74</v>
      </c>
      <c r="D786" t="s">
        <v>74</v>
      </c>
      <c r="E786" t="s">
        <v>74</v>
      </c>
      <c r="F786" t="s">
        <v>15050</v>
      </c>
      <c r="G786" t="s">
        <v>74</v>
      </c>
      <c r="H786" t="s">
        <v>74</v>
      </c>
      <c r="I786" t="s">
        <v>15051</v>
      </c>
      <c r="J786" t="s">
        <v>15028</v>
      </c>
      <c r="K786" t="s">
        <v>74</v>
      </c>
      <c r="L786" t="s">
        <v>74</v>
      </c>
      <c r="M786" t="s">
        <v>78</v>
      </c>
      <c r="N786" t="s">
        <v>79</v>
      </c>
      <c r="O786" t="s">
        <v>74</v>
      </c>
      <c r="P786" t="s">
        <v>74</v>
      </c>
      <c r="Q786" t="s">
        <v>74</v>
      </c>
      <c r="R786" t="s">
        <v>74</v>
      </c>
      <c r="S786" t="s">
        <v>74</v>
      </c>
      <c r="T786" t="s">
        <v>15052</v>
      </c>
      <c r="U786" t="s">
        <v>15053</v>
      </c>
      <c r="V786" t="s">
        <v>15054</v>
      </c>
      <c r="W786" t="s">
        <v>15055</v>
      </c>
      <c r="X786" t="s">
        <v>15056</v>
      </c>
      <c r="Y786" t="s">
        <v>15057</v>
      </c>
      <c r="Z786" t="s">
        <v>15058</v>
      </c>
      <c r="AA786" t="s">
        <v>15059</v>
      </c>
      <c r="AB786" t="s">
        <v>15060</v>
      </c>
      <c r="AC786" t="s">
        <v>15061</v>
      </c>
      <c r="AD786" t="s">
        <v>15062</v>
      </c>
      <c r="AE786" t="s">
        <v>15063</v>
      </c>
      <c r="AF786" t="s">
        <v>74</v>
      </c>
      <c r="AG786">
        <v>88</v>
      </c>
      <c r="AH786">
        <v>2</v>
      </c>
      <c r="AI786">
        <v>2</v>
      </c>
      <c r="AJ786">
        <v>8</v>
      </c>
      <c r="AK786">
        <v>11</v>
      </c>
      <c r="AL786" t="s">
        <v>1791</v>
      </c>
      <c r="AM786" t="s">
        <v>576</v>
      </c>
      <c r="AN786" t="s">
        <v>1792</v>
      </c>
      <c r="AO786" t="s">
        <v>15041</v>
      </c>
      <c r="AP786" t="s">
        <v>15042</v>
      </c>
      <c r="AQ786" t="s">
        <v>74</v>
      </c>
      <c r="AR786" t="s">
        <v>15043</v>
      </c>
      <c r="AS786" t="s">
        <v>15044</v>
      </c>
      <c r="AT786" t="s">
        <v>14975</v>
      </c>
      <c r="AU786">
        <v>2022</v>
      </c>
      <c r="AV786">
        <v>36</v>
      </c>
      <c r="AW786">
        <v>11</v>
      </c>
      <c r="AX786" t="s">
        <v>74</v>
      </c>
      <c r="AY786" t="s">
        <v>74</v>
      </c>
      <c r="AZ786" t="s">
        <v>74</v>
      </c>
      <c r="BA786" t="s">
        <v>74</v>
      </c>
      <c r="BB786" t="s">
        <v>74</v>
      </c>
      <c r="BC786" t="s">
        <v>74</v>
      </c>
      <c r="BD786" t="s">
        <v>15064</v>
      </c>
      <c r="BE786" t="s">
        <v>15065</v>
      </c>
      <c r="BF786" t="str">
        <f>HYPERLINK("http://dx.doi.org/10.1029/2022GB007493","http://dx.doi.org/10.1029/2022GB007493")</f>
        <v>http://dx.doi.org/10.1029/2022GB007493</v>
      </c>
      <c r="BG786" t="s">
        <v>74</v>
      </c>
      <c r="BH786" t="s">
        <v>74</v>
      </c>
      <c r="BI786">
        <v>22</v>
      </c>
      <c r="BJ786" t="s">
        <v>381</v>
      </c>
      <c r="BK786" t="s">
        <v>104</v>
      </c>
      <c r="BL786" t="s">
        <v>382</v>
      </c>
      <c r="BM786" t="s">
        <v>15066</v>
      </c>
      <c r="BN786">
        <v>36582664</v>
      </c>
      <c r="BO786" t="s">
        <v>15067</v>
      </c>
      <c r="BP786" t="s">
        <v>74</v>
      </c>
      <c r="BQ786" t="s">
        <v>74</v>
      </c>
      <c r="BR786" t="s">
        <v>108</v>
      </c>
      <c r="BS786" t="s">
        <v>15068</v>
      </c>
      <c r="BT786" t="str">
        <f>HYPERLINK("https%3A%2F%2Fwww.webofscience.com%2Fwos%2Fwoscc%2Ffull-record%2FWOS:000934035100001","View Full Record in Web of Science")</f>
        <v>View Full Record in Web of Science</v>
      </c>
    </row>
    <row r="787" spans="1:72" x14ac:dyDescent="0.15">
      <c r="A787" t="s">
        <v>72</v>
      </c>
      <c r="B787" t="s">
        <v>15069</v>
      </c>
      <c r="C787" t="s">
        <v>74</v>
      </c>
      <c r="D787" t="s">
        <v>74</v>
      </c>
      <c r="E787" t="s">
        <v>74</v>
      </c>
      <c r="F787" t="s">
        <v>15070</v>
      </c>
      <c r="G787" t="s">
        <v>74</v>
      </c>
      <c r="H787" t="s">
        <v>74</v>
      </c>
      <c r="I787" t="s">
        <v>15071</v>
      </c>
      <c r="J787" t="s">
        <v>3541</v>
      </c>
      <c r="K787" t="s">
        <v>74</v>
      </c>
      <c r="L787" t="s">
        <v>74</v>
      </c>
      <c r="M787" t="s">
        <v>78</v>
      </c>
      <c r="N787" t="s">
        <v>79</v>
      </c>
      <c r="O787" t="s">
        <v>74</v>
      </c>
      <c r="P787" t="s">
        <v>74</v>
      </c>
      <c r="Q787" t="s">
        <v>74</v>
      </c>
      <c r="R787" t="s">
        <v>74</v>
      </c>
      <c r="S787" t="s">
        <v>74</v>
      </c>
      <c r="T787" t="s">
        <v>15072</v>
      </c>
      <c r="U787" t="s">
        <v>15073</v>
      </c>
      <c r="V787" t="s">
        <v>15074</v>
      </c>
      <c r="W787" t="s">
        <v>15075</v>
      </c>
      <c r="X787" t="s">
        <v>15076</v>
      </c>
      <c r="Y787" t="s">
        <v>15077</v>
      </c>
      <c r="Z787" t="s">
        <v>15078</v>
      </c>
      <c r="AA787" t="s">
        <v>15079</v>
      </c>
      <c r="AB787" t="s">
        <v>15080</v>
      </c>
      <c r="AC787" t="s">
        <v>74</v>
      </c>
      <c r="AD787" t="s">
        <v>74</v>
      </c>
      <c r="AE787" t="s">
        <v>74</v>
      </c>
      <c r="AF787" t="s">
        <v>74</v>
      </c>
      <c r="AG787">
        <v>85</v>
      </c>
      <c r="AH787">
        <v>1</v>
      </c>
      <c r="AI787">
        <v>1</v>
      </c>
      <c r="AJ787">
        <v>1</v>
      </c>
      <c r="AK787">
        <v>2</v>
      </c>
      <c r="AL787" t="s">
        <v>1791</v>
      </c>
      <c r="AM787" t="s">
        <v>576</v>
      </c>
      <c r="AN787" t="s">
        <v>1792</v>
      </c>
      <c r="AO787" t="s">
        <v>3554</v>
      </c>
      <c r="AP787" t="s">
        <v>3555</v>
      </c>
      <c r="AQ787" t="s">
        <v>74</v>
      </c>
      <c r="AR787" t="s">
        <v>3556</v>
      </c>
      <c r="AS787" t="s">
        <v>3557</v>
      </c>
      <c r="AT787" t="s">
        <v>14975</v>
      </c>
      <c r="AU787">
        <v>2022</v>
      </c>
      <c r="AV787">
        <v>127</v>
      </c>
      <c r="AW787">
        <v>11</v>
      </c>
      <c r="AX787" t="s">
        <v>74</v>
      </c>
      <c r="AY787" t="s">
        <v>74</v>
      </c>
      <c r="AZ787" t="s">
        <v>74</v>
      </c>
      <c r="BA787" t="s">
        <v>74</v>
      </c>
      <c r="BB787" t="s">
        <v>74</v>
      </c>
      <c r="BC787" t="s">
        <v>74</v>
      </c>
      <c r="BD787" t="s">
        <v>15081</v>
      </c>
      <c r="BE787" t="s">
        <v>15082</v>
      </c>
      <c r="BF787" t="str">
        <f>HYPERLINK("http://dx.doi.org/10.1029/2022JC019103","http://dx.doi.org/10.1029/2022JC019103")</f>
        <v>http://dx.doi.org/10.1029/2022JC019103</v>
      </c>
      <c r="BG787" t="s">
        <v>74</v>
      </c>
      <c r="BH787" t="s">
        <v>74</v>
      </c>
      <c r="BI787">
        <v>19</v>
      </c>
      <c r="BJ787" t="s">
        <v>403</v>
      </c>
      <c r="BK787" t="s">
        <v>104</v>
      </c>
      <c r="BL787" t="s">
        <v>403</v>
      </c>
      <c r="BM787" t="s">
        <v>15083</v>
      </c>
      <c r="BN787" t="s">
        <v>74</v>
      </c>
      <c r="BO787" t="s">
        <v>4248</v>
      </c>
      <c r="BP787" t="s">
        <v>74</v>
      </c>
      <c r="BQ787" t="s">
        <v>74</v>
      </c>
      <c r="BR787" t="s">
        <v>108</v>
      </c>
      <c r="BS787" t="s">
        <v>15084</v>
      </c>
      <c r="BT787" t="str">
        <f>HYPERLINK("https%3A%2F%2Fwww.webofscience.com%2Fwos%2Fwoscc%2Ffull-record%2FWOS:000888189500001","View Full Record in Web of Science")</f>
        <v>View Full Record in Web of Science</v>
      </c>
    </row>
    <row r="788" spans="1:72" x14ac:dyDescent="0.15">
      <c r="A788" t="s">
        <v>72</v>
      </c>
      <c r="B788" t="s">
        <v>15085</v>
      </c>
      <c r="C788" t="s">
        <v>74</v>
      </c>
      <c r="D788" t="s">
        <v>74</v>
      </c>
      <c r="E788" t="s">
        <v>74</v>
      </c>
      <c r="F788" t="s">
        <v>15086</v>
      </c>
      <c r="G788" t="s">
        <v>74</v>
      </c>
      <c r="H788" t="s">
        <v>74</v>
      </c>
      <c r="I788" t="s">
        <v>15087</v>
      </c>
      <c r="J788" t="s">
        <v>4229</v>
      </c>
      <c r="K788" t="s">
        <v>74</v>
      </c>
      <c r="L788" t="s">
        <v>74</v>
      </c>
      <c r="M788" t="s">
        <v>78</v>
      </c>
      <c r="N788" t="s">
        <v>79</v>
      </c>
      <c r="O788" t="s">
        <v>74</v>
      </c>
      <c r="P788" t="s">
        <v>74</v>
      </c>
      <c r="Q788" t="s">
        <v>74</v>
      </c>
      <c r="R788" t="s">
        <v>74</v>
      </c>
      <c r="S788" t="s">
        <v>74</v>
      </c>
      <c r="T788" t="s">
        <v>15088</v>
      </c>
      <c r="U788" t="s">
        <v>15089</v>
      </c>
      <c r="V788" t="s">
        <v>15090</v>
      </c>
      <c r="W788" t="s">
        <v>15091</v>
      </c>
      <c r="X788" t="s">
        <v>909</v>
      </c>
      <c r="Y788" t="s">
        <v>15092</v>
      </c>
      <c r="Z788" t="s">
        <v>15093</v>
      </c>
      <c r="AA788" t="s">
        <v>15094</v>
      </c>
      <c r="AB788" t="s">
        <v>15095</v>
      </c>
      <c r="AC788" t="s">
        <v>15096</v>
      </c>
      <c r="AD788" t="s">
        <v>15097</v>
      </c>
      <c r="AE788" t="s">
        <v>15098</v>
      </c>
      <c r="AF788" t="s">
        <v>74</v>
      </c>
      <c r="AG788">
        <v>83</v>
      </c>
      <c r="AH788">
        <v>4</v>
      </c>
      <c r="AI788">
        <v>4</v>
      </c>
      <c r="AJ788">
        <v>8</v>
      </c>
      <c r="AK788">
        <v>18</v>
      </c>
      <c r="AL788" t="s">
        <v>1791</v>
      </c>
      <c r="AM788" t="s">
        <v>576</v>
      </c>
      <c r="AN788" t="s">
        <v>1792</v>
      </c>
      <c r="AO788" t="s">
        <v>74</v>
      </c>
      <c r="AP788" t="s">
        <v>4241</v>
      </c>
      <c r="AQ788" t="s">
        <v>74</v>
      </c>
      <c r="AR788" t="s">
        <v>4242</v>
      </c>
      <c r="AS788" t="s">
        <v>4243</v>
      </c>
      <c r="AT788" t="s">
        <v>14975</v>
      </c>
      <c r="AU788">
        <v>2022</v>
      </c>
      <c r="AV788">
        <v>20</v>
      </c>
      <c r="AW788">
        <v>11</v>
      </c>
      <c r="AX788" t="s">
        <v>74</v>
      </c>
      <c r="AY788" t="s">
        <v>74</v>
      </c>
      <c r="AZ788" t="s">
        <v>74</v>
      </c>
      <c r="BA788" t="s">
        <v>74</v>
      </c>
      <c r="BB788" t="s">
        <v>74</v>
      </c>
      <c r="BC788" t="s">
        <v>74</v>
      </c>
      <c r="BD788" t="s">
        <v>15099</v>
      </c>
      <c r="BE788" t="s">
        <v>15100</v>
      </c>
      <c r="BF788" t="str">
        <f>HYPERLINK("http://dx.doi.org/10.1029/2022SW003141","http://dx.doi.org/10.1029/2022SW003141")</f>
        <v>http://dx.doi.org/10.1029/2022SW003141</v>
      </c>
      <c r="BG788" t="s">
        <v>74</v>
      </c>
      <c r="BH788" t="s">
        <v>74</v>
      </c>
      <c r="BI788">
        <v>18</v>
      </c>
      <c r="BJ788" t="s">
        <v>4246</v>
      </c>
      <c r="BK788" t="s">
        <v>104</v>
      </c>
      <c r="BL788" t="s">
        <v>4246</v>
      </c>
      <c r="BM788" t="s">
        <v>15101</v>
      </c>
      <c r="BN788" t="s">
        <v>74</v>
      </c>
      <c r="BO788" t="s">
        <v>219</v>
      </c>
      <c r="BP788" t="s">
        <v>74</v>
      </c>
      <c r="BQ788" t="s">
        <v>74</v>
      </c>
      <c r="BR788" t="s">
        <v>108</v>
      </c>
      <c r="BS788" t="s">
        <v>15102</v>
      </c>
      <c r="BT788" t="str">
        <f>HYPERLINK("https%3A%2F%2Fwww.webofscience.com%2Fwos%2Fwoscc%2Ffull-record%2FWOS:000928053600004","View Full Record in Web of Science")</f>
        <v>View Full Record in Web of Science</v>
      </c>
    </row>
    <row r="789" spans="1:72" x14ac:dyDescent="0.15">
      <c r="A789" t="s">
        <v>72</v>
      </c>
      <c r="B789" t="s">
        <v>15103</v>
      </c>
      <c r="C789" t="s">
        <v>74</v>
      </c>
      <c r="D789" t="s">
        <v>74</v>
      </c>
      <c r="E789" t="s">
        <v>74</v>
      </c>
      <c r="F789" t="s">
        <v>15104</v>
      </c>
      <c r="G789" t="s">
        <v>74</v>
      </c>
      <c r="H789" t="s">
        <v>74</v>
      </c>
      <c r="I789" t="s">
        <v>15105</v>
      </c>
      <c r="J789" t="s">
        <v>15106</v>
      </c>
      <c r="K789" t="s">
        <v>74</v>
      </c>
      <c r="L789" t="s">
        <v>74</v>
      </c>
      <c r="M789" t="s">
        <v>78</v>
      </c>
      <c r="N789" t="s">
        <v>79</v>
      </c>
      <c r="O789" t="s">
        <v>74</v>
      </c>
      <c r="P789" t="s">
        <v>74</v>
      </c>
      <c r="Q789" t="s">
        <v>74</v>
      </c>
      <c r="R789" t="s">
        <v>74</v>
      </c>
      <c r="S789" t="s">
        <v>74</v>
      </c>
      <c r="T789" t="s">
        <v>74</v>
      </c>
      <c r="U789" t="s">
        <v>15107</v>
      </c>
      <c r="V789" t="s">
        <v>15108</v>
      </c>
      <c r="W789" t="s">
        <v>15109</v>
      </c>
      <c r="X789" t="s">
        <v>74</v>
      </c>
      <c r="Y789" t="s">
        <v>15110</v>
      </c>
      <c r="Z789" t="s">
        <v>15111</v>
      </c>
      <c r="AA789" t="s">
        <v>74</v>
      </c>
      <c r="AB789" t="s">
        <v>74</v>
      </c>
      <c r="AC789" t="s">
        <v>74</v>
      </c>
      <c r="AD789" t="s">
        <v>74</v>
      </c>
      <c r="AE789" t="s">
        <v>74</v>
      </c>
      <c r="AF789" t="s">
        <v>74</v>
      </c>
      <c r="AG789">
        <v>19</v>
      </c>
      <c r="AH789">
        <v>1</v>
      </c>
      <c r="AI789">
        <v>1</v>
      </c>
      <c r="AJ789">
        <v>1</v>
      </c>
      <c r="AK789">
        <v>4</v>
      </c>
      <c r="AL789" t="s">
        <v>15112</v>
      </c>
      <c r="AM789" t="s">
        <v>15113</v>
      </c>
      <c r="AN789" t="s">
        <v>15114</v>
      </c>
      <c r="AO789" t="s">
        <v>15115</v>
      </c>
      <c r="AP789" t="s">
        <v>15116</v>
      </c>
      <c r="AQ789" t="s">
        <v>74</v>
      </c>
      <c r="AR789" t="s">
        <v>15117</v>
      </c>
      <c r="AS789" t="s">
        <v>15118</v>
      </c>
      <c r="AT789" t="s">
        <v>14975</v>
      </c>
      <c r="AU789">
        <v>2022</v>
      </c>
      <c r="AV789">
        <v>90</v>
      </c>
      <c r="AW789">
        <v>11</v>
      </c>
      <c r="AX789" t="s">
        <v>74</v>
      </c>
      <c r="AY789" t="s">
        <v>74</v>
      </c>
      <c r="AZ789" t="s">
        <v>74</v>
      </c>
      <c r="BA789" t="s">
        <v>74</v>
      </c>
      <c r="BB789">
        <v>848</v>
      </c>
      <c r="BC789">
        <v>856</v>
      </c>
      <c r="BD789" t="s">
        <v>74</v>
      </c>
      <c r="BE789" t="s">
        <v>15119</v>
      </c>
      <c r="BF789" t="str">
        <f>HYPERLINK("http://dx.doi.org/10.1119/10.0013563","http://dx.doi.org/10.1119/10.0013563")</f>
        <v>http://dx.doi.org/10.1119/10.0013563</v>
      </c>
      <c r="BG789" t="s">
        <v>74</v>
      </c>
      <c r="BH789" t="s">
        <v>74</v>
      </c>
      <c r="BI789">
        <v>9</v>
      </c>
      <c r="BJ789" t="s">
        <v>15120</v>
      </c>
      <c r="BK789" t="s">
        <v>104</v>
      </c>
      <c r="BL789" t="s">
        <v>15121</v>
      </c>
      <c r="BM789" t="s">
        <v>15122</v>
      </c>
      <c r="BN789" t="s">
        <v>74</v>
      </c>
      <c r="BO789" t="s">
        <v>219</v>
      </c>
      <c r="BP789" t="s">
        <v>74</v>
      </c>
      <c r="BQ789" t="s">
        <v>74</v>
      </c>
      <c r="BR789" t="s">
        <v>108</v>
      </c>
      <c r="BS789" t="s">
        <v>15123</v>
      </c>
      <c r="BT789" t="str">
        <f>HYPERLINK("https%3A%2F%2Fwww.webofscience.com%2Fwos%2Fwoscc%2Ffull-record%2FWOS:000932844500009","View Full Record in Web of Science")</f>
        <v>View Full Record in Web of Science</v>
      </c>
    </row>
    <row r="790" spans="1:72" x14ac:dyDescent="0.15">
      <c r="A790" t="s">
        <v>72</v>
      </c>
      <c r="B790" t="s">
        <v>15124</v>
      </c>
      <c r="C790" t="s">
        <v>74</v>
      </c>
      <c r="D790" t="s">
        <v>74</v>
      </c>
      <c r="E790" t="s">
        <v>74</v>
      </c>
      <c r="F790" t="s">
        <v>15125</v>
      </c>
      <c r="G790" t="s">
        <v>74</v>
      </c>
      <c r="H790" t="s">
        <v>74</v>
      </c>
      <c r="I790" t="s">
        <v>15126</v>
      </c>
      <c r="J790" t="s">
        <v>1778</v>
      </c>
      <c r="K790" t="s">
        <v>74</v>
      </c>
      <c r="L790" t="s">
        <v>74</v>
      </c>
      <c r="M790" t="s">
        <v>78</v>
      </c>
      <c r="N790" t="s">
        <v>79</v>
      </c>
      <c r="O790" t="s">
        <v>74</v>
      </c>
      <c r="P790" t="s">
        <v>74</v>
      </c>
      <c r="Q790" t="s">
        <v>74</v>
      </c>
      <c r="R790" t="s">
        <v>74</v>
      </c>
      <c r="S790" t="s">
        <v>74</v>
      </c>
      <c r="T790" t="s">
        <v>15127</v>
      </c>
      <c r="U790" t="s">
        <v>15128</v>
      </c>
      <c r="V790" t="s">
        <v>15129</v>
      </c>
      <c r="W790" t="s">
        <v>15130</v>
      </c>
      <c r="X790" t="s">
        <v>15131</v>
      </c>
      <c r="Y790" t="s">
        <v>15132</v>
      </c>
      <c r="Z790" t="s">
        <v>15133</v>
      </c>
      <c r="AA790" t="s">
        <v>15134</v>
      </c>
      <c r="AB790" t="s">
        <v>15135</v>
      </c>
      <c r="AC790" t="s">
        <v>15136</v>
      </c>
      <c r="AD790" t="s">
        <v>15137</v>
      </c>
      <c r="AE790" t="s">
        <v>15138</v>
      </c>
      <c r="AF790" t="s">
        <v>74</v>
      </c>
      <c r="AG790">
        <v>110</v>
      </c>
      <c r="AH790">
        <v>3</v>
      </c>
      <c r="AI790">
        <v>3</v>
      </c>
      <c r="AJ790">
        <v>8</v>
      </c>
      <c r="AK790">
        <v>25</v>
      </c>
      <c r="AL790" t="s">
        <v>1791</v>
      </c>
      <c r="AM790" t="s">
        <v>576</v>
      </c>
      <c r="AN790" t="s">
        <v>1792</v>
      </c>
      <c r="AO790" t="s">
        <v>1793</v>
      </c>
      <c r="AP790" t="s">
        <v>1794</v>
      </c>
      <c r="AQ790" t="s">
        <v>74</v>
      </c>
      <c r="AR790" t="s">
        <v>1795</v>
      </c>
      <c r="AS790" t="s">
        <v>1796</v>
      </c>
      <c r="AT790" t="s">
        <v>14975</v>
      </c>
      <c r="AU790">
        <v>2022</v>
      </c>
      <c r="AV790">
        <v>127</v>
      </c>
      <c r="AW790">
        <v>11</v>
      </c>
      <c r="AX790" t="s">
        <v>74</v>
      </c>
      <c r="AY790" t="s">
        <v>74</v>
      </c>
      <c r="AZ790" t="s">
        <v>74</v>
      </c>
      <c r="BA790" t="s">
        <v>74</v>
      </c>
      <c r="BB790" t="s">
        <v>74</v>
      </c>
      <c r="BC790" t="s">
        <v>74</v>
      </c>
      <c r="BD790" t="s">
        <v>74</v>
      </c>
      <c r="BE790" t="s">
        <v>15139</v>
      </c>
      <c r="BF790" t="str">
        <f>HYPERLINK("http://dx.doi.org/10.1029/2022JB024432","http://dx.doi.org/10.1029/2022JB024432")</f>
        <v>http://dx.doi.org/10.1029/2022JB024432</v>
      </c>
      <c r="BG790" t="s">
        <v>74</v>
      </c>
      <c r="BH790" t="s">
        <v>74</v>
      </c>
      <c r="BI790">
        <v>26</v>
      </c>
      <c r="BJ790" t="s">
        <v>430</v>
      </c>
      <c r="BK790" t="s">
        <v>104</v>
      </c>
      <c r="BL790" t="s">
        <v>430</v>
      </c>
      <c r="BM790" t="s">
        <v>15140</v>
      </c>
      <c r="BN790" t="s">
        <v>74</v>
      </c>
      <c r="BO790" t="s">
        <v>219</v>
      </c>
      <c r="BP790" t="s">
        <v>74</v>
      </c>
      <c r="BQ790" t="s">
        <v>74</v>
      </c>
      <c r="BR790" t="s">
        <v>108</v>
      </c>
      <c r="BS790" t="s">
        <v>15141</v>
      </c>
      <c r="BT790" t="str">
        <f>HYPERLINK("https%3A%2F%2Fwww.webofscience.com%2Fwos%2Fwoscc%2Ffull-record%2FWOS:000928052400021","View Full Record in Web of Science")</f>
        <v>View Full Record in Web of Science</v>
      </c>
    </row>
    <row r="791" spans="1:72" x14ac:dyDescent="0.15">
      <c r="A791" t="s">
        <v>72</v>
      </c>
      <c r="B791" t="s">
        <v>15142</v>
      </c>
      <c r="C791" t="s">
        <v>74</v>
      </c>
      <c r="D791" t="s">
        <v>74</v>
      </c>
      <c r="E791" t="s">
        <v>74</v>
      </c>
      <c r="F791" t="s">
        <v>15143</v>
      </c>
      <c r="G791" t="s">
        <v>74</v>
      </c>
      <c r="H791" t="s">
        <v>74</v>
      </c>
      <c r="I791" t="s">
        <v>15144</v>
      </c>
      <c r="J791" t="s">
        <v>4444</v>
      </c>
      <c r="K791" t="s">
        <v>74</v>
      </c>
      <c r="L791" t="s">
        <v>74</v>
      </c>
      <c r="M791" t="s">
        <v>78</v>
      </c>
      <c r="N791" t="s">
        <v>79</v>
      </c>
      <c r="O791" t="s">
        <v>74</v>
      </c>
      <c r="P791" t="s">
        <v>74</v>
      </c>
      <c r="Q791" t="s">
        <v>74</v>
      </c>
      <c r="R791" t="s">
        <v>74</v>
      </c>
      <c r="S791" t="s">
        <v>74</v>
      </c>
      <c r="T791" t="s">
        <v>15145</v>
      </c>
      <c r="U791" t="s">
        <v>15146</v>
      </c>
      <c r="V791" t="s">
        <v>15147</v>
      </c>
      <c r="W791" t="s">
        <v>15148</v>
      </c>
      <c r="X791" t="s">
        <v>2072</v>
      </c>
      <c r="Y791" t="s">
        <v>15149</v>
      </c>
      <c r="Z791" t="s">
        <v>15150</v>
      </c>
      <c r="AA791" t="s">
        <v>15151</v>
      </c>
      <c r="AB791" t="s">
        <v>74</v>
      </c>
      <c r="AC791" t="s">
        <v>3895</v>
      </c>
      <c r="AD791" t="s">
        <v>1413</v>
      </c>
      <c r="AE791" t="s">
        <v>15152</v>
      </c>
      <c r="AF791" t="s">
        <v>74</v>
      </c>
      <c r="AG791">
        <v>26</v>
      </c>
      <c r="AH791">
        <v>2</v>
      </c>
      <c r="AI791">
        <v>2</v>
      </c>
      <c r="AJ791">
        <v>0</v>
      </c>
      <c r="AK791">
        <v>0</v>
      </c>
      <c r="AL791" t="s">
        <v>4452</v>
      </c>
      <c r="AM791" t="s">
        <v>93</v>
      </c>
      <c r="AN791" t="s">
        <v>4453</v>
      </c>
      <c r="AO791" t="s">
        <v>4454</v>
      </c>
      <c r="AP791" t="s">
        <v>4455</v>
      </c>
      <c r="AQ791" t="s">
        <v>74</v>
      </c>
      <c r="AR791" t="s">
        <v>4456</v>
      </c>
      <c r="AS791" t="s">
        <v>4457</v>
      </c>
      <c r="AT791" t="s">
        <v>14975</v>
      </c>
      <c r="AU791">
        <v>2022</v>
      </c>
      <c r="AV791">
        <v>47</v>
      </c>
      <c r="AW791">
        <v>12</v>
      </c>
      <c r="AX791" t="s">
        <v>74</v>
      </c>
      <c r="AY791" t="s">
        <v>74</v>
      </c>
      <c r="AZ791" t="s">
        <v>74</v>
      </c>
      <c r="BA791" t="s">
        <v>74</v>
      </c>
      <c r="BB791">
        <v>921</v>
      </c>
      <c r="BC791">
        <v>930</v>
      </c>
      <c r="BD791" t="s">
        <v>74</v>
      </c>
      <c r="BE791" t="s">
        <v>15153</v>
      </c>
      <c r="BF791" t="str">
        <f>HYPERLINK("http://dx.doi.org/10.3103/S1068373922120032","http://dx.doi.org/10.3103/S1068373922120032")</f>
        <v>http://dx.doi.org/10.3103/S1068373922120032</v>
      </c>
      <c r="BG791" t="s">
        <v>74</v>
      </c>
      <c r="BH791" t="s">
        <v>74</v>
      </c>
      <c r="BI791">
        <v>10</v>
      </c>
      <c r="BJ791" t="s">
        <v>532</v>
      </c>
      <c r="BK791" t="s">
        <v>104</v>
      </c>
      <c r="BL791" t="s">
        <v>532</v>
      </c>
      <c r="BM791" t="s">
        <v>15154</v>
      </c>
      <c r="BN791" t="s">
        <v>74</v>
      </c>
      <c r="BO791" t="s">
        <v>74</v>
      </c>
      <c r="BP791" t="s">
        <v>74</v>
      </c>
      <c r="BQ791" t="s">
        <v>74</v>
      </c>
      <c r="BR791" t="s">
        <v>108</v>
      </c>
      <c r="BS791" t="s">
        <v>15155</v>
      </c>
      <c r="BT791" t="str">
        <f>HYPERLINK("https%3A%2F%2Fwww.webofscience.com%2Fwos%2Fwoscc%2Ffull-record%2FWOS:000932160800003","View Full Record in Web of Science")</f>
        <v>View Full Record in Web of Science</v>
      </c>
    </row>
    <row r="792" spans="1:72" x14ac:dyDescent="0.15">
      <c r="A792" t="s">
        <v>72</v>
      </c>
      <c r="B792" t="s">
        <v>15156</v>
      </c>
      <c r="C792" t="s">
        <v>74</v>
      </c>
      <c r="D792" t="s">
        <v>74</v>
      </c>
      <c r="E792" t="s">
        <v>74</v>
      </c>
      <c r="F792" t="s">
        <v>15157</v>
      </c>
      <c r="G792" t="s">
        <v>74</v>
      </c>
      <c r="H792" t="s">
        <v>74</v>
      </c>
      <c r="I792" t="s">
        <v>15158</v>
      </c>
      <c r="J792" t="s">
        <v>10119</v>
      </c>
      <c r="K792" t="s">
        <v>74</v>
      </c>
      <c r="L792" t="s">
        <v>74</v>
      </c>
      <c r="M792" t="s">
        <v>78</v>
      </c>
      <c r="N792" t="s">
        <v>743</v>
      </c>
      <c r="O792" t="s">
        <v>74</v>
      </c>
      <c r="P792" t="s">
        <v>74</v>
      </c>
      <c r="Q792" t="s">
        <v>74</v>
      </c>
      <c r="R792" t="s">
        <v>74</v>
      </c>
      <c r="S792" t="s">
        <v>74</v>
      </c>
      <c r="T792" t="s">
        <v>74</v>
      </c>
      <c r="U792" t="s">
        <v>74</v>
      </c>
      <c r="V792" t="s">
        <v>15159</v>
      </c>
      <c r="W792" t="s">
        <v>15160</v>
      </c>
      <c r="X792" t="s">
        <v>15161</v>
      </c>
      <c r="Y792" t="s">
        <v>15162</v>
      </c>
      <c r="Z792" t="s">
        <v>15163</v>
      </c>
      <c r="AA792" t="s">
        <v>15164</v>
      </c>
      <c r="AB792" t="s">
        <v>15165</v>
      </c>
      <c r="AC792" t="s">
        <v>74</v>
      </c>
      <c r="AD792" t="s">
        <v>74</v>
      </c>
      <c r="AE792" t="s">
        <v>74</v>
      </c>
      <c r="AF792" t="s">
        <v>74</v>
      </c>
      <c r="AG792">
        <v>12</v>
      </c>
      <c r="AH792">
        <v>18</v>
      </c>
      <c r="AI792">
        <v>21</v>
      </c>
      <c r="AJ792">
        <v>6</v>
      </c>
      <c r="AK792">
        <v>18</v>
      </c>
      <c r="AL792" t="s">
        <v>10131</v>
      </c>
      <c r="AM792" t="s">
        <v>10132</v>
      </c>
      <c r="AN792" t="s">
        <v>10133</v>
      </c>
      <c r="AO792" t="s">
        <v>10134</v>
      </c>
      <c r="AP792" t="s">
        <v>10135</v>
      </c>
      <c r="AQ792" t="s">
        <v>74</v>
      </c>
      <c r="AR792" t="s">
        <v>10136</v>
      </c>
      <c r="AS792" t="s">
        <v>10137</v>
      </c>
      <c r="AT792" t="s">
        <v>14975</v>
      </c>
      <c r="AU792">
        <v>2022</v>
      </c>
      <c r="AV792">
        <v>20</v>
      </c>
      <c r="AW792">
        <v>11</v>
      </c>
      <c r="AX792" t="s">
        <v>74</v>
      </c>
      <c r="AY792" t="s">
        <v>74</v>
      </c>
      <c r="AZ792" t="s">
        <v>74</v>
      </c>
      <c r="BA792" t="s">
        <v>74</v>
      </c>
      <c r="BB792" t="s">
        <v>74</v>
      </c>
      <c r="BC792" t="s">
        <v>74</v>
      </c>
      <c r="BD792" t="s">
        <v>15166</v>
      </c>
      <c r="BE792" t="s">
        <v>15167</v>
      </c>
      <c r="BF792" t="str">
        <f>HYPERLINK("http://dx.doi.org/10.1371/journal.pbio.3001843","http://dx.doi.org/10.1371/journal.pbio.3001843")</f>
        <v>http://dx.doi.org/10.1371/journal.pbio.3001843</v>
      </c>
      <c r="BG792" t="s">
        <v>74</v>
      </c>
      <c r="BH792" t="s">
        <v>74</v>
      </c>
      <c r="BI792">
        <v>6</v>
      </c>
      <c r="BJ792" t="s">
        <v>10140</v>
      </c>
      <c r="BK792" t="s">
        <v>104</v>
      </c>
      <c r="BL792" t="s">
        <v>10141</v>
      </c>
      <c r="BM792" t="s">
        <v>15168</v>
      </c>
      <c r="BN792">
        <v>36355752</v>
      </c>
      <c r="BO792" t="s">
        <v>192</v>
      </c>
      <c r="BP792" t="s">
        <v>74</v>
      </c>
      <c r="BQ792" t="s">
        <v>74</v>
      </c>
      <c r="BR792" t="s">
        <v>108</v>
      </c>
      <c r="BS792" t="s">
        <v>15169</v>
      </c>
      <c r="BT792" t="str">
        <f>HYPERLINK("https%3A%2F%2Fwww.webofscience.com%2Fwos%2Fwoscc%2Ffull-record%2FWOS:000926103400001","View Full Record in Web of Science")</f>
        <v>View Full Record in Web of Science</v>
      </c>
    </row>
    <row r="793" spans="1:72" x14ac:dyDescent="0.15">
      <c r="A793" t="s">
        <v>72</v>
      </c>
      <c r="B793" t="s">
        <v>15170</v>
      </c>
      <c r="C793" t="s">
        <v>74</v>
      </c>
      <c r="D793" t="s">
        <v>74</v>
      </c>
      <c r="E793" t="s">
        <v>74</v>
      </c>
      <c r="F793" t="s">
        <v>15171</v>
      </c>
      <c r="G793" t="s">
        <v>74</v>
      </c>
      <c r="H793" t="s">
        <v>74</v>
      </c>
      <c r="I793" t="s">
        <v>15172</v>
      </c>
      <c r="J793" t="s">
        <v>10076</v>
      </c>
      <c r="K793" t="s">
        <v>74</v>
      </c>
      <c r="L793" t="s">
        <v>74</v>
      </c>
      <c r="M793" t="s">
        <v>78</v>
      </c>
      <c r="N793" t="s">
        <v>79</v>
      </c>
      <c r="O793" t="s">
        <v>74</v>
      </c>
      <c r="P793" t="s">
        <v>74</v>
      </c>
      <c r="Q793" t="s">
        <v>74</v>
      </c>
      <c r="R793" t="s">
        <v>74</v>
      </c>
      <c r="S793" t="s">
        <v>74</v>
      </c>
      <c r="T793" t="s">
        <v>15173</v>
      </c>
      <c r="U793" t="s">
        <v>15174</v>
      </c>
      <c r="V793" t="s">
        <v>15175</v>
      </c>
      <c r="W793" t="s">
        <v>15176</v>
      </c>
      <c r="X793" t="s">
        <v>15177</v>
      </c>
      <c r="Y793" t="s">
        <v>15178</v>
      </c>
      <c r="Z793" t="s">
        <v>15179</v>
      </c>
      <c r="AA793" t="s">
        <v>74</v>
      </c>
      <c r="AB793" t="s">
        <v>15180</v>
      </c>
      <c r="AC793" t="s">
        <v>15181</v>
      </c>
      <c r="AD793" t="s">
        <v>15182</v>
      </c>
      <c r="AE793" t="s">
        <v>15183</v>
      </c>
      <c r="AF793" t="s">
        <v>74</v>
      </c>
      <c r="AG793">
        <v>85</v>
      </c>
      <c r="AH793">
        <v>3</v>
      </c>
      <c r="AI793">
        <v>5</v>
      </c>
      <c r="AJ793">
        <v>0</v>
      </c>
      <c r="AK793">
        <v>2</v>
      </c>
      <c r="AL793" t="s">
        <v>1791</v>
      </c>
      <c r="AM793" t="s">
        <v>576</v>
      </c>
      <c r="AN793" t="s">
        <v>1792</v>
      </c>
      <c r="AO793" t="s">
        <v>10089</v>
      </c>
      <c r="AP793" t="s">
        <v>10090</v>
      </c>
      <c r="AQ793" t="s">
        <v>74</v>
      </c>
      <c r="AR793" t="s">
        <v>10091</v>
      </c>
      <c r="AS793" t="s">
        <v>10092</v>
      </c>
      <c r="AT793" t="s">
        <v>14975</v>
      </c>
      <c r="AU793">
        <v>2022</v>
      </c>
      <c r="AV793">
        <v>127</v>
      </c>
      <c r="AW793">
        <v>11</v>
      </c>
      <c r="AX793" t="s">
        <v>74</v>
      </c>
      <c r="AY793" t="s">
        <v>74</v>
      </c>
      <c r="AZ793" t="s">
        <v>74</v>
      </c>
      <c r="BA793" t="s">
        <v>74</v>
      </c>
      <c r="BB793" t="s">
        <v>74</v>
      </c>
      <c r="BC793" t="s">
        <v>74</v>
      </c>
      <c r="BD793" t="s">
        <v>15184</v>
      </c>
      <c r="BE793" t="s">
        <v>15185</v>
      </c>
      <c r="BF793" t="str">
        <f>HYPERLINK("http://dx.doi.org/10.1029/2021JF006532","http://dx.doi.org/10.1029/2021JF006532")</f>
        <v>http://dx.doi.org/10.1029/2021JF006532</v>
      </c>
      <c r="BG793" t="s">
        <v>74</v>
      </c>
      <c r="BH793" t="s">
        <v>74</v>
      </c>
      <c r="BI793">
        <v>21</v>
      </c>
      <c r="BJ793" t="s">
        <v>455</v>
      </c>
      <c r="BK793" t="s">
        <v>104</v>
      </c>
      <c r="BL793" t="s">
        <v>456</v>
      </c>
      <c r="BM793" t="s">
        <v>15186</v>
      </c>
      <c r="BN793" t="s">
        <v>74</v>
      </c>
      <c r="BO793" t="s">
        <v>219</v>
      </c>
      <c r="BP793" t="s">
        <v>74</v>
      </c>
      <c r="BQ793" t="s">
        <v>74</v>
      </c>
      <c r="BR793" t="s">
        <v>108</v>
      </c>
      <c r="BS793" t="s">
        <v>15187</v>
      </c>
      <c r="BT793" t="str">
        <f>HYPERLINK("https%3A%2F%2Fwww.webofscience.com%2Fwos%2Fwoscc%2Ffull-record%2FWOS:000928057900001","View Full Record in Web of Science")</f>
        <v>View Full Record in Web of Science</v>
      </c>
    </row>
    <row r="794" spans="1:72" x14ac:dyDescent="0.15">
      <c r="A794" t="s">
        <v>72</v>
      </c>
      <c r="B794" t="s">
        <v>15188</v>
      </c>
      <c r="C794" t="s">
        <v>74</v>
      </c>
      <c r="D794" t="s">
        <v>74</v>
      </c>
      <c r="E794" t="s">
        <v>74</v>
      </c>
      <c r="F794" t="s">
        <v>15189</v>
      </c>
      <c r="G794" t="s">
        <v>74</v>
      </c>
      <c r="H794" t="s">
        <v>74</v>
      </c>
      <c r="I794" t="s">
        <v>15190</v>
      </c>
      <c r="J794" t="s">
        <v>4328</v>
      </c>
      <c r="K794" t="s">
        <v>74</v>
      </c>
      <c r="L794" t="s">
        <v>74</v>
      </c>
      <c r="M794" t="s">
        <v>78</v>
      </c>
      <c r="N794" t="s">
        <v>79</v>
      </c>
      <c r="O794" t="s">
        <v>74</v>
      </c>
      <c r="P794" t="s">
        <v>74</v>
      </c>
      <c r="Q794" t="s">
        <v>74</v>
      </c>
      <c r="R794" t="s">
        <v>74</v>
      </c>
      <c r="S794" t="s">
        <v>74</v>
      </c>
      <c r="T794" t="s">
        <v>74</v>
      </c>
      <c r="U794" t="s">
        <v>15191</v>
      </c>
      <c r="V794" t="s">
        <v>15192</v>
      </c>
      <c r="W794" t="s">
        <v>15193</v>
      </c>
      <c r="X794" t="s">
        <v>15194</v>
      </c>
      <c r="Y794" t="s">
        <v>15195</v>
      </c>
      <c r="Z794" t="s">
        <v>15196</v>
      </c>
      <c r="AA794" t="s">
        <v>15197</v>
      </c>
      <c r="AB794" t="s">
        <v>15198</v>
      </c>
      <c r="AC794" t="s">
        <v>15199</v>
      </c>
      <c r="AD794" t="s">
        <v>15200</v>
      </c>
      <c r="AE794" t="s">
        <v>15201</v>
      </c>
      <c r="AF794" t="s">
        <v>74</v>
      </c>
      <c r="AG794">
        <v>95</v>
      </c>
      <c r="AH794">
        <v>1</v>
      </c>
      <c r="AI794">
        <v>1</v>
      </c>
      <c r="AJ794">
        <v>2</v>
      </c>
      <c r="AK794">
        <v>6</v>
      </c>
      <c r="AL794" t="s">
        <v>1791</v>
      </c>
      <c r="AM794" t="s">
        <v>576</v>
      </c>
      <c r="AN794" t="s">
        <v>1792</v>
      </c>
      <c r="AO794" t="s">
        <v>4340</v>
      </c>
      <c r="AP794" t="s">
        <v>4341</v>
      </c>
      <c r="AQ794" t="s">
        <v>74</v>
      </c>
      <c r="AR794" t="s">
        <v>4342</v>
      </c>
      <c r="AS794" t="s">
        <v>4343</v>
      </c>
      <c r="AT794" t="s">
        <v>14975</v>
      </c>
      <c r="AU794">
        <v>2022</v>
      </c>
      <c r="AV794">
        <v>37</v>
      </c>
      <c r="AW794">
        <v>11</v>
      </c>
      <c r="AX794" t="s">
        <v>74</v>
      </c>
      <c r="AY794" t="s">
        <v>74</v>
      </c>
      <c r="AZ794" t="s">
        <v>74</v>
      </c>
      <c r="BA794" t="s">
        <v>74</v>
      </c>
      <c r="BB794" t="s">
        <v>74</v>
      </c>
      <c r="BC794" t="s">
        <v>74</v>
      </c>
      <c r="BD794" t="s">
        <v>15202</v>
      </c>
      <c r="BE794" t="s">
        <v>15203</v>
      </c>
      <c r="BF794" t="str">
        <f>HYPERLINK("http://dx.doi.org/10.1029/2021PA004339","http://dx.doi.org/10.1029/2021PA004339")</f>
        <v>http://dx.doi.org/10.1029/2021PA004339</v>
      </c>
      <c r="BG794" t="s">
        <v>74</v>
      </c>
      <c r="BH794" t="s">
        <v>74</v>
      </c>
      <c r="BI794">
        <v>19</v>
      </c>
      <c r="BJ794" t="s">
        <v>4346</v>
      </c>
      <c r="BK794" t="s">
        <v>104</v>
      </c>
      <c r="BL794" t="s">
        <v>4347</v>
      </c>
      <c r="BM794" t="s">
        <v>15204</v>
      </c>
      <c r="BN794" t="s">
        <v>74</v>
      </c>
      <c r="BO794" t="s">
        <v>660</v>
      </c>
      <c r="BP794" t="s">
        <v>74</v>
      </c>
      <c r="BQ794" t="s">
        <v>74</v>
      </c>
      <c r="BR794" t="s">
        <v>108</v>
      </c>
      <c r="BS794" t="s">
        <v>15205</v>
      </c>
      <c r="BT794" t="str">
        <f>HYPERLINK("https%3A%2F%2Fwww.webofscience.com%2Fwos%2Fwoscc%2Ffull-record%2FWOS:000928058000001","View Full Record in Web of Science")</f>
        <v>View Full Record in Web of Science</v>
      </c>
    </row>
    <row r="795" spans="1:72" x14ac:dyDescent="0.15">
      <c r="A795" t="s">
        <v>72</v>
      </c>
      <c r="B795" t="s">
        <v>15206</v>
      </c>
      <c r="C795" t="s">
        <v>74</v>
      </c>
      <c r="D795" t="s">
        <v>74</v>
      </c>
      <c r="E795" t="s">
        <v>74</v>
      </c>
      <c r="F795" t="s">
        <v>15207</v>
      </c>
      <c r="G795" t="s">
        <v>74</v>
      </c>
      <c r="H795" t="s">
        <v>74</v>
      </c>
      <c r="I795" t="s">
        <v>15208</v>
      </c>
      <c r="J795" t="s">
        <v>4506</v>
      </c>
      <c r="K795" t="s">
        <v>74</v>
      </c>
      <c r="L795" t="s">
        <v>74</v>
      </c>
      <c r="M795" t="s">
        <v>78</v>
      </c>
      <c r="N795" t="s">
        <v>79</v>
      </c>
      <c r="O795" t="s">
        <v>74</v>
      </c>
      <c r="P795" t="s">
        <v>74</v>
      </c>
      <c r="Q795" t="s">
        <v>74</v>
      </c>
      <c r="R795" t="s">
        <v>74</v>
      </c>
      <c r="S795" t="s">
        <v>74</v>
      </c>
      <c r="T795" t="s">
        <v>15209</v>
      </c>
      <c r="U795" t="s">
        <v>15210</v>
      </c>
      <c r="V795" t="s">
        <v>15211</v>
      </c>
      <c r="W795" t="s">
        <v>15212</v>
      </c>
      <c r="X795" t="s">
        <v>15213</v>
      </c>
      <c r="Y795" t="s">
        <v>15214</v>
      </c>
      <c r="Z795" t="s">
        <v>4513</v>
      </c>
      <c r="AA795" t="s">
        <v>74</v>
      </c>
      <c r="AB795" t="s">
        <v>74</v>
      </c>
      <c r="AC795" t="s">
        <v>15215</v>
      </c>
      <c r="AD795" t="s">
        <v>15216</v>
      </c>
      <c r="AE795" t="s">
        <v>15217</v>
      </c>
      <c r="AF795" t="s">
        <v>74</v>
      </c>
      <c r="AG795">
        <v>79</v>
      </c>
      <c r="AH795">
        <v>0</v>
      </c>
      <c r="AI795">
        <v>0</v>
      </c>
      <c r="AJ795">
        <v>1</v>
      </c>
      <c r="AK795">
        <v>6</v>
      </c>
      <c r="AL795" t="s">
        <v>15218</v>
      </c>
      <c r="AM795" t="s">
        <v>15219</v>
      </c>
      <c r="AN795" t="s">
        <v>15220</v>
      </c>
      <c r="AO795" t="s">
        <v>4522</v>
      </c>
      <c r="AP795" t="s">
        <v>74</v>
      </c>
      <c r="AQ795" t="s">
        <v>74</v>
      </c>
      <c r="AR795" t="s">
        <v>4523</v>
      </c>
      <c r="AS795" t="s">
        <v>4524</v>
      </c>
      <c r="AT795" t="s">
        <v>14975</v>
      </c>
      <c r="AU795">
        <v>2022</v>
      </c>
      <c r="AV795">
        <v>51</v>
      </c>
      <c r="AW795">
        <v>11</v>
      </c>
      <c r="AX795" t="s">
        <v>74</v>
      </c>
      <c r="AY795" t="s">
        <v>74</v>
      </c>
      <c r="AZ795" t="s">
        <v>74</v>
      </c>
      <c r="BA795" t="s">
        <v>74</v>
      </c>
      <c r="BB795">
        <v>3621</v>
      </c>
      <c r="BC795">
        <v>3633</v>
      </c>
      <c r="BD795" t="s">
        <v>74</v>
      </c>
      <c r="BE795" t="s">
        <v>15221</v>
      </c>
      <c r="BF795" t="str">
        <f>HYPERLINK("http://dx.doi.org/10.17576/jsm-2022-5111-09","http://dx.doi.org/10.17576/jsm-2022-5111-09")</f>
        <v>http://dx.doi.org/10.17576/jsm-2022-5111-09</v>
      </c>
      <c r="BG795" t="s">
        <v>74</v>
      </c>
      <c r="BH795" t="s">
        <v>74</v>
      </c>
      <c r="BI795">
        <v>13</v>
      </c>
      <c r="BJ795" t="s">
        <v>189</v>
      </c>
      <c r="BK795" t="s">
        <v>104</v>
      </c>
      <c r="BL795" t="s">
        <v>190</v>
      </c>
      <c r="BM795" t="s">
        <v>15222</v>
      </c>
      <c r="BN795" t="s">
        <v>74</v>
      </c>
      <c r="BO795" t="s">
        <v>4658</v>
      </c>
      <c r="BP795" t="s">
        <v>74</v>
      </c>
      <c r="BQ795" t="s">
        <v>74</v>
      </c>
      <c r="BR795" t="s">
        <v>108</v>
      </c>
      <c r="BS795" t="s">
        <v>15223</v>
      </c>
      <c r="BT795" t="str">
        <f>HYPERLINK("https%3A%2F%2Fwww.webofscience.com%2Fwos%2Fwoscc%2Ffull-record%2FWOS:000911393800009","View Full Record in Web of Science")</f>
        <v>View Full Record in Web of Science</v>
      </c>
    </row>
    <row r="796" spans="1:72" x14ac:dyDescent="0.15">
      <c r="A796" t="s">
        <v>72</v>
      </c>
      <c r="B796" t="s">
        <v>15224</v>
      </c>
      <c r="C796" t="s">
        <v>74</v>
      </c>
      <c r="D796" t="s">
        <v>74</v>
      </c>
      <c r="E796" t="s">
        <v>74</v>
      </c>
      <c r="F796" t="s">
        <v>15225</v>
      </c>
      <c r="G796" t="s">
        <v>74</v>
      </c>
      <c r="H796" t="s">
        <v>74</v>
      </c>
      <c r="I796" t="s">
        <v>15226</v>
      </c>
      <c r="J796" t="s">
        <v>10687</v>
      </c>
      <c r="K796" t="s">
        <v>74</v>
      </c>
      <c r="L796" t="s">
        <v>74</v>
      </c>
      <c r="M796" t="s">
        <v>78</v>
      </c>
      <c r="N796" t="s">
        <v>79</v>
      </c>
      <c r="O796" t="s">
        <v>74</v>
      </c>
      <c r="P796" t="s">
        <v>74</v>
      </c>
      <c r="Q796" t="s">
        <v>74</v>
      </c>
      <c r="R796" t="s">
        <v>74</v>
      </c>
      <c r="S796" t="s">
        <v>74</v>
      </c>
      <c r="T796" t="s">
        <v>15227</v>
      </c>
      <c r="U796" t="s">
        <v>15228</v>
      </c>
      <c r="V796" t="s">
        <v>15229</v>
      </c>
      <c r="W796" t="s">
        <v>15230</v>
      </c>
      <c r="X796" t="s">
        <v>15231</v>
      </c>
      <c r="Y796" t="s">
        <v>15232</v>
      </c>
      <c r="Z796" t="s">
        <v>15233</v>
      </c>
      <c r="AA796" t="s">
        <v>15234</v>
      </c>
      <c r="AB796" t="s">
        <v>15235</v>
      </c>
      <c r="AC796" t="s">
        <v>15236</v>
      </c>
      <c r="AD796" t="s">
        <v>15237</v>
      </c>
      <c r="AE796" t="s">
        <v>15238</v>
      </c>
      <c r="AF796" t="s">
        <v>74</v>
      </c>
      <c r="AG796">
        <v>48</v>
      </c>
      <c r="AH796">
        <v>1</v>
      </c>
      <c r="AI796">
        <v>1</v>
      </c>
      <c r="AJ796">
        <v>0</v>
      </c>
      <c r="AK796">
        <v>0</v>
      </c>
      <c r="AL796" t="s">
        <v>4886</v>
      </c>
      <c r="AM796" t="s">
        <v>4887</v>
      </c>
      <c r="AN796" t="s">
        <v>4888</v>
      </c>
      <c r="AO796" t="s">
        <v>74</v>
      </c>
      <c r="AP796" t="s">
        <v>10699</v>
      </c>
      <c r="AQ796" t="s">
        <v>74</v>
      </c>
      <c r="AR796" t="s">
        <v>10700</v>
      </c>
      <c r="AS796" t="s">
        <v>10701</v>
      </c>
      <c r="AT796" t="s">
        <v>14975</v>
      </c>
      <c r="AU796">
        <v>2022</v>
      </c>
      <c r="AV796">
        <v>10</v>
      </c>
      <c r="AW796">
        <v>11</v>
      </c>
      <c r="AX796" t="s">
        <v>74</v>
      </c>
      <c r="AY796" t="s">
        <v>74</v>
      </c>
      <c r="AZ796" t="s">
        <v>74</v>
      </c>
      <c r="BA796" t="s">
        <v>74</v>
      </c>
      <c r="BB796" t="s">
        <v>74</v>
      </c>
      <c r="BC796" t="s">
        <v>74</v>
      </c>
      <c r="BD796">
        <v>1705</v>
      </c>
      <c r="BE796" t="s">
        <v>15239</v>
      </c>
      <c r="BF796" t="str">
        <f>HYPERLINK("http://dx.doi.org/10.3390/jmse10111705","http://dx.doi.org/10.3390/jmse10111705")</f>
        <v>http://dx.doi.org/10.3390/jmse10111705</v>
      </c>
      <c r="BG796" t="s">
        <v>74</v>
      </c>
      <c r="BH796" t="s">
        <v>74</v>
      </c>
      <c r="BI796">
        <v>13</v>
      </c>
      <c r="BJ796" t="s">
        <v>10703</v>
      </c>
      <c r="BK796" t="s">
        <v>104</v>
      </c>
      <c r="BL796" t="s">
        <v>3062</v>
      </c>
      <c r="BM796" t="s">
        <v>15240</v>
      </c>
      <c r="BN796" t="s">
        <v>74</v>
      </c>
      <c r="BO796" t="s">
        <v>165</v>
      </c>
      <c r="BP796" t="s">
        <v>74</v>
      </c>
      <c r="BQ796" t="s">
        <v>74</v>
      </c>
      <c r="BR796" t="s">
        <v>108</v>
      </c>
      <c r="BS796" t="s">
        <v>15241</v>
      </c>
      <c r="BT796" t="str">
        <f>HYPERLINK("https%3A%2F%2Fwww.webofscience.com%2Fwos%2Fwoscc%2Ffull-record%2FWOS:000910796100001","View Full Record in Web of Science")</f>
        <v>View Full Record in Web of Science</v>
      </c>
    </row>
    <row r="797" spans="1:72" x14ac:dyDescent="0.15">
      <c r="A797" t="s">
        <v>72</v>
      </c>
      <c r="B797" t="s">
        <v>15242</v>
      </c>
      <c r="C797" t="s">
        <v>74</v>
      </c>
      <c r="D797" t="s">
        <v>74</v>
      </c>
      <c r="E797" t="s">
        <v>74</v>
      </c>
      <c r="F797" t="s">
        <v>15243</v>
      </c>
      <c r="G797" t="s">
        <v>74</v>
      </c>
      <c r="H797" t="s">
        <v>74</v>
      </c>
      <c r="I797" t="s">
        <v>15244</v>
      </c>
      <c r="J797" t="s">
        <v>15245</v>
      </c>
      <c r="K797" t="s">
        <v>74</v>
      </c>
      <c r="L797" t="s">
        <v>74</v>
      </c>
      <c r="M797" t="s">
        <v>78</v>
      </c>
      <c r="N797" t="s">
        <v>79</v>
      </c>
      <c r="O797" t="s">
        <v>74</v>
      </c>
      <c r="P797" t="s">
        <v>74</v>
      </c>
      <c r="Q797" t="s">
        <v>74</v>
      </c>
      <c r="R797" t="s">
        <v>74</v>
      </c>
      <c r="S797" t="s">
        <v>74</v>
      </c>
      <c r="T797" t="s">
        <v>15246</v>
      </c>
      <c r="U797" t="s">
        <v>74</v>
      </c>
      <c r="V797" t="s">
        <v>15247</v>
      </c>
      <c r="W797" t="s">
        <v>15248</v>
      </c>
      <c r="X797" t="s">
        <v>15249</v>
      </c>
      <c r="Y797" t="s">
        <v>15250</v>
      </c>
      <c r="Z797" t="s">
        <v>15251</v>
      </c>
      <c r="AA797" t="s">
        <v>15252</v>
      </c>
      <c r="AB797" t="s">
        <v>15253</v>
      </c>
      <c r="AC797" t="s">
        <v>15254</v>
      </c>
      <c r="AD797" t="s">
        <v>15255</v>
      </c>
      <c r="AE797" t="s">
        <v>15256</v>
      </c>
      <c r="AF797" t="s">
        <v>74</v>
      </c>
      <c r="AG797">
        <v>34</v>
      </c>
      <c r="AH797">
        <v>1</v>
      </c>
      <c r="AI797">
        <v>1</v>
      </c>
      <c r="AJ797">
        <v>0</v>
      </c>
      <c r="AK797">
        <v>1</v>
      </c>
      <c r="AL797" t="s">
        <v>15257</v>
      </c>
      <c r="AM797" t="s">
        <v>15258</v>
      </c>
      <c r="AN797" t="s">
        <v>15259</v>
      </c>
      <c r="AO797" t="s">
        <v>15260</v>
      </c>
      <c r="AP797" t="s">
        <v>74</v>
      </c>
      <c r="AQ797" t="s">
        <v>74</v>
      </c>
      <c r="AR797" t="s">
        <v>15261</v>
      </c>
      <c r="AS797" t="s">
        <v>15262</v>
      </c>
      <c r="AT797" t="s">
        <v>14975</v>
      </c>
      <c r="AU797">
        <v>2022</v>
      </c>
      <c r="AV797">
        <v>50</v>
      </c>
      <c r="AW797">
        <v>5</v>
      </c>
      <c r="AX797" t="s">
        <v>74</v>
      </c>
      <c r="AY797" t="s">
        <v>74</v>
      </c>
      <c r="AZ797" t="s">
        <v>74</v>
      </c>
      <c r="BA797" t="s">
        <v>74</v>
      </c>
      <c r="BB797">
        <v>790</v>
      </c>
      <c r="BC797">
        <v>794</v>
      </c>
      <c r="BD797" t="s">
        <v>74</v>
      </c>
      <c r="BE797" t="s">
        <v>15263</v>
      </c>
      <c r="BF797" t="str">
        <f>HYPERLINK("http://dx.doi.org/10.3856/vol50-issue5-fulltext-2939","http://dx.doi.org/10.3856/vol50-issue5-fulltext-2939")</f>
        <v>http://dx.doi.org/10.3856/vol50-issue5-fulltext-2939</v>
      </c>
      <c r="BG797" t="s">
        <v>74</v>
      </c>
      <c r="BH797" t="s">
        <v>74</v>
      </c>
      <c r="BI797">
        <v>5</v>
      </c>
      <c r="BJ797" t="s">
        <v>5211</v>
      </c>
      <c r="BK797" t="s">
        <v>104</v>
      </c>
      <c r="BL797" t="s">
        <v>5211</v>
      </c>
      <c r="BM797" t="s">
        <v>15264</v>
      </c>
      <c r="BN797" t="s">
        <v>74</v>
      </c>
      <c r="BO797" t="s">
        <v>1464</v>
      </c>
      <c r="BP797" t="s">
        <v>74</v>
      </c>
      <c r="BQ797" t="s">
        <v>74</v>
      </c>
      <c r="BR797" t="s">
        <v>108</v>
      </c>
      <c r="BS797" t="s">
        <v>15265</v>
      </c>
      <c r="BT797" t="str">
        <f>HYPERLINK("https%3A%2F%2Fwww.webofscience.com%2Fwos%2Fwoscc%2Ffull-record%2FWOS:000892517200014","View Full Record in Web of Science")</f>
        <v>View Full Record in Web of Science</v>
      </c>
    </row>
    <row r="798" spans="1:72" x14ac:dyDescent="0.15">
      <c r="A798" t="s">
        <v>72</v>
      </c>
      <c r="B798" t="s">
        <v>15266</v>
      </c>
      <c r="C798" t="s">
        <v>74</v>
      </c>
      <c r="D798" t="s">
        <v>74</v>
      </c>
      <c r="E798" t="s">
        <v>74</v>
      </c>
      <c r="F798" t="s">
        <v>15267</v>
      </c>
      <c r="G798" t="s">
        <v>74</v>
      </c>
      <c r="H798" t="s">
        <v>74</v>
      </c>
      <c r="I798" t="s">
        <v>15268</v>
      </c>
      <c r="J798" t="s">
        <v>15269</v>
      </c>
      <c r="K798" t="s">
        <v>74</v>
      </c>
      <c r="L798" t="s">
        <v>74</v>
      </c>
      <c r="M798" t="s">
        <v>78</v>
      </c>
      <c r="N798" t="s">
        <v>79</v>
      </c>
      <c r="O798" t="s">
        <v>74</v>
      </c>
      <c r="P798" t="s">
        <v>74</v>
      </c>
      <c r="Q798" t="s">
        <v>74</v>
      </c>
      <c r="R798" t="s">
        <v>74</v>
      </c>
      <c r="S798" t="s">
        <v>74</v>
      </c>
      <c r="T798" t="s">
        <v>15270</v>
      </c>
      <c r="U798" t="s">
        <v>74</v>
      </c>
      <c r="V798" t="s">
        <v>15271</v>
      </c>
      <c r="W798" t="s">
        <v>15272</v>
      </c>
      <c r="X798" t="s">
        <v>15273</v>
      </c>
      <c r="Y798" t="s">
        <v>15274</v>
      </c>
      <c r="Z798" t="s">
        <v>15275</v>
      </c>
      <c r="AA798" t="s">
        <v>15276</v>
      </c>
      <c r="AB798" t="s">
        <v>15277</v>
      </c>
      <c r="AC798" t="s">
        <v>15278</v>
      </c>
      <c r="AD798" t="s">
        <v>15279</v>
      </c>
      <c r="AE798" t="s">
        <v>15280</v>
      </c>
      <c r="AF798" t="s">
        <v>74</v>
      </c>
      <c r="AG798">
        <v>60</v>
      </c>
      <c r="AH798">
        <v>1</v>
      </c>
      <c r="AI798">
        <v>1</v>
      </c>
      <c r="AJ798">
        <v>0</v>
      </c>
      <c r="AK798">
        <v>5</v>
      </c>
      <c r="AL798" t="s">
        <v>4886</v>
      </c>
      <c r="AM798" t="s">
        <v>4887</v>
      </c>
      <c r="AN798" t="s">
        <v>4888</v>
      </c>
      <c r="AO798" t="s">
        <v>74</v>
      </c>
      <c r="AP798" t="s">
        <v>15281</v>
      </c>
      <c r="AQ798" t="s">
        <v>74</v>
      </c>
      <c r="AR798" t="s">
        <v>15269</v>
      </c>
      <c r="AS798" t="s">
        <v>15282</v>
      </c>
      <c r="AT798" t="s">
        <v>14975</v>
      </c>
      <c r="AU798">
        <v>2022</v>
      </c>
      <c r="AV798">
        <v>9</v>
      </c>
      <c r="AW798">
        <v>11</v>
      </c>
      <c r="AX798" t="s">
        <v>74</v>
      </c>
      <c r="AY798" t="s">
        <v>74</v>
      </c>
      <c r="AZ798" t="s">
        <v>74</v>
      </c>
      <c r="BA798" t="s">
        <v>74</v>
      </c>
      <c r="BB798" t="s">
        <v>74</v>
      </c>
      <c r="BC798" t="s">
        <v>74</v>
      </c>
      <c r="BD798">
        <v>694</v>
      </c>
      <c r="BE798" t="s">
        <v>15283</v>
      </c>
      <c r="BF798" t="str">
        <f>HYPERLINK("http://dx.doi.org/10.3390/bioengineering9110694","http://dx.doi.org/10.3390/bioengineering9110694")</f>
        <v>http://dx.doi.org/10.3390/bioengineering9110694</v>
      </c>
      <c r="BG798" t="s">
        <v>74</v>
      </c>
      <c r="BH798" t="s">
        <v>74</v>
      </c>
      <c r="BI798">
        <v>13</v>
      </c>
      <c r="BJ798" t="s">
        <v>15284</v>
      </c>
      <c r="BK798" t="s">
        <v>104</v>
      </c>
      <c r="BL798" t="s">
        <v>15285</v>
      </c>
      <c r="BM798" t="s">
        <v>15286</v>
      </c>
      <c r="BN798">
        <v>36421095</v>
      </c>
      <c r="BO798" t="s">
        <v>3181</v>
      </c>
      <c r="BP798" t="s">
        <v>74</v>
      </c>
      <c r="BQ798" t="s">
        <v>74</v>
      </c>
      <c r="BR798" t="s">
        <v>108</v>
      </c>
      <c r="BS798" t="s">
        <v>15287</v>
      </c>
      <c r="BT798" t="str">
        <f>HYPERLINK("https%3A%2F%2Fwww.webofscience.com%2Fwos%2Fwoscc%2Ffull-record%2FWOS:000894671900001","View Full Record in Web of Science")</f>
        <v>View Full Record in Web of Science</v>
      </c>
    </row>
    <row r="799" spans="1:72" x14ac:dyDescent="0.15">
      <c r="A799" t="s">
        <v>72</v>
      </c>
      <c r="B799" t="s">
        <v>15288</v>
      </c>
      <c r="C799" t="s">
        <v>74</v>
      </c>
      <c r="D799" t="s">
        <v>74</v>
      </c>
      <c r="E799" t="s">
        <v>74</v>
      </c>
      <c r="F799" t="s">
        <v>15289</v>
      </c>
      <c r="G799" t="s">
        <v>74</v>
      </c>
      <c r="H799" t="s">
        <v>74</v>
      </c>
      <c r="I799" t="s">
        <v>15290</v>
      </c>
      <c r="J799" t="s">
        <v>15291</v>
      </c>
      <c r="K799" t="s">
        <v>74</v>
      </c>
      <c r="L799" t="s">
        <v>74</v>
      </c>
      <c r="M799" t="s">
        <v>78</v>
      </c>
      <c r="N799" t="s">
        <v>79</v>
      </c>
      <c r="O799" t="s">
        <v>74</v>
      </c>
      <c r="P799" t="s">
        <v>74</v>
      </c>
      <c r="Q799" t="s">
        <v>74</v>
      </c>
      <c r="R799" t="s">
        <v>74</v>
      </c>
      <c r="S799" t="s">
        <v>74</v>
      </c>
      <c r="T799" t="s">
        <v>15292</v>
      </c>
      <c r="U799" t="s">
        <v>15293</v>
      </c>
      <c r="V799" t="s">
        <v>15294</v>
      </c>
      <c r="W799" t="s">
        <v>15295</v>
      </c>
      <c r="X799" t="s">
        <v>15296</v>
      </c>
      <c r="Y799" t="s">
        <v>15297</v>
      </c>
      <c r="Z799" t="s">
        <v>15298</v>
      </c>
      <c r="AA799" t="s">
        <v>15299</v>
      </c>
      <c r="AB799" t="s">
        <v>15300</v>
      </c>
      <c r="AC799" t="s">
        <v>15301</v>
      </c>
      <c r="AD799" t="s">
        <v>15302</v>
      </c>
      <c r="AE799" t="s">
        <v>15303</v>
      </c>
      <c r="AF799" t="s">
        <v>74</v>
      </c>
      <c r="AG799">
        <v>102</v>
      </c>
      <c r="AH799">
        <v>12</v>
      </c>
      <c r="AI799">
        <v>12</v>
      </c>
      <c r="AJ799">
        <v>11</v>
      </c>
      <c r="AK799">
        <v>31</v>
      </c>
      <c r="AL799" t="s">
        <v>4886</v>
      </c>
      <c r="AM799" t="s">
        <v>4887</v>
      </c>
      <c r="AN799" t="s">
        <v>4888</v>
      </c>
      <c r="AO799" t="s">
        <v>74</v>
      </c>
      <c r="AP799" t="s">
        <v>15304</v>
      </c>
      <c r="AQ799" t="s">
        <v>74</v>
      </c>
      <c r="AR799" t="s">
        <v>15291</v>
      </c>
      <c r="AS799" t="s">
        <v>15305</v>
      </c>
      <c r="AT799" t="s">
        <v>14975</v>
      </c>
      <c r="AU799">
        <v>2022</v>
      </c>
      <c r="AV799">
        <v>12</v>
      </c>
      <c r="AW799">
        <v>11</v>
      </c>
      <c r="AX799" t="s">
        <v>74</v>
      </c>
      <c r="AY799" t="s">
        <v>74</v>
      </c>
      <c r="AZ799" t="s">
        <v>74</v>
      </c>
      <c r="BA799" t="s">
        <v>74</v>
      </c>
      <c r="BB799" t="s">
        <v>74</v>
      </c>
      <c r="BC799" t="s">
        <v>74</v>
      </c>
      <c r="BD799">
        <v>1422</v>
      </c>
      <c r="BE799" t="s">
        <v>15306</v>
      </c>
      <c r="BF799" t="str">
        <f>HYPERLINK("http://dx.doi.org/10.3390/catal12111422","http://dx.doi.org/10.3390/catal12111422")</f>
        <v>http://dx.doi.org/10.3390/catal12111422</v>
      </c>
      <c r="BG799" t="s">
        <v>74</v>
      </c>
      <c r="BH799" t="s">
        <v>74</v>
      </c>
      <c r="BI799">
        <v>16</v>
      </c>
      <c r="BJ799" t="s">
        <v>15307</v>
      </c>
      <c r="BK799" t="s">
        <v>104</v>
      </c>
      <c r="BL799" t="s">
        <v>7535</v>
      </c>
      <c r="BM799" t="s">
        <v>15308</v>
      </c>
      <c r="BN799" t="s">
        <v>74</v>
      </c>
      <c r="BO799" t="s">
        <v>4658</v>
      </c>
      <c r="BP799" t="s">
        <v>74</v>
      </c>
      <c r="BQ799" t="s">
        <v>74</v>
      </c>
      <c r="BR799" t="s">
        <v>108</v>
      </c>
      <c r="BS799" t="s">
        <v>15309</v>
      </c>
      <c r="BT799" t="str">
        <f>HYPERLINK("https%3A%2F%2Fwww.webofscience.com%2Fwos%2Fwoscc%2Ffull-record%2FWOS:000895241100001","View Full Record in Web of Science")</f>
        <v>View Full Record in Web of Science</v>
      </c>
    </row>
    <row r="800" spans="1:72" x14ac:dyDescent="0.15">
      <c r="A800" t="s">
        <v>72</v>
      </c>
      <c r="B800" t="s">
        <v>15310</v>
      </c>
      <c r="C800" t="s">
        <v>74</v>
      </c>
      <c r="D800" t="s">
        <v>74</v>
      </c>
      <c r="E800" t="s">
        <v>74</v>
      </c>
      <c r="F800" t="s">
        <v>15311</v>
      </c>
      <c r="G800" t="s">
        <v>74</v>
      </c>
      <c r="H800" t="s">
        <v>74</v>
      </c>
      <c r="I800" t="s">
        <v>15312</v>
      </c>
      <c r="J800" t="s">
        <v>5412</v>
      </c>
      <c r="K800" t="s">
        <v>74</v>
      </c>
      <c r="L800" t="s">
        <v>74</v>
      </c>
      <c r="M800" t="s">
        <v>78</v>
      </c>
      <c r="N800" t="s">
        <v>79</v>
      </c>
      <c r="O800" t="s">
        <v>74</v>
      </c>
      <c r="P800" t="s">
        <v>74</v>
      </c>
      <c r="Q800" t="s">
        <v>74</v>
      </c>
      <c r="R800" t="s">
        <v>74</v>
      </c>
      <c r="S800" t="s">
        <v>74</v>
      </c>
      <c r="T800" t="s">
        <v>15313</v>
      </c>
      <c r="U800" t="s">
        <v>15314</v>
      </c>
      <c r="V800" t="s">
        <v>15315</v>
      </c>
      <c r="W800" t="s">
        <v>15316</v>
      </c>
      <c r="X800" t="s">
        <v>15317</v>
      </c>
      <c r="Y800" t="s">
        <v>15318</v>
      </c>
      <c r="Z800" t="s">
        <v>15319</v>
      </c>
      <c r="AA800" t="s">
        <v>15320</v>
      </c>
      <c r="AB800" t="s">
        <v>15321</v>
      </c>
      <c r="AC800" t="s">
        <v>74</v>
      </c>
      <c r="AD800" t="s">
        <v>74</v>
      </c>
      <c r="AE800" t="s">
        <v>74</v>
      </c>
      <c r="AF800" t="s">
        <v>74</v>
      </c>
      <c r="AG800">
        <v>67</v>
      </c>
      <c r="AH800">
        <v>2</v>
      </c>
      <c r="AI800">
        <v>2</v>
      </c>
      <c r="AJ800">
        <v>4</v>
      </c>
      <c r="AK800">
        <v>7</v>
      </c>
      <c r="AL800" t="s">
        <v>4886</v>
      </c>
      <c r="AM800" t="s">
        <v>4887</v>
      </c>
      <c r="AN800" t="s">
        <v>4888</v>
      </c>
      <c r="AO800" t="s">
        <v>74</v>
      </c>
      <c r="AP800" t="s">
        <v>5425</v>
      </c>
      <c r="AQ800" t="s">
        <v>74</v>
      </c>
      <c r="AR800" t="s">
        <v>5426</v>
      </c>
      <c r="AS800" t="s">
        <v>5427</v>
      </c>
      <c r="AT800" t="s">
        <v>14975</v>
      </c>
      <c r="AU800">
        <v>2022</v>
      </c>
      <c r="AV800">
        <v>13</v>
      </c>
      <c r="AW800">
        <v>11</v>
      </c>
      <c r="AX800" t="s">
        <v>74</v>
      </c>
      <c r="AY800" t="s">
        <v>74</v>
      </c>
      <c r="AZ800" t="s">
        <v>74</v>
      </c>
      <c r="BA800" t="s">
        <v>74</v>
      </c>
      <c r="BB800" t="s">
        <v>74</v>
      </c>
      <c r="BC800" t="s">
        <v>74</v>
      </c>
      <c r="BD800">
        <v>1889</v>
      </c>
      <c r="BE800" t="s">
        <v>15322</v>
      </c>
      <c r="BF800" t="str">
        <f>HYPERLINK("http://dx.doi.org/10.3390/atmos13111889","http://dx.doi.org/10.3390/atmos13111889")</f>
        <v>http://dx.doi.org/10.3390/atmos13111889</v>
      </c>
      <c r="BG800" t="s">
        <v>74</v>
      </c>
      <c r="BH800" t="s">
        <v>74</v>
      </c>
      <c r="BI800">
        <v>13</v>
      </c>
      <c r="BJ800" t="s">
        <v>5429</v>
      </c>
      <c r="BK800" t="s">
        <v>104</v>
      </c>
      <c r="BL800" t="s">
        <v>355</v>
      </c>
      <c r="BM800" t="s">
        <v>15323</v>
      </c>
      <c r="BN800" t="s">
        <v>74</v>
      </c>
      <c r="BO800" t="s">
        <v>165</v>
      </c>
      <c r="BP800" t="s">
        <v>74</v>
      </c>
      <c r="BQ800" t="s">
        <v>74</v>
      </c>
      <c r="BR800" t="s">
        <v>108</v>
      </c>
      <c r="BS800" t="s">
        <v>15324</v>
      </c>
      <c r="BT800" t="str">
        <f>HYPERLINK("https%3A%2F%2Fwww.webofscience.com%2Fwos%2Fwoscc%2Ffull-record%2FWOS:000894606300001","View Full Record in Web of Science")</f>
        <v>View Full Record in Web of Science</v>
      </c>
    </row>
    <row r="801" spans="1:72" x14ac:dyDescent="0.15">
      <c r="A801" t="s">
        <v>72</v>
      </c>
      <c r="B801" t="s">
        <v>15325</v>
      </c>
      <c r="C801" t="s">
        <v>74</v>
      </c>
      <c r="D801" t="s">
        <v>74</v>
      </c>
      <c r="E801" t="s">
        <v>74</v>
      </c>
      <c r="F801" t="s">
        <v>15326</v>
      </c>
      <c r="G801" t="s">
        <v>74</v>
      </c>
      <c r="H801" t="s">
        <v>74</v>
      </c>
      <c r="I801" t="s">
        <v>15327</v>
      </c>
      <c r="J801" t="s">
        <v>5610</v>
      </c>
      <c r="K801" t="s">
        <v>74</v>
      </c>
      <c r="L801" t="s">
        <v>74</v>
      </c>
      <c r="M801" t="s">
        <v>78</v>
      </c>
      <c r="N801" t="s">
        <v>79</v>
      </c>
      <c r="O801" t="s">
        <v>74</v>
      </c>
      <c r="P801" t="s">
        <v>74</v>
      </c>
      <c r="Q801" t="s">
        <v>74</v>
      </c>
      <c r="R801" t="s">
        <v>74</v>
      </c>
      <c r="S801" t="s">
        <v>74</v>
      </c>
      <c r="T801" t="s">
        <v>74</v>
      </c>
      <c r="U801" t="s">
        <v>15328</v>
      </c>
      <c r="V801" t="s">
        <v>15329</v>
      </c>
      <c r="W801" t="s">
        <v>15330</v>
      </c>
      <c r="X801" t="s">
        <v>15331</v>
      </c>
      <c r="Y801" t="s">
        <v>15332</v>
      </c>
      <c r="Z801" t="s">
        <v>15333</v>
      </c>
      <c r="AA801" t="s">
        <v>15334</v>
      </c>
      <c r="AB801" t="s">
        <v>15335</v>
      </c>
      <c r="AC801" t="s">
        <v>15336</v>
      </c>
      <c r="AD801" t="s">
        <v>15337</v>
      </c>
      <c r="AE801" t="s">
        <v>15338</v>
      </c>
      <c r="AF801" t="s">
        <v>74</v>
      </c>
      <c r="AG801">
        <v>43</v>
      </c>
      <c r="AH801">
        <v>5</v>
      </c>
      <c r="AI801">
        <v>5</v>
      </c>
      <c r="AJ801">
        <v>0</v>
      </c>
      <c r="AK801">
        <v>1</v>
      </c>
      <c r="AL801" t="s">
        <v>5623</v>
      </c>
      <c r="AM801" t="s">
        <v>5624</v>
      </c>
      <c r="AN801" t="s">
        <v>5625</v>
      </c>
      <c r="AO801" t="s">
        <v>5626</v>
      </c>
      <c r="AP801" t="s">
        <v>5627</v>
      </c>
      <c r="AQ801" t="s">
        <v>74</v>
      </c>
      <c r="AR801" t="s">
        <v>5628</v>
      </c>
      <c r="AS801" t="s">
        <v>5629</v>
      </c>
      <c r="AT801" t="s">
        <v>15339</v>
      </c>
      <c r="AU801">
        <v>2022</v>
      </c>
      <c r="AV801">
        <v>940</v>
      </c>
      <c r="AW801">
        <v>1</v>
      </c>
      <c r="AX801" t="s">
        <v>74</v>
      </c>
      <c r="AY801" t="s">
        <v>74</v>
      </c>
      <c r="AZ801" t="s">
        <v>74</v>
      </c>
      <c r="BA801" t="s">
        <v>74</v>
      </c>
      <c r="BB801" t="s">
        <v>74</v>
      </c>
      <c r="BC801" t="s">
        <v>74</v>
      </c>
      <c r="BD801">
        <v>95</v>
      </c>
      <c r="BE801" t="s">
        <v>15340</v>
      </c>
      <c r="BF801" t="str">
        <f>HYPERLINK("http://dx.doi.org/10.3847/1538-4357/ac8b85","http://dx.doi.org/10.3847/1538-4357/ac8b85")</f>
        <v>http://dx.doi.org/10.3847/1538-4357/ac8b85</v>
      </c>
      <c r="BG801" t="s">
        <v>74</v>
      </c>
      <c r="BH801" t="s">
        <v>74</v>
      </c>
      <c r="BI801">
        <v>21</v>
      </c>
      <c r="BJ801" t="s">
        <v>5631</v>
      </c>
      <c r="BK801" t="s">
        <v>104</v>
      </c>
      <c r="BL801" t="s">
        <v>5631</v>
      </c>
      <c r="BM801" t="s">
        <v>15341</v>
      </c>
      <c r="BN801" t="s">
        <v>74</v>
      </c>
      <c r="BO801" t="s">
        <v>165</v>
      </c>
      <c r="BP801" t="s">
        <v>74</v>
      </c>
      <c r="BQ801" t="s">
        <v>74</v>
      </c>
      <c r="BR801" t="s">
        <v>108</v>
      </c>
      <c r="BS801" t="s">
        <v>15342</v>
      </c>
      <c r="BT801" t="str">
        <f>HYPERLINK("https%3A%2F%2Fwww.webofscience.com%2Fwos%2Fwoscc%2Ffull-record%2FWOS:000889846900001","View Full Record in Web of Science")</f>
        <v>View Full Record in Web of Science</v>
      </c>
    </row>
    <row r="802" spans="1:72" x14ac:dyDescent="0.15">
      <c r="A802" t="s">
        <v>72</v>
      </c>
      <c r="B802" t="s">
        <v>15343</v>
      </c>
      <c r="C802" t="s">
        <v>74</v>
      </c>
      <c r="D802" t="s">
        <v>74</v>
      </c>
      <c r="E802" t="s">
        <v>74</v>
      </c>
      <c r="F802" t="s">
        <v>15344</v>
      </c>
      <c r="G802" t="s">
        <v>74</v>
      </c>
      <c r="H802" t="s">
        <v>74</v>
      </c>
      <c r="I802" t="s">
        <v>15345</v>
      </c>
      <c r="J802" t="s">
        <v>4253</v>
      </c>
      <c r="K802" t="s">
        <v>74</v>
      </c>
      <c r="L802" t="s">
        <v>74</v>
      </c>
      <c r="M802" t="s">
        <v>78</v>
      </c>
      <c r="N802" t="s">
        <v>79</v>
      </c>
      <c r="O802" t="s">
        <v>74</v>
      </c>
      <c r="P802" t="s">
        <v>74</v>
      </c>
      <c r="Q802" t="s">
        <v>74</v>
      </c>
      <c r="R802" t="s">
        <v>74</v>
      </c>
      <c r="S802" t="s">
        <v>74</v>
      </c>
      <c r="T802" t="s">
        <v>15346</v>
      </c>
      <c r="U802" t="s">
        <v>15347</v>
      </c>
      <c r="V802" t="s">
        <v>15348</v>
      </c>
      <c r="W802" t="s">
        <v>15349</v>
      </c>
      <c r="X802" t="s">
        <v>15350</v>
      </c>
      <c r="Y802" t="s">
        <v>15351</v>
      </c>
      <c r="Z802" t="s">
        <v>15352</v>
      </c>
      <c r="AA802" t="s">
        <v>15353</v>
      </c>
      <c r="AB802" t="s">
        <v>15354</v>
      </c>
      <c r="AC802" t="s">
        <v>74</v>
      </c>
      <c r="AD802" t="s">
        <v>74</v>
      </c>
      <c r="AE802" t="s">
        <v>74</v>
      </c>
      <c r="AF802" t="s">
        <v>74</v>
      </c>
      <c r="AG802">
        <v>58</v>
      </c>
      <c r="AH802">
        <v>1</v>
      </c>
      <c r="AI802">
        <v>1</v>
      </c>
      <c r="AJ802">
        <v>4</v>
      </c>
      <c r="AK802">
        <v>13</v>
      </c>
      <c r="AL802" t="s">
        <v>1791</v>
      </c>
      <c r="AM802" t="s">
        <v>576</v>
      </c>
      <c r="AN802" t="s">
        <v>1792</v>
      </c>
      <c r="AO802" t="s">
        <v>74</v>
      </c>
      <c r="AP802" t="s">
        <v>4266</v>
      </c>
      <c r="AQ802" t="s">
        <v>74</v>
      </c>
      <c r="AR802" t="s">
        <v>4267</v>
      </c>
      <c r="AS802" t="s">
        <v>4268</v>
      </c>
      <c r="AT802" t="s">
        <v>14975</v>
      </c>
      <c r="AU802">
        <v>2022</v>
      </c>
      <c r="AV802">
        <v>9</v>
      </c>
      <c r="AW802">
        <v>11</v>
      </c>
      <c r="AX802" t="s">
        <v>74</v>
      </c>
      <c r="AY802" t="s">
        <v>74</v>
      </c>
      <c r="AZ802" t="s">
        <v>74</v>
      </c>
      <c r="BA802" t="s">
        <v>74</v>
      </c>
      <c r="BB802" t="s">
        <v>74</v>
      </c>
      <c r="BC802" t="s">
        <v>74</v>
      </c>
      <c r="BD802" t="s">
        <v>15355</v>
      </c>
      <c r="BE802" t="s">
        <v>15356</v>
      </c>
      <c r="BF802" t="str">
        <f>HYPERLINK("http://dx.doi.org/10.1029/2022EA002529","http://dx.doi.org/10.1029/2022EA002529")</f>
        <v>http://dx.doi.org/10.1029/2022EA002529</v>
      </c>
      <c r="BG802" t="s">
        <v>74</v>
      </c>
      <c r="BH802" t="s">
        <v>74</v>
      </c>
      <c r="BI802">
        <v>13</v>
      </c>
      <c r="BJ802" t="s">
        <v>4271</v>
      </c>
      <c r="BK802" t="s">
        <v>104</v>
      </c>
      <c r="BL802" t="s">
        <v>4272</v>
      </c>
      <c r="BM802" t="s">
        <v>15357</v>
      </c>
      <c r="BN802" t="s">
        <v>74</v>
      </c>
      <c r="BO802" t="s">
        <v>165</v>
      </c>
      <c r="BP802" t="s">
        <v>74</v>
      </c>
      <c r="BQ802" t="s">
        <v>74</v>
      </c>
      <c r="BR802" t="s">
        <v>108</v>
      </c>
      <c r="BS802" t="s">
        <v>15358</v>
      </c>
      <c r="BT802" t="str">
        <f>HYPERLINK("https%3A%2F%2Fwww.webofscience.com%2Fwos%2Fwoscc%2Ffull-record%2FWOS:000889478000001","View Full Record in Web of Science")</f>
        <v>View Full Record in Web of Science</v>
      </c>
    </row>
    <row r="803" spans="1:72" x14ac:dyDescent="0.15">
      <c r="A803" t="s">
        <v>72</v>
      </c>
      <c r="B803" t="s">
        <v>15359</v>
      </c>
      <c r="C803" t="s">
        <v>74</v>
      </c>
      <c r="D803" t="s">
        <v>74</v>
      </c>
      <c r="E803" t="s">
        <v>74</v>
      </c>
      <c r="F803" t="s">
        <v>15360</v>
      </c>
      <c r="G803" t="s">
        <v>74</v>
      </c>
      <c r="H803" t="s">
        <v>74</v>
      </c>
      <c r="I803" t="s">
        <v>15361</v>
      </c>
      <c r="J803" t="s">
        <v>15028</v>
      </c>
      <c r="K803" t="s">
        <v>74</v>
      </c>
      <c r="L803" t="s">
        <v>74</v>
      </c>
      <c r="M803" t="s">
        <v>78</v>
      </c>
      <c r="N803" t="s">
        <v>79</v>
      </c>
      <c r="O803" t="s">
        <v>74</v>
      </c>
      <c r="P803" t="s">
        <v>74</v>
      </c>
      <c r="Q803" t="s">
        <v>74</v>
      </c>
      <c r="R803" t="s">
        <v>74</v>
      </c>
      <c r="S803" t="s">
        <v>74</v>
      </c>
      <c r="T803" t="s">
        <v>15362</v>
      </c>
      <c r="U803" t="s">
        <v>15363</v>
      </c>
      <c r="V803" t="s">
        <v>15364</v>
      </c>
      <c r="W803" t="s">
        <v>15365</v>
      </c>
      <c r="X803" t="s">
        <v>15366</v>
      </c>
      <c r="Y803" t="s">
        <v>15367</v>
      </c>
      <c r="Z803" t="s">
        <v>15368</v>
      </c>
      <c r="AA803" t="s">
        <v>15369</v>
      </c>
      <c r="AB803" t="s">
        <v>15370</v>
      </c>
      <c r="AC803" t="s">
        <v>74</v>
      </c>
      <c r="AD803" t="s">
        <v>74</v>
      </c>
      <c r="AE803" t="s">
        <v>74</v>
      </c>
      <c r="AF803" t="s">
        <v>74</v>
      </c>
      <c r="AG803">
        <v>84</v>
      </c>
      <c r="AH803">
        <v>13</v>
      </c>
      <c r="AI803">
        <v>13</v>
      </c>
      <c r="AJ803">
        <v>3</v>
      </c>
      <c r="AK803">
        <v>19</v>
      </c>
      <c r="AL803" t="s">
        <v>1791</v>
      </c>
      <c r="AM803" t="s">
        <v>576</v>
      </c>
      <c r="AN803" t="s">
        <v>1792</v>
      </c>
      <c r="AO803" t="s">
        <v>15041</v>
      </c>
      <c r="AP803" t="s">
        <v>15042</v>
      </c>
      <c r="AQ803" t="s">
        <v>74</v>
      </c>
      <c r="AR803" t="s">
        <v>15043</v>
      </c>
      <c r="AS803" t="s">
        <v>15044</v>
      </c>
      <c r="AT803" t="s">
        <v>14975</v>
      </c>
      <c r="AU803">
        <v>2022</v>
      </c>
      <c r="AV803">
        <v>36</v>
      </c>
      <c r="AW803">
        <v>11</v>
      </c>
      <c r="AX803" t="s">
        <v>74</v>
      </c>
      <c r="AY803" t="s">
        <v>74</v>
      </c>
      <c r="AZ803" t="s">
        <v>74</v>
      </c>
      <c r="BA803" t="s">
        <v>74</v>
      </c>
      <c r="BB803" t="s">
        <v>74</v>
      </c>
      <c r="BC803" t="s">
        <v>74</v>
      </c>
      <c r="BD803" t="s">
        <v>15371</v>
      </c>
      <c r="BE803" t="s">
        <v>15372</v>
      </c>
      <c r="BF803" t="str">
        <f>HYPERLINK("http://dx.doi.org/10.1029/2022GB007382","http://dx.doi.org/10.1029/2022GB007382")</f>
        <v>http://dx.doi.org/10.1029/2022GB007382</v>
      </c>
      <c r="BG803" t="s">
        <v>74</v>
      </c>
      <c r="BH803" t="s">
        <v>74</v>
      </c>
      <c r="BI803">
        <v>18</v>
      </c>
      <c r="BJ803" t="s">
        <v>381</v>
      </c>
      <c r="BK803" t="s">
        <v>104</v>
      </c>
      <c r="BL803" t="s">
        <v>382</v>
      </c>
      <c r="BM803" t="s">
        <v>15373</v>
      </c>
      <c r="BN803">
        <v>37034112</v>
      </c>
      <c r="BO803" t="s">
        <v>107</v>
      </c>
      <c r="BP803" t="s">
        <v>74</v>
      </c>
      <c r="BQ803" t="s">
        <v>74</v>
      </c>
      <c r="BR803" t="s">
        <v>108</v>
      </c>
      <c r="BS803" t="s">
        <v>15374</v>
      </c>
      <c r="BT803" t="str">
        <f>HYPERLINK("https%3A%2F%2Fwww.webofscience.com%2Fwos%2Fwoscc%2Ffull-record%2FWOS:000888512800001","View Full Record in Web of Science")</f>
        <v>View Full Record in Web of Science</v>
      </c>
    </row>
    <row r="804" spans="1:72" x14ac:dyDescent="0.15">
      <c r="A804" t="s">
        <v>72</v>
      </c>
      <c r="B804" t="s">
        <v>15375</v>
      </c>
      <c r="C804" t="s">
        <v>74</v>
      </c>
      <c r="D804" t="s">
        <v>74</v>
      </c>
      <c r="E804" t="s">
        <v>74</v>
      </c>
      <c r="F804" t="s">
        <v>15376</v>
      </c>
      <c r="G804" t="s">
        <v>74</v>
      </c>
      <c r="H804" t="s">
        <v>74</v>
      </c>
      <c r="I804" t="s">
        <v>15377</v>
      </c>
      <c r="J804" t="s">
        <v>11220</v>
      </c>
      <c r="K804" t="s">
        <v>74</v>
      </c>
      <c r="L804" t="s">
        <v>74</v>
      </c>
      <c r="M804" t="s">
        <v>78</v>
      </c>
      <c r="N804" t="s">
        <v>79</v>
      </c>
      <c r="O804" t="s">
        <v>74</v>
      </c>
      <c r="P804" t="s">
        <v>74</v>
      </c>
      <c r="Q804" t="s">
        <v>74</v>
      </c>
      <c r="R804" t="s">
        <v>74</v>
      </c>
      <c r="S804" t="s">
        <v>74</v>
      </c>
      <c r="T804" t="s">
        <v>15378</v>
      </c>
      <c r="U804" t="s">
        <v>15379</v>
      </c>
      <c r="V804" t="s">
        <v>15380</v>
      </c>
      <c r="W804" t="s">
        <v>15381</v>
      </c>
      <c r="X804" t="s">
        <v>15382</v>
      </c>
      <c r="Y804" t="s">
        <v>15383</v>
      </c>
      <c r="Z804" t="s">
        <v>15384</v>
      </c>
      <c r="AA804" t="s">
        <v>15385</v>
      </c>
      <c r="AB804" t="s">
        <v>15386</v>
      </c>
      <c r="AC804" t="s">
        <v>74</v>
      </c>
      <c r="AD804" t="s">
        <v>74</v>
      </c>
      <c r="AE804" t="s">
        <v>74</v>
      </c>
      <c r="AF804" t="s">
        <v>74</v>
      </c>
      <c r="AG804">
        <v>80</v>
      </c>
      <c r="AH804">
        <v>1</v>
      </c>
      <c r="AI804">
        <v>1</v>
      </c>
      <c r="AJ804">
        <v>1</v>
      </c>
      <c r="AK804">
        <v>6</v>
      </c>
      <c r="AL804" t="s">
        <v>1791</v>
      </c>
      <c r="AM804" t="s">
        <v>576</v>
      </c>
      <c r="AN804" t="s">
        <v>1792</v>
      </c>
      <c r="AO804" t="s">
        <v>11230</v>
      </c>
      <c r="AP804" t="s">
        <v>11231</v>
      </c>
      <c r="AQ804" t="s">
        <v>74</v>
      </c>
      <c r="AR804" t="s">
        <v>11232</v>
      </c>
      <c r="AS804" t="s">
        <v>11233</v>
      </c>
      <c r="AT804" t="s">
        <v>14975</v>
      </c>
      <c r="AU804">
        <v>2022</v>
      </c>
      <c r="AV804">
        <v>127</v>
      </c>
      <c r="AW804">
        <v>11</v>
      </c>
      <c r="AX804" t="s">
        <v>74</v>
      </c>
      <c r="AY804" t="s">
        <v>74</v>
      </c>
      <c r="AZ804" t="s">
        <v>74</v>
      </c>
      <c r="BA804" t="s">
        <v>74</v>
      </c>
      <c r="BB804" t="s">
        <v>74</v>
      </c>
      <c r="BC804" t="s">
        <v>74</v>
      </c>
      <c r="BD804" t="s">
        <v>15387</v>
      </c>
      <c r="BE804" t="s">
        <v>15388</v>
      </c>
      <c r="BF804" t="str">
        <f>HYPERLINK("http://dx.doi.org/10.1029/2022JA030895","http://dx.doi.org/10.1029/2022JA030895")</f>
        <v>http://dx.doi.org/10.1029/2022JA030895</v>
      </c>
      <c r="BG804" t="s">
        <v>74</v>
      </c>
      <c r="BH804" t="s">
        <v>74</v>
      </c>
      <c r="BI804">
        <v>16</v>
      </c>
      <c r="BJ804" t="s">
        <v>5631</v>
      </c>
      <c r="BK804" t="s">
        <v>104</v>
      </c>
      <c r="BL804" t="s">
        <v>5631</v>
      </c>
      <c r="BM804" t="s">
        <v>15389</v>
      </c>
      <c r="BN804" t="s">
        <v>74</v>
      </c>
      <c r="BO804" t="s">
        <v>660</v>
      </c>
      <c r="BP804" t="s">
        <v>74</v>
      </c>
      <c r="BQ804" t="s">
        <v>74</v>
      </c>
      <c r="BR804" t="s">
        <v>108</v>
      </c>
      <c r="BS804" t="s">
        <v>15390</v>
      </c>
      <c r="BT804" t="str">
        <f>HYPERLINK("https%3A%2F%2Fwww.webofscience.com%2Fwos%2Fwoscc%2Ffull-record%2FWOS:000889475700001","View Full Record in Web of Science")</f>
        <v>View Full Record in Web of Science</v>
      </c>
    </row>
    <row r="805" spans="1:72" x14ac:dyDescent="0.15">
      <c r="A805" t="s">
        <v>72</v>
      </c>
      <c r="B805" t="s">
        <v>15391</v>
      </c>
      <c r="C805" t="s">
        <v>74</v>
      </c>
      <c r="D805" t="s">
        <v>74</v>
      </c>
      <c r="E805" t="s">
        <v>74</v>
      </c>
      <c r="F805" t="s">
        <v>15392</v>
      </c>
      <c r="G805" t="s">
        <v>74</v>
      </c>
      <c r="H805" t="s">
        <v>74</v>
      </c>
      <c r="I805" t="s">
        <v>15393</v>
      </c>
      <c r="J805" t="s">
        <v>4089</v>
      </c>
      <c r="K805" t="s">
        <v>74</v>
      </c>
      <c r="L805" t="s">
        <v>74</v>
      </c>
      <c r="M805" t="s">
        <v>78</v>
      </c>
      <c r="N805" t="s">
        <v>79</v>
      </c>
      <c r="O805" t="s">
        <v>74</v>
      </c>
      <c r="P805" t="s">
        <v>74</v>
      </c>
      <c r="Q805" t="s">
        <v>74</v>
      </c>
      <c r="R805" t="s">
        <v>74</v>
      </c>
      <c r="S805" t="s">
        <v>74</v>
      </c>
      <c r="T805" t="s">
        <v>15394</v>
      </c>
      <c r="U805" t="s">
        <v>15395</v>
      </c>
      <c r="V805" t="s">
        <v>15396</v>
      </c>
      <c r="W805" t="s">
        <v>15397</v>
      </c>
      <c r="X805" t="s">
        <v>15398</v>
      </c>
      <c r="Y805" t="s">
        <v>15399</v>
      </c>
      <c r="Z805" t="s">
        <v>15400</v>
      </c>
      <c r="AA805" t="s">
        <v>15401</v>
      </c>
      <c r="AB805" t="s">
        <v>15402</v>
      </c>
      <c r="AC805" t="s">
        <v>74</v>
      </c>
      <c r="AD805" t="s">
        <v>74</v>
      </c>
      <c r="AE805" t="s">
        <v>74</v>
      </c>
      <c r="AF805" t="s">
        <v>74</v>
      </c>
      <c r="AG805">
        <v>154</v>
      </c>
      <c r="AH805">
        <v>11</v>
      </c>
      <c r="AI805">
        <v>11</v>
      </c>
      <c r="AJ805">
        <v>1</v>
      </c>
      <c r="AK805">
        <v>12</v>
      </c>
      <c r="AL805" t="s">
        <v>1791</v>
      </c>
      <c r="AM805" t="s">
        <v>576</v>
      </c>
      <c r="AN805" t="s">
        <v>1792</v>
      </c>
      <c r="AO805" t="s">
        <v>74</v>
      </c>
      <c r="AP805" t="s">
        <v>4102</v>
      </c>
      <c r="AQ805" t="s">
        <v>74</v>
      </c>
      <c r="AR805" t="s">
        <v>4089</v>
      </c>
      <c r="AS805" t="s">
        <v>4103</v>
      </c>
      <c r="AT805" t="s">
        <v>14975</v>
      </c>
      <c r="AU805">
        <v>2022</v>
      </c>
      <c r="AV805">
        <v>10</v>
      </c>
      <c r="AW805">
        <v>11</v>
      </c>
      <c r="AX805" t="s">
        <v>74</v>
      </c>
      <c r="AY805" t="s">
        <v>74</v>
      </c>
      <c r="AZ805" t="s">
        <v>74</v>
      </c>
      <c r="BA805" t="s">
        <v>74</v>
      </c>
      <c r="BB805" t="s">
        <v>74</v>
      </c>
      <c r="BC805" t="s">
        <v>74</v>
      </c>
      <c r="BD805" t="s">
        <v>15403</v>
      </c>
      <c r="BE805" t="s">
        <v>15404</v>
      </c>
      <c r="BF805" t="str">
        <f>HYPERLINK("http://dx.doi.org/10.1029/2022EF002751","http://dx.doi.org/10.1029/2022EF002751")</f>
        <v>http://dx.doi.org/10.1029/2022EF002751</v>
      </c>
      <c r="BG805" t="s">
        <v>74</v>
      </c>
      <c r="BH805" t="s">
        <v>74</v>
      </c>
      <c r="BI805">
        <v>24</v>
      </c>
      <c r="BJ805" t="s">
        <v>381</v>
      </c>
      <c r="BK805" t="s">
        <v>104</v>
      </c>
      <c r="BL805" t="s">
        <v>382</v>
      </c>
      <c r="BM805" t="s">
        <v>15405</v>
      </c>
      <c r="BN805">
        <v>36590252</v>
      </c>
      <c r="BO805" t="s">
        <v>14302</v>
      </c>
      <c r="BP805" t="s">
        <v>74</v>
      </c>
      <c r="BQ805" t="s">
        <v>74</v>
      </c>
      <c r="BR805" t="s">
        <v>108</v>
      </c>
      <c r="BS805" t="s">
        <v>15406</v>
      </c>
      <c r="BT805" t="str">
        <f>HYPERLINK("https%3A%2F%2Fwww.webofscience.com%2Fwos%2Fwoscc%2Ffull-record%2FWOS:000888200600001","View Full Record in Web of Science")</f>
        <v>View Full Record in Web of Science</v>
      </c>
    </row>
    <row r="806" spans="1:72" x14ac:dyDescent="0.15">
      <c r="A806" t="s">
        <v>72</v>
      </c>
      <c r="B806" t="s">
        <v>15407</v>
      </c>
      <c r="C806" t="s">
        <v>74</v>
      </c>
      <c r="D806" t="s">
        <v>74</v>
      </c>
      <c r="E806" t="s">
        <v>74</v>
      </c>
      <c r="F806" t="s">
        <v>15408</v>
      </c>
      <c r="G806" t="s">
        <v>74</v>
      </c>
      <c r="H806" t="s">
        <v>74</v>
      </c>
      <c r="I806" t="s">
        <v>15409</v>
      </c>
      <c r="J806" t="s">
        <v>3541</v>
      </c>
      <c r="K806" t="s">
        <v>74</v>
      </c>
      <c r="L806" t="s">
        <v>74</v>
      </c>
      <c r="M806" t="s">
        <v>78</v>
      </c>
      <c r="N806" t="s">
        <v>79</v>
      </c>
      <c r="O806" t="s">
        <v>74</v>
      </c>
      <c r="P806" t="s">
        <v>74</v>
      </c>
      <c r="Q806" t="s">
        <v>74</v>
      </c>
      <c r="R806" t="s">
        <v>74</v>
      </c>
      <c r="S806" t="s">
        <v>74</v>
      </c>
      <c r="T806" t="s">
        <v>15410</v>
      </c>
      <c r="U806" t="s">
        <v>15411</v>
      </c>
      <c r="V806" t="s">
        <v>15412</v>
      </c>
      <c r="W806" t="s">
        <v>15413</v>
      </c>
      <c r="X806" t="s">
        <v>15414</v>
      </c>
      <c r="Y806" t="s">
        <v>15415</v>
      </c>
      <c r="Z806" t="s">
        <v>15416</v>
      </c>
      <c r="AA806" t="s">
        <v>15417</v>
      </c>
      <c r="AB806" t="s">
        <v>15418</v>
      </c>
      <c r="AC806" t="s">
        <v>74</v>
      </c>
      <c r="AD806" t="s">
        <v>74</v>
      </c>
      <c r="AE806" t="s">
        <v>74</v>
      </c>
      <c r="AF806" t="s">
        <v>74</v>
      </c>
      <c r="AG806">
        <v>94</v>
      </c>
      <c r="AH806">
        <v>0</v>
      </c>
      <c r="AI806">
        <v>0</v>
      </c>
      <c r="AJ806">
        <v>0</v>
      </c>
      <c r="AK806">
        <v>19</v>
      </c>
      <c r="AL806" t="s">
        <v>1791</v>
      </c>
      <c r="AM806" t="s">
        <v>576</v>
      </c>
      <c r="AN806" t="s">
        <v>1792</v>
      </c>
      <c r="AO806" t="s">
        <v>3554</v>
      </c>
      <c r="AP806" t="s">
        <v>3555</v>
      </c>
      <c r="AQ806" t="s">
        <v>74</v>
      </c>
      <c r="AR806" t="s">
        <v>3556</v>
      </c>
      <c r="AS806" t="s">
        <v>3557</v>
      </c>
      <c r="AT806" t="s">
        <v>14975</v>
      </c>
      <c r="AU806">
        <v>2022</v>
      </c>
      <c r="AV806">
        <v>127</v>
      </c>
      <c r="AW806">
        <v>11</v>
      </c>
      <c r="AX806" t="s">
        <v>74</v>
      </c>
      <c r="AY806" t="s">
        <v>74</v>
      </c>
      <c r="AZ806" t="s">
        <v>74</v>
      </c>
      <c r="BA806" t="s">
        <v>74</v>
      </c>
      <c r="BB806" t="s">
        <v>74</v>
      </c>
      <c r="BC806" t="s">
        <v>74</v>
      </c>
      <c r="BD806" t="s">
        <v>15419</v>
      </c>
      <c r="BE806" t="s">
        <v>15420</v>
      </c>
      <c r="BF806" t="str">
        <f>HYPERLINK("http://dx.doi.org/10.1029/2022JC018893","http://dx.doi.org/10.1029/2022JC018893")</f>
        <v>http://dx.doi.org/10.1029/2022JC018893</v>
      </c>
      <c r="BG806" t="s">
        <v>74</v>
      </c>
      <c r="BH806" t="s">
        <v>74</v>
      </c>
      <c r="BI806">
        <v>14</v>
      </c>
      <c r="BJ806" t="s">
        <v>403</v>
      </c>
      <c r="BK806" t="s">
        <v>104</v>
      </c>
      <c r="BL806" t="s">
        <v>403</v>
      </c>
      <c r="BM806" t="s">
        <v>15421</v>
      </c>
      <c r="BN806" t="s">
        <v>74</v>
      </c>
      <c r="BO806" t="s">
        <v>107</v>
      </c>
      <c r="BP806" t="s">
        <v>74</v>
      </c>
      <c r="BQ806" t="s">
        <v>74</v>
      </c>
      <c r="BR806" t="s">
        <v>108</v>
      </c>
      <c r="BS806" t="s">
        <v>15422</v>
      </c>
      <c r="BT806" t="str">
        <f>HYPERLINK("https%3A%2F%2Fwww.webofscience.com%2Fwos%2Fwoscc%2Ffull-record%2FWOS:000888587400001","View Full Record in Web of Science")</f>
        <v>View Full Record in Web of Science</v>
      </c>
    </row>
    <row r="807" spans="1:72" x14ac:dyDescent="0.15">
      <c r="A807" t="s">
        <v>72</v>
      </c>
      <c r="B807" t="s">
        <v>15423</v>
      </c>
      <c r="C807" t="s">
        <v>74</v>
      </c>
      <c r="D807" t="s">
        <v>74</v>
      </c>
      <c r="E807" t="s">
        <v>74</v>
      </c>
      <c r="F807" t="s">
        <v>15424</v>
      </c>
      <c r="G807" t="s">
        <v>74</v>
      </c>
      <c r="H807" t="s">
        <v>74</v>
      </c>
      <c r="I807" t="s">
        <v>15425</v>
      </c>
      <c r="J807" t="s">
        <v>3541</v>
      </c>
      <c r="K807" t="s">
        <v>74</v>
      </c>
      <c r="L807" t="s">
        <v>74</v>
      </c>
      <c r="M807" t="s">
        <v>78</v>
      </c>
      <c r="N807" t="s">
        <v>79</v>
      </c>
      <c r="O807" t="s">
        <v>74</v>
      </c>
      <c r="P807" t="s">
        <v>74</v>
      </c>
      <c r="Q807" t="s">
        <v>74</v>
      </c>
      <c r="R807" t="s">
        <v>74</v>
      </c>
      <c r="S807" t="s">
        <v>74</v>
      </c>
      <c r="T807" t="s">
        <v>15426</v>
      </c>
      <c r="U807" t="s">
        <v>15427</v>
      </c>
      <c r="V807" t="s">
        <v>15428</v>
      </c>
      <c r="W807" t="s">
        <v>15429</v>
      </c>
      <c r="X807" t="s">
        <v>15430</v>
      </c>
      <c r="Y807" t="s">
        <v>15431</v>
      </c>
      <c r="Z807" t="s">
        <v>15432</v>
      </c>
      <c r="AA807" t="s">
        <v>74</v>
      </c>
      <c r="AB807" t="s">
        <v>15433</v>
      </c>
      <c r="AC807" t="s">
        <v>74</v>
      </c>
      <c r="AD807" t="s">
        <v>74</v>
      </c>
      <c r="AE807" t="s">
        <v>74</v>
      </c>
      <c r="AF807" t="s">
        <v>74</v>
      </c>
      <c r="AG807">
        <v>98</v>
      </c>
      <c r="AH807">
        <v>0</v>
      </c>
      <c r="AI807">
        <v>0</v>
      </c>
      <c r="AJ807">
        <v>4</v>
      </c>
      <c r="AK807">
        <v>10</v>
      </c>
      <c r="AL807" t="s">
        <v>1791</v>
      </c>
      <c r="AM807" t="s">
        <v>576</v>
      </c>
      <c r="AN807" t="s">
        <v>1792</v>
      </c>
      <c r="AO807" t="s">
        <v>3554</v>
      </c>
      <c r="AP807" t="s">
        <v>3555</v>
      </c>
      <c r="AQ807" t="s">
        <v>74</v>
      </c>
      <c r="AR807" t="s">
        <v>3556</v>
      </c>
      <c r="AS807" t="s">
        <v>3557</v>
      </c>
      <c r="AT807" t="s">
        <v>14975</v>
      </c>
      <c r="AU807">
        <v>2022</v>
      </c>
      <c r="AV807">
        <v>127</v>
      </c>
      <c r="AW807">
        <v>11</v>
      </c>
      <c r="AX807" t="s">
        <v>74</v>
      </c>
      <c r="AY807" t="s">
        <v>74</v>
      </c>
      <c r="AZ807" t="s">
        <v>74</v>
      </c>
      <c r="BA807" t="s">
        <v>74</v>
      </c>
      <c r="BB807" t="s">
        <v>74</v>
      </c>
      <c r="BC807" t="s">
        <v>74</v>
      </c>
      <c r="BD807" t="s">
        <v>15434</v>
      </c>
      <c r="BE807" t="s">
        <v>15435</v>
      </c>
      <c r="BF807" t="str">
        <f>HYPERLINK("http://dx.doi.org/10.1029/2022JC019129","http://dx.doi.org/10.1029/2022JC019129")</f>
        <v>http://dx.doi.org/10.1029/2022JC019129</v>
      </c>
      <c r="BG807" t="s">
        <v>74</v>
      </c>
      <c r="BH807" t="s">
        <v>74</v>
      </c>
      <c r="BI807">
        <v>17</v>
      </c>
      <c r="BJ807" t="s">
        <v>403</v>
      </c>
      <c r="BK807" t="s">
        <v>104</v>
      </c>
      <c r="BL807" t="s">
        <v>403</v>
      </c>
      <c r="BM807" t="s">
        <v>15436</v>
      </c>
      <c r="BN807" t="s">
        <v>74</v>
      </c>
      <c r="BO807" t="s">
        <v>219</v>
      </c>
      <c r="BP807" t="s">
        <v>74</v>
      </c>
      <c r="BQ807" t="s">
        <v>74</v>
      </c>
      <c r="BR807" t="s">
        <v>108</v>
      </c>
      <c r="BS807" t="s">
        <v>15437</v>
      </c>
      <c r="BT807" t="str">
        <f>HYPERLINK("https%3A%2F%2Fwww.webofscience.com%2Fwos%2Fwoscc%2Ffull-record%2FWOS:000888588100001","View Full Record in Web of Science")</f>
        <v>View Full Record in Web of Science</v>
      </c>
    </row>
    <row r="808" spans="1:72" x14ac:dyDescent="0.15">
      <c r="A808" t="s">
        <v>72</v>
      </c>
      <c r="B808" t="s">
        <v>15438</v>
      </c>
      <c r="C808" t="s">
        <v>74</v>
      </c>
      <c r="D808" t="s">
        <v>74</v>
      </c>
      <c r="E808" t="s">
        <v>74</v>
      </c>
      <c r="F808" t="s">
        <v>15439</v>
      </c>
      <c r="G808" t="s">
        <v>74</v>
      </c>
      <c r="H808" t="s">
        <v>74</v>
      </c>
      <c r="I808" t="s">
        <v>15440</v>
      </c>
      <c r="J808" t="s">
        <v>10015</v>
      </c>
      <c r="K808" t="s">
        <v>74</v>
      </c>
      <c r="L808" t="s">
        <v>74</v>
      </c>
      <c r="M808" t="s">
        <v>78</v>
      </c>
      <c r="N808" t="s">
        <v>79</v>
      </c>
      <c r="O808" t="s">
        <v>74</v>
      </c>
      <c r="P808" t="s">
        <v>74</v>
      </c>
      <c r="Q808" t="s">
        <v>74</v>
      </c>
      <c r="R808" t="s">
        <v>74</v>
      </c>
      <c r="S808" t="s">
        <v>74</v>
      </c>
      <c r="T808" t="s">
        <v>15441</v>
      </c>
      <c r="U808" t="s">
        <v>15442</v>
      </c>
      <c r="V808" t="s">
        <v>15443</v>
      </c>
      <c r="W808" t="s">
        <v>15444</v>
      </c>
      <c r="X808" t="s">
        <v>15445</v>
      </c>
      <c r="Y808" t="s">
        <v>15446</v>
      </c>
      <c r="Z808" t="s">
        <v>15447</v>
      </c>
      <c r="AA808" t="s">
        <v>74</v>
      </c>
      <c r="AB808" t="s">
        <v>74</v>
      </c>
      <c r="AC808" t="s">
        <v>74</v>
      </c>
      <c r="AD808" t="s">
        <v>74</v>
      </c>
      <c r="AE808" t="s">
        <v>74</v>
      </c>
      <c r="AF808" t="s">
        <v>74</v>
      </c>
      <c r="AG808">
        <v>65</v>
      </c>
      <c r="AH808">
        <v>2</v>
      </c>
      <c r="AI808">
        <v>2</v>
      </c>
      <c r="AJ808">
        <v>2</v>
      </c>
      <c r="AK808">
        <v>2</v>
      </c>
      <c r="AL808" t="s">
        <v>1791</v>
      </c>
      <c r="AM808" t="s">
        <v>576</v>
      </c>
      <c r="AN808" t="s">
        <v>1792</v>
      </c>
      <c r="AO808" t="s">
        <v>74</v>
      </c>
      <c r="AP808" t="s">
        <v>10028</v>
      </c>
      <c r="AQ808" t="s">
        <v>74</v>
      </c>
      <c r="AR808" t="s">
        <v>10029</v>
      </c>
      <c r="AS808" t="s">
        <v>10030</v>
      </c>
      <c r="AT808" t="s">
        <v>14975</v>
      </c>
      <c r="AU808">
        <v>2022</v>
      </c>
      <c r="AV808">
        <v>14</v>
      </c>
      <c r="AW808">
        <v>11</v>
      </c>
      <c r="AX808" t="s">
        <v>74</v>
      </c>
      <c r="AY808" t="s">
        <v>74</v>
      </c>
      <c r="AZ808" t="s">
        <v>74</v>
      </c>
      <c r="BA808" t="s">
        <v>74</v>
      </c>
      <c r="BB808" t="s">
        <v>74</v>
      </c>
      <c r="BC808" t="s">
        <v>74</v>
      </c>
      <c r="BD808" t="s">
        <v>15448</v>
      </c>
      <c r="BE808" t="s">
        <v>15449</v>
      </c>
      <c r="BF808" t="str">
        <f>HYPERLINK("http://dx.doi.org/10.1029/2022MS003056","http://dx.doi.org/10.1029/2022MS003056")</f>
        <v>http://dx.doi.org/10.1029/2022MS003056</v>
      </c>
      <c r="BG808" t="s">
        <v>74</v>
      </c>
      <c r="BH808" t="s">
        <v>74</v>
      </c>
      <c r="BI808">
        <v>29</v>
      </c>
      <c r="BJ808" t="s">
        <v>532</v>
      </c>
      <c r="BK808" t="s">
        <v>104</v>
      </c>
      <c r="BL808" t="s">
        <v>532</v>
      </c>
      <c r="BM808" t="s">
        <v>15450</v>
      </c>
      <c r="BN808" t="s">
        <v>74</v>
      </c>
      <c r="BO808" t="s">
        <v>4658</v>
      </c>
      <c r="BP808" t="s">
        <v>74</v>
      </c>
      <c r="BQ808" t="s">
        <v>74</v>
      </c>
      <c r="BR808" t="s">
        <v>108</v>
      </c>
      <c r="BS808" t="s">
        <v>15451</v>
      </c>
      <c r="BT808" t="str">
        <f>HYPERLINK("https%3A%2F%2Fwww.webofscience.com%2Fwos%2Fwoscc%2Ffull-record%2FWOS:000888181600001","View Full Record in Web of Science")</f>
        <v>View Full Record in Web of Science</v>
      </c>
    </row>
    <row r="809" spans="1:72" x14ac:dyDescent="0.15">
      <c r="A809" t="s">
        <v>72</v>
      </c>
      <c r="B809" t="s">
        <v>15452</v>
      </c>
      <c r="C809" t="s">
        <v>74</v>
      </c>
      <c r="D809" t="s">
        <v>74</v>
      </c>
      <c r="E809" t="s">
        <v>74</v>
      </c>
      <c r="F809" t="s">
        <v>15453</v>
      </c>
      <c r="G809" t="s">
        <v>74</v>
      </c>
      <c r="H809" t="s">
        <v>74</v>
      </c>
      <c r="I809" t="s">
        <v>15454</v>
      </c>
      <c r="J809" t="s">
        <v>3541</v>
      </c>
      <c r="K809" t="s">
        <v>74</v>
      </c>
      <c r="L809" t="s">
        <v>74</v>
      </c>
      <c r="M809" t="s">
        <v>78</v>
      </c>
      <c r="N809" t="s">
        <v>79</v>
      </c>
      <c r="O809" t="s">
        <v>74</v>
      </c>
      <c r="P809" t="s">
        <v>74</v>
      </c>
      <c r="Q809" t="s">
        <v>74</v>
      </c>
      <c r="R809" t="s">
        <v>74</v>
      </c>
      <c r="S809" t="s">
        <v>74</v>
      </c>
      <c r="T809" t="s">
        <v>15455</v>
      </c>
      <c r="U809" t="s">
        <v>15456</v>
      </c>
      <c r="V809" t="s">
        <v>15457</v>
      </c>
      <c r="W809" t="s">
        <v>15458</v>
      </c>
      <c r="X809" t="s">
        <v>15459</v>
      </c>
      <c r="Y809" t="s">
        <v>15460</v>
      </c>
      <c r="Z809" t="s">
        <v>15461</v>
      </c>
      <c r="AA809" t="s">
        <v>15462</v>
      </c>
      <c r="AB809" t="s">
        <v>15463</v>
      </c>
      <c r="AC809" t="s">
        <v>74</v>
      </c>
      <c r="AD809" t="s">
        <v>74</v>
      </c>
      <c r="AE809" t="s">
        <v>74</v>
      </c>
      <c r="AF809" t="s">
        <v>74</v>
      </c>
      <c r="AG809">
        <v>62</v>
      </c>
      <c r="AH809">
        <v>3</v>
      </c>
      <c r="AI809">
        <v>3</v>
      </c>
      <c r="AJ809">
        <v>0</v>
      </c>
      <c r="AK809">
        <v>7</v>
      </c>
      <c r="AL809" t="s">
        <v>1791</v>
      </c>
      <c r="AM809" t="s">
        <v>576</v>
      </c>
      <c r="AN809" t="s">
        <v>1792</v>
      </c>
      <c r="AO809" t="s">
        <v>3554</v>
      </c>
      <c r="AP809" t="s">
        <v>3555</v>
      </c>
      <c r="AQ809" t="s">
        <v>74</v>
      </c>
      <c r="AR809" t="s">
        <v>3556</v>
      </c>
      <c r="AS809" t="s">
        <v>3557</v>
      </c>
      <c r="AT809" t="s">
        <v>14975</v>
      </c>
      <c r="AU809">
        <v>2022</v>
      </c>
      <c r="AV809">
        <v>127</v>
      </c>
      <c r="AW809">
        <v>11</v>
      </c>
      <c r="AX809" t="s">
        <v>74</v>
      </c>
      <c r="AY809" t="s">
        <v>74</v>
      </c>
      <c r="AZ809" t="s">
        <v>74</v>
      </c>
      <c r="BA809" t="s">
        <v>74</v>
      </c>
      <c r="BB809" t="s">
        <v>74</v>
      </c>
      <c r="BC809" t="s">
        <v>74</v>
      </c>
      <c r="BD809" t="s">
        <v>15464</v>
      </c>
      <c r="BE809" t="s">
        <v>15465</v>
      </c>
      <c r="BF809" t="str">
        <f>HYPERLINK("http://dx.doi.org/10.1029/2022JC018636","http://dx.doi.org/10.1029/2022JC018636")</f>
        <v>http://dx.doi.org/10.1029/2022JC018636</v>
      </c>
      <c r="BG809" t="s">
        <v>74</v>
      </c>
      <c r="BH809" t="s">
        <v>74</v>
      </c>
      <c r="BI809">
        <v>24</v>
      </c>
      <c r="BJ809" t="s">
        <v>403</v>
      </c>
      <c r="BK809" t="s">
        <v>104</v>
      </c>
      <c r="BL809" t="s">
        <v>403</v>
      </c>
      <c r="BM809" t="s">
        <v>15466</v>
      </c>
      <c r="BN809">
        <v>36589532</v>
      </c>
      <c r="BO809" t="s">
        <v>1800</v>
      </c>
      <c r="BP809" t="s">
        <v>74</v>
      </c>
      <c r="BQ809" t="s">
        <v>74</v>
      </c>
      <c r="BR809" t="s">
        <v>108</v>
      </c>
      <c r="BS809" t="s">
        <v>15467</v>
      </c>
      <c r="BT809" t="str">
        <f>HYPERLINK("https%3A%2F%2Fwww.webofscience.com%2Fwos%2Fwoscc%2Ffull-record%2FWOS:000888227900001","View Full Record in Web of Science")</f>
        <v>View Full Record in Web of Science</v>
      </c>
    </row>
    <row r="810" spans="1:72" x14ac:dyDescent="0.15">
      <c r="A810" t="s">
        <v>72</v>
      </c>
      <c r="B810" t="s">
        <v>15468</v>
      </c>
      <c r="C810" t="s">
        <v>74</v>
      </c>
      <c r="D810" t="s">
        <v>74</v>
      </c>
      <c r="E810" t="s">
        <v>74</v>
      </c>
      <c r="F810" t="s">
        <v>15469</v>
      </c>
      <c r="G810" t="s">
        <v>74</v>
      </c>
      <c r="H810" t="s">
        <v>74</v>
      </c>
      <c r="I810" t="s">
        <v>15470</v>
      </c>
      <c r="J810" t="s">
        <v>11220</v>
      </c>
      <c r="K810" t="s">
        <v>74</v>
      </c>
      <c r="L810" t="s">
        <v>74</v>
      </c>
      <c r="M810" t="s">
        <v>78</v>
      </c>
      <c r="N810" t="s">
        <v>79</v>
      </c>
      <c r="O810" t="s">
        <v>74</v>
      </c>
      <c r="P810" t="s">
        <v>74</v>
      </c>
      <c r="Q810" t="s">
        <v>74</v>
      </c>
      <c r="R810" t="s">
        <v>74</v>
      </c>
      <c r="S810" t="s">
        <v>74</v>
      </c>
      <c r="T810" t="s">
        <v>15471</v>
      </c>
      <c r="U810" t="s">
        <v>74</v>
      </c>
      <c r="V810" t="s">
        <v>15472</v>
      </c>
      <c r="W810" t="s">
        <v>15473</v>
      </c>
      <c r="X810" t="s">
        <v>15474</v>
      </c>
      <c r="Y810" t="s">
        <v>15475</v>
      </c>
      <c r="Z810" t="s">
        <v>15476</v>
      </c>
      <c r="AA810" t="s">
        <v>10174</v>
      </c>
      <c r="AB810" t="s">
        <v>15477</v>
      </c>
      <c r="AC810" t="s">
        <v>74</v>
      </c>
      <c r="AD810" t="s">
        <v>74</v>
      </c>
      <c r="AE810" t="s">
        <v>74</v>
      </c>
      <c r="AF810" t="s">
        <v>74</v>
      </c>
      <c r="AG810">
        <v>31</v>
      </c>
      <c r="AH810">
        <v>6</v>
      </c>
      <c r="AI810">
        <v>6</v>
      </c>
      <c r="AJ810">
        <v>3</v>
      </c>
      <c r="AK810">
        <v>14</v>
      </c>
      <c r="AL810" t="s">
        <v>1791</v>
      </c>
      <c r="AM810" t="s">
        <v>576</v>
      </c>
      <c r="AN810" t="s">
        <v>1792</v>
      </c>
      <c r="AO810" t="s">
        <v>11230</v>
      </c>
      <c r="AP810" t="s">
        <v>11231</v>
      </c>
      <c r="AQ810" t="s">
        <v>74</v>
      </c>
      <c r="AR810" t="s">
        <v>11232</v>
      </c>
      <c r="AS810" t="s">
        <v>11233</v>
      </c>
      <c r="AT810" t="s">
        <v>14975</v>
      </c>
      <c r="AU810">
        <v>2022</v>
      </c>
      <c r="AV810">
        <v>127</v>
      </c>
      <c r="AW810">
        <v>11</v>
      </c>
      <c r="AX810" t="s">
        <v>74</v>
      </c>
      <c r="AY810" t="s">
        <v>74</v>
      </c>
      <c r="AZ810" t="s">
        <v>74</v>
      </c>
      <c r="BA810" t="s">
        <v>74</v>
      </c>
      <c r="BB810" t="s">
        <v>74</v>
      </c>
      <c r="BC810" t="s">
        <v>74</v>
      </c>
      <c r="BD810" t="s">
        <v>15478</v>
      </c>
      <c r="BE810" t="s">
        <v>15479</v>
      </c>
      <c r="BF810" t="str">
        <f>HYPERLINK("http://dx.doi.org/10.1029/2022JA030977","http://dx.doi.org/10.1029/2022JA030977")</f>
        <v>http://dx.doi.org/10.1029/2022JA030977</v>
      </c>
      <c r="BG810" t="s">
        <v>74</v>
      </c>
      <c r="BH810" t="s">
        <v>74</v>
      </c>
      <c r="BI810">
        <v>13</v>
      </c>
      <c r="BJ810" t="s">
        <v>5631</v>
      </c>
      <c r="BK810" t="s">
        <v>104</v>
      </c>
      <c r="BL810" t="s">
        <v>5631</v>
      </c>
      <c r="BM810" t="s">
        <v>15480</v>
      </c>
      <c r="BN810" t="s">
        <v>74</v>
      </c>
      <c r="BO810" t="s">
        <v>5191</v>
      </c>
      <c r="BP810" t="s">
        <v>74</v>
      </c>
      <c r="BQ810" t="s">
        <v>74</v>
      </c>
      <c r="BR810" t="s">
        <v>108</v>
      </c>
      <c r="BS810" t="s">
        <v>15481</v>
      </c>
      <c r="BT810" t="str">
        <f>HYPERLINK("https%3A%2F%2Fwww.webofscience.com%2Fwos%2Fwoscc%2Ffull-record%2FWOS:000888559500001","View Full Record in Web of Science")</f>
        <v>View Full Record in Web of Science</v>
      </c>
    </row>
    <row r="811" spans="1:72" x14ac:dyDescent="0.15">
      <c r="A811" t="s">
        <v>72</v>
      </c>
      <c r="B811" t="s">
        <v>15482</v>
      </c>
      <c r="C811" t="s">
        <v>74</v>
      </c>
      <c r="D811" t="s">
        <v>74</v>
      </c>
      <c r="E811" t="s">
        <v>74</v>
      </c>
      <c r="F811" t="s">
        <v>15483</v>
      </c>
      <c r="G811" t="s">
        <v>74</v>
      </c>
      <c r="H811" t="s">
        <v>74</v>
      </c>
      <c r="I811" t="s">
        <v>15484</v>
      </c>
      <c r="J811" t="s">
        <v>15485</v>
      </c>
      <c r="K811" t="s">
        <v>74</v>
      </c>
      <c r="L811" t="s">
        <v>74</v>
      </c>
      <c r="M811" t="s">
        <v>78</v>
      </c>
      <c r="N811" t="s">
        <v>79</v>
      </c>
      <c r="O811" t="s">
        <v>74</v>
      </c>
      <c r="P811" t="s">
        <v>74</v>
      </c>
      <c r="Q811" t="s">
        <v>74</v>
      </c>
      <c r="R811" t="s">
        <v>74</v>
      </c>
      <c r="S811" t="s">
        <v>74</v>
      </c>
      <c r="T811" t="s">
        <v>15486</v>
      </c>
      <c r="U811" t="s">
        <v>15487</v>
      </c>
      <c r="V811" t="s">
        <v>15488</v>
      </c>
      <c r="W811" t="s">
        <v>15489</v>
      </c>
      <c r="X811" t="s">
        <v>15490</v>
      </c>
      <c r="Y811" t="s">
        <v>15491</v>
      </c>
      <c r="Z811" t="s">
        <v>15492</v>
      </c>
      <c r="AA811" t="s">
        <v>15493</v>
      </c>
      <c r="AB811" t="s">
        <v>15494</v>
      </c>
      <c r="AC811" t="s">
        <v>15495</v>
      </c>
      <c r="AD811" t="s">
        <v>15496</v>
      </c>
      <c r="AE811" t="s">
        <v>15497</v>
      </c>
      <c r="AF811" t="s">
        <v>74</v>
      </c>
      <c r="AG811">
        <v>84</v>
      </c>
      <c r="AH811">
        <v>1</v>
      </c>
      <c r="AI811">
        <v>1</v>
      </c>
      <c r="AJ811">
        <v>4</v>
      </c>
      <c r="AK811">
        <v>9</v>
      </c>
      <c r="AL811" t="s">
        <v>15498</v>
      </c>
      <c r="AM811" t="s">
        <v>15499</v>
      </c>
      <c r="AN811" t="s">
        <v>15500</v>
      </c>
      <c r="AO811" t="s">
        <v>15501</v>
      </c>
      <c r="AP811" t="s">
        <v>74</v>
      </c>
      <c r="AQ811" t="s">
        <v>74</v>
      </c>
      <c r="AR811" t="s">
        <v>15502</v>
      </c>
      <c r="AS811" t="s">
        <v>15503</v>
      </c>
      <c r="AT811" t="s">
        <v>14975</v>
      </c>
      <c r="AU811">
        <v>2022</v>
      </c>
      <c r="AV811">
        <v>78</v>
      </c>
      <c r="AW811" t="s">
        <v>74</v>
      </c>
      <c r="AX811">
        <v>11</v>
      </c>
      <c r="AY811" t="s">
        <v>74</v>
      </c>
      <c r="AZ811" t="s">
        <v>74</v>
      </c>
      <c r="BA811" t="s">
        <v>74</v>
      </c>
      <c r="BB811">
        <v>1358</v>
      </c>
      <c r="BC811">
        <v>1372</v>
      </c>
      <c r="BD811" t="s">
        <v>74</v>
      </c>
      <c r="BE811" t="s">
        <v>15504</v>
      </c>
      <c r="BF811" t="str">
        <f>HYPERLINK("http://dx.doi.org/10.1107/S2059798322009561","http://dx.doi.org/10.1107/S2059798322009561")</f>
        <v>http://dx.doi.org/10.1107/S2059798322009561</v>
      </c>
      <c r="BG811" t="s">
        <v>74</v>
      </c>
      <c r="BH811" t="s">
        <v>74</v>
      </c>
      <c r="BI811">
        <v>15</v>
      </c>
      <c r="BJ811" t="s">
        <v>15505</v>
      </c>
      <c r="BK811" t="s">
        <v>104</v>
      </c>
      <c r="BL811" t="s">
        <v>15506</v>
      </c>
      <c r="BM811" t="s">
        <v>15507</v>
      </c>
      <c r="BN811">
        <v>36322419</v>
      </c>
      <c r="BO811" t="s">
        <v>3561</v>
      </c>
      <c r="BP811" t="s">
        <v>74</v>
      </c>
      <c r="BQ811" t="s">
        <v>74</v>
      </c>
      <c r="BR811" t="s">
        <v>108</v>
      </c>
      <c r="BS811" t="s">
        <v>15508</v>
      </c>
      <c r="BT811" t="str">
        <f>HYPERLINK("https%3A%2F%2Fwww.webofscience.com%2Fwos%2Fwoscc%2Ffull-record%2FWOS:000885880300007","View Full Record in Web of Science")</f>
        <v>View Full Record in Web of Science</v>
      </c>
    </row>
    <row r="812" spans="1:72" x14ac:dyDescent="0.15">
      <c r="A812" t="s">
        <v>72</v>
      </c>
      <c r="B812" t="s">
        <v>15509</v>
      </c>
      <c r="C812" t="s">
        <v>74</v>
      </c>
      <c r="D812" t="s">
        <v>74</v>
      </c>
      <c r="E812" t="s">
        <v>74</v>
      </c>
      <c r="F812" t="s">
        <v>15510</v>
      </c>
      <c r="G812" t="s">
        <v>74</v>
      </c>
      <c r="H812" t="s">
        <v>74</v>
      </c>
      <c r="I812" t="s">
        <v>15511</v>
      </c>
      <c r="J812" t="s">
        <v>15512</v>
      </c>
      <c r="K812" t="s">
        <v>74</v>
      </c>
      <c r="L812" t="s">
        <v>74</v>
      </c>
      <c r="M812" t="s">
        <v>78</v>
      </c>
      <c r="N812" t="s">
        <v>79</v>
      </c>
      <c r="O812" t="s">
        <v>74</v>
      </c>
      <c r="P812" t="s">
        <v>74</v>
      </c>
      <c r="Q812" t="s">
        <v>74</v>
      </c>
      <c r="R812" t="s">
        <v>74</v>
      </c>
      <c r="S812" t="s">
        <v>74</v>
      </c>
      <c r="T812" t="s">
        <v>15513</v>
      </c>
      <c r="U812" t="s">
        <v>15514</v>
      </c>
      <c r="V812" t="s">
        <v>15515</v>
      </c>
      <c r="W812" t="s">
        <v>15516</v>
      </c>
      <c r="X812" t="s">
        <v>15517</v>
      </c>
      <c r="Y812" t="s">
        <v>15518</v>
      </c>
      <c r="Z812" t="s">
        <v>15519</v>
      </c>
      <c r="AA812" t="s">
        <v>74</v>
      </c>
      <c r="AB812" t="s">
        <v>15520</v>
      </c>
      <c r="AC812" t="s">
        <v>15521</v>
      </c>
      <c r="AD812" t="s">
        <v>15522</v>
      </c>
      <c r="AE812" t="s">
        <v>15523</v>
      </c>
      <c r="AF812" t="s">
        <v>74</v>
      </c>
      <c r="AG812">
        <v>90</v>
      </c>
      <c r="AH812">
        <v>1</v>
      </c>
      <c r="AI812">
        <v>1</v>
      </c>
      <c r="AJ812">
        <v>0</v>
      </c>
      <c r="AK812">
        <v>4</v>
      </c>
      <c r="AL812" t="s">
        <v>4886</v>
      </c>
      <c r="AM812" t="s">
        <v>4887</v>
      </c>
      <c r="AN812" t="s">
        <v>4888</v>
      </c>
      <c r="AO812" t="s">
        <v>74</v>
      </c>
      <c r="AP812" t="s">
        <v>15524</v>
      </c>
      <c r="AQ812" t="s">
        <v>74</v>
      </c>
      <c r="AR812" t="s">
        <v>15512</v>
      </c>
      <c r="AS812" t="s">
        <v>15525</v>
      </c>
      <c r="AT812" t="s">
        <v>14975</v>
      </c>
      <c r="AU812">
        <v>2022</v>
      </c>
      <c r="AV812">
        <v>11</v>
      </c>
      <c r="AW812">
        <v>22</v>
      </c>
      <c r="AX812" t="s">
        <v>74</v>
      </c>
      <c r="AY812" t="s">
        <v>74</v>
      </c>
      <c r="AZ812" t="s">
        <v>74</v>
      </c>
      <c r="BA812" t="s">
        <v>74</v>
      </c>
      <c r="BB812" t="s">
        <v>74</v>
      </c>
      <c r="BC812" t="s">
        <v>74</v>
      </c>
      <c r="BD812">
        <v>3176</v>
      </c>
      <c r="BE812" t="s">
        <v>15526</v>
      </c>
      <c r="BF812" t="str">
        <f>HYPERLINK("http://dx.doi.org/10.3390/plants11223176","http://dx.doi.org/10.3390/plants11223176")</f>
        <v>http://dx.doi.org/10.3390/plants11223176</v>
      </c>
      <c r="BG812" t="s">
        <v>74</v>
      </c>
      <c r="BH812" t="s">
        <v>74</v>
      </c>
      <c r="BI812">
        <v>24</v>
      </c>
      <c r="BJ812" t="s">
        <v>507</v>
      </c>
      <c r="BK812" t="s">
        <v>104</v>
      </c>
      <c r="BL812" t="s">
        <v>507</v>
      </c>
      <c r="BM812" t="s">
        <v>15527</v>
      </c>
      <c r="BN812">
        <v>36432905</v>
      </c>
      <c r="BO812" t="s">
        <v>3181</v>
      </c>
      <c r="BP812" t="s">
        <v>74</v>
      </c>
      <c r="BQ812" t="s">
        <v>74</v>
      </c>
      <c r="BR812" t="s">
        <v>108</v>
      </c>
      <c r="BS812" t="s">
        <v>15528</v>
      </c>
      <c r="BT812" t="str">
        <f>HYPERLINK("https%3A%2F%2Fwww.webofscience.com%2Fwos%2Fwoscc%2Ffull-record%2FWOS:000887633800001","View Full Record in Web of Science")</f>
        <v>View Full Record in Web of Science</v>
      </c>
    </row>
    <row r="813" spans="1:72" x14ac:dyDescent="0.15">
      <c r="A813" t="s">
        <v>72</v>
      </c>
      <c r="B813" t="s">
        <v>15529</v>
      </c>
      <c r="C813" t="s">
        <v>74</v>
      </c>
      <c r="D813" t="s">
        <v>74</v>
      </c>
      <c r="E813" t="s">
        <v>74</v>
      </c>
      <c r="F813" t="s">
        <v>15530</v>
      </c>
      <c r="G813" t="s">
        <v>74</v>
      </c>
      <c r="H813" t="s">
        <v>74</v>
      </c>
      <c r="I813" t="s">
        <v>15531</v>
      </c>
      <c r="J813" t="s">
        <v>4874</v>
      </c>
      <c r="K813" t="s">
        <v>74</v>
      </c>
      <c r="L813" t="s">
        <v>74</v>
      </c>
      <c r="M813" t="s">
        <v>78</v>
      </c>
      <c r="N813" t="s">
        <v>79</v>
      </c>
      <c r="O813" t="s">
        <v>74</v>
      </c>
      <c r="P813" t="s">
        <v>74</v>
      </c>
      <c r="Q813" t="s">
        <v>74</v>
      </c>
      <c r="R813" t="s">
        <v>74</v>
      </c>
      <c r="S813" t="s">
        <v>74</v>
      </c>
      <c r="T813" t="s">
        <v>15532</v>
      </c>
      <c r="U813" t="s">
        <v>15533</v>
      </c>
      <c r="V813" t="s">
        <v>15534</v>
      </c>
      <c r="W813" t="s">
        <v>15535</v>
      </c>
      <c r="X813" t="s">
        <v>15536</v>
      </c>
      <c r="Y813" t="s">
        <v>15537</v>
      </c>
      <c r="Z813" t="s">
        <v>15538</v>
      </c>
      <c r="AA813" t="s">
        <v>15539</v>
      </c>
      <c r="AB813" t="s">
        <v>15540</v>
      </c>
      <c r="AC813" t="s">
        <v>15541</v>
      </c>
      <c r="AD813" t="s">
        <v>15542</v>
      </c>
      <c r="AE813" t="s">
        <v>15543</v>
      </c>
      <c r="AF813" t="s">
        <v>74</v>
      </c>
      <c r="AG813">
        <v>32</v>
      </c>
      <c r="AH813">
        <v>0</v>
      </c>
      <c r="AI813">
        <v>0</v>
      </c>
      <c r="AJ813">
        <v>0</v>
      </c>
      <c r="AK813">
        <v>4</v>
      </c>
      <c r="AL813" t="s">
        <v>4886</v>
      </c>
      <c r="AM813" t="s">
        <v>4887</v>
      </c>
      <c r="AN813" t="s">
        <v>4888</v>
      </c>
      <c r="AO813" t="s">
        <v>74</v>
      </c>
      <c r="AP813" t="s">
        <v>4889</v>
      </c>
      <c r="AQ813" t="s">
        <v>74</v>
      </c>
      <c r="AR813" t="s">
        <v>4890</v>
      </c>
      <c r="AS813" t="s">
        <v>4891</v>
      </c>
      <c r="AT813" t="s">
        <v>14975</v>
      </c>
      <c r="AU813">
        <v>2022</v>
      </c>
      <c r="AV813">
        <v>22</v>
      </c>
      <c r="AW813">
        <v>22</v>
      </c>
      <c r="AX813" t="s">
        <v>74</v>
      </c>
      <c r="AY813" t="s">
        <v>74</v>
      </c>
      <c r="AZ813" t="s">
        <v>74</v>
      </c>
      <c r="BA813" t="s">
        <v>74</v>
      </c>
      <c r="BB813" t="s">
        <v>74</v>
      </c>
      <c r="BC813" t="s">
        <v>74</v>
      </c>
      <c r="BD813">
        <v>8944</v>
      </c>
      <c r="BE813" t="s">
        <v>15544</v>
      </c>
      <c r="BF813" t="str">
        <f>HYPERLINK("http://dx.doi.org/10.3390/s22228944","http://dx.doi.org/10.3390/s22228944")</f>
        <v>http://dx.doi.org/10.3390/s22228944</v>
      </c>
      <c r="BG813" t="s">
        <v>74</v>
      </c>
      <c r="BH813" t="s">
        <v>74</v>
      </c>
      <c r="BI813">
        <v>15</v>
      </c>
      <c r="BJ813" t="s">
        <v>4893</v>
      </c>
      <c r="BK813" t="s">
        <v>104</v>
      </c>
      <c r="BL813" t="s">
        <v>4894</v>
      </c>
      <c r="BM813" t="s">
        <v>15545</v>
      </c>
      <c r="BN813">
        <v>36433538</v>
      </c>
      <c r="BO813" t="s">
        <v>3181</v>
      </c>
      <c r="BP813" t="s">
        <v>74</v>
      </c>
      <c r="BQ813" t="s">
        <v>74</v>
      </c>
      <c r="BR813" t="s">
        <v>108</v>
      </c>
      <c r="BS813" t="s">
        <v>15546</v>
      </c>
      <c r="BT813" t="str">
        <f>HYPERLINK("https%3A%2F%2Fwww.webofscience.com%2Fwos%2Fwoscc%2Ffull-record%2FWOS:000887762000001","View Full Record in Web of Science")</f>
        <v>View Full Record in Web of Science</v>
      </c>
    </row>
    <row r="814" spans="1:72" x14ac:dyDescent="0.15">
      <c r="A814" t="s">
        <v>72</v>
      </c>
      <c r="B814" t="s">
        <v>15547</v>
      </c>
      <c r="C814" t="s">
        <v>74</v>
      </c>
      <c r="D814" t="s">
        <v>74</v>
      </c>
      <c r="E814" t="s">
        <v>74</v>
      </c>
      <c r="F814" t="s">
        <v>15548</v>
      </c>
      <c r="G814" t="s">
        <v>74</v>
      </c>
      <c r="H814" t="s">
        <v>74</v>
      </c>
      <c r="I814" t="s">
        <v>15549</v>
      </c>
      <c r="J814" t="s">
        <v>10782</v>
      </c>
      <c r="K814" t="s">
        <v>74</v>
      </c>
      <c r="L814" t="s">
        <v>74</v>
      </c>
      <c r="M814" t="s">
        <v>78</v>
      </c>
      <c r="N814" t="s">
        <v>79</v>
      </c>
      <c r="O814" t="s">
        <v>74</v>
      </c>
      <c r="P814" t="s">
        <v>74</v>
      </c>
      <c r="Q814" t="s">
        <v>74</v>
      </c>
      <c r="R814" t="s">
        <v>74</v>
      </c>
      <c r="S814" t="s">
        <v>74</v>
      </c>
      <c r="T814" t="s">
        <v>15550</v>
      </c>
      <c r="U814" t="s">
        <v>15551</v>
      </c>
      <c r="V814" t="s">
        <v>15552</v>
      </c>
      <c r="W814" t="s">
        <v>15553</v>
      </c>
      <c r="X814" t="s">
        <v>15554</v>
      </c>
      <c r="Y814" t="s">
        <v>15555</v>
      </c>
      <c r="Z814" t="s">
        <v>15556</v>
      </c>
      <c r="AA814" t="s">
        <v>15557</v>
      </c>
      <c r="AB814" t="s">
        <v>15558</v>
      </c>
      <c r="AC814" t="s">
        <v>15559</v>
      </c>
      <c r="AD814" t="s">
        <v>15560</v>
      </c>
      <c r="AE814" t="s">
        <v>15561</v>
      </c>
      <c r="AF814" t="s">
        <v>74</v>
      </c>
      <c r="AG814">
        <v>72</v>
      </c>
      <c r="AH814">
        <v>6</v>
      </c>
      <c r="AI814">
        <v>6</v>
      </c>
      <c r="AJ814">
        <v>3</v>
      </c>
      <c r="AK814">
        <v>7</v>
      </c>
      <c r="AL814" t="s">
        <v>4886</v>
      </c>
      <c r="AM814" t="s">
        <v>4887</v>
      </c>
      <c r="AN814" t="s">
        <v>4888</v>
      </c>
      <c r="AO814" t="s">
        <v>74</v>
      </c>
      <c r="AP814" t="s">
        <v>10793</v>
      </c>
      <c r="AQ814" t="s">
        <v>74</v>
      </c>
      <c r="AR814" t="s">
        <v>10782</v>
      </c>
      <c r="AS814" t="s">
        <v>10794</v>
      </c>
      <c r="AT814" t="s">
        <v>14975</v>
      </c>
      <c r="AU814">
        <v>2022</v>
      </c>
      <c r="AV814">
        <v>27</v>
      </c>
      <c r="AW814">
        <v>22</v>
      </c>
      <c r="AX814" t="s">
        <v>74</v>
      </c>
      <c r="AY814" t="s">
        <v>74</v>
      </c>
      <c r="AZ814" t="s">
        <v>74</v>
      </c>
      <c r="BA814" t="s">
        <v>74</v>
      </c>
      <c r="BB814" t="s">
        <v>74</v>
      </c>
      <c r="BC814" t="s">
        <v>74</v>
      </c>
      <c r="BD814">
        <v>8086</v>
      </c>
      <c r="BE814" t="s">
        <v>15562</v>
      </c>
      <c r="BF814" t="str">
        <f>HYPERLINK("http://dx.doi.org/10.3390/molecules27228086","http://dx.doi.org/10.3390/molecules27228086")</f>
        <v>http://dx.doi.org/10.3390/molecules27228086</v>
      </c>
      <c r="BG814" t="s">
        <v>74</v>
      </c>
      <c r="BH814" t="s">
        <v>74</v>
      </c>
      <c r="BI814">
        <v>21</v>
      </c>
      <c r="BJ814" t="s">
        <v>5360</v>
      </c>
      <c r="BK814" t="s">
        <v>104</v>
      </c>
      <c r="BL814" t="s">
        <v>5361</v>
      </c>
      <c r="BM814" t="s">
        <v>15563</v>
      </c>
      <c r="BN814">
        <v>36432187</v>
      </c>
      <c r="BO814" t="s">
        <v>3181</v>
      </c>
      <c r="BP814" t="s">
        <v>74</v>
      </c>
      <c r="BQ814" t="s">
        <v>74</v>
      </c>
      <c r="BR814" t="s">
        <v>108</v>
      </c>
      <c r="BS814" t="s">
        <v>15564</v>
      </c>
      <c r="BT814" t="str">
        <f>HYPERLINK("https%3A%2F%2Fwww.webofscience.com%2Fwos%2Fwoscc%2Ffull-record%2FWOS:000887383700001","View Full Record in Web of Science")</f>
        <v>View Full Record in Web of Science</v>
      </c>
    </row>
    <row r="815" spans="1:72" x14ac:dyDescent="0.15">
      <c r="A815" t="s">
        <v>72</v>
      </c>
      <c r="B815" t="s">
        <v>15565</v>
      </c>
      <c r="C815" t="s">
        <v>74</v>
      </c>
      <c r="D815" t="s">
        <v>74</v>
      </c>
      <c r="E815" t="s">
        <v>74</v>
      </c>
      <c r="F815" t="s">
        <v>15566</v>
      </c>
      <c r="G815" t="s">
        <v>74</v>
      </c>
      <c r="H815" t="s">
        <v>74</v>
      </c>
      <c r="I815" t="s">
        <v>15567</v>
      </c>
      <c r="J815" t="s">
        <v>5637</v>
      </c>
      <c r="K815" t="s">
        <v>74</v>
      </c>
      <c r="L815" t="s">
        <v>74</v>
      </c>
      <c r="M815" t="s">
        <v>78</v>
      </c>
      <c r="N815" t="s">
        <v>79</v>
      </c>
      <c r="O815" t="s">
        <v>74</v>
      </c>
      <c r="P815" t="s">
        <v>74</v>
      </c>
      <c r="Q815" t="s">
        <v>74</v>
      </c>
      <c r="R815" t="s">
        <v>74</v>
      </c>
      <c r="S815" t="s">
        <v>74</v>
      </c>
      <c r="T815" t="s">
        <v>15568</v>
      </c>
      <c r="U815" t="s">
        <v>15569</v>
      </c>
      <c r="V815" t="s">
        <v>15570</v>
      </c>
      <c r="W815" t="s">
        <v>15571</v>
      </c>
      <c r="X815" t="s">
        <v>15572</v>
      </c>
      <c r="Y815" t="s">
        <v>15573</v>
      </c>
      <c r="Z815" t="s">
        <v>15574</v>
      </c>
      <c r="AA815" t="s">
        <v>15575</v>
      </c>
      <c r="AB815" t="s">
        <v>15576</v>
      </c>
      <c r="AC815" t="s">
        <v>15577</v>
      </c>
      <c r="AD815" t="s">
        <v>15578</v>
      </c>
      <c r="AE815" t="s">
        <v>15579</v>
      </c>
      <c r="AF815" t="s">
        <v>74</v>
      </c>
      <c r="AG815">
        <v>46</v>
      </c>
      <c r="AH815">
        <v>0</v>
      </c>
      <c r="AI815">
        <v>0</v>
      </c>
      <c r="AJ815">
        <v>0</v>
      </c>
      <c r="AK815">
        <v>4</v>
      </c>
      <c r="AL815" t="s">
        <v>4886</v>
      </c>
      <c r="AM815" t="s">
        <v>4887</v>
      </c>
      <c r="AN815" t="s">
        <v>4888</v>
      </c>
      <c r="AO815" t="s">
        <v>5646</v>
      </c>
      <c r="AP815" t="s">
        <v>74</v>
      </c>
      <c r="AQ815" t="s">
        <v>74</v>
      </c>
      <c r="AR815" t="s">
        <v>5647</v>
      </c>
      <c r="AS815" t="s">
        <v>5648</v>
      </c>
      <c r="AT815" t="s">
        <v>14975</v>
      </c>
      <c r="AU815">
        <v>2022</v>
      </c>
      <c r="AV815">
        <v>12</v>
      </c>
      <c r="AW815">
        <v>22</v>
      </c>
      <c r="AX815" t="s">
        <v>74</v>
      </c>
      <c r="AY815" t="s">
        <v>74</v>
      </c>
      <c r="AZ815" t="s">
        <v>74</v>
      </c>
      <c r="BA815" t="s">
        <v>74</v>
      </c>
      <c r="BB815" t="s">
        <v>74</v>
      </c>
      <c r="BC815" t="s">
        <v>74</v>
      </c>
      <c r="BD815">
        <v>3131</v>
      </c>
      <c r="BE815" t="s">
        <v>15580</v>
      </c>
      <c r="BF815" t="str">
        <f>HYPERLINK("http://dx.doi.org/10.3390/ani12223131","http://dx.doi.org/10.3390/ani12223131")</f>
        <v>http://dx.doi.org/10.3390/ani12223131</v>
      </c>
      <c r="BG815" t="s">
        <v>74</v>
      </c>
      <c r="BH815" t="s">
        <v>74</v>
      </c>
      <c r="BI815">
        <v>13</v>
      </c>
      <c r="BJ815" t="s">
        <v>5650</v>
      </c>
      <c r="BK815" t="s">
        <v>104</v>
      </c>
      <c r="BL815" t="s">
        <v>5651</v>
      </c>
      <c r="BM815" t="s">
        <v>15581</v>
      </c>
      <c r="BN815">
        <v>36428358</v>
      </c>
      <c r="BO815" t="s">
        <v>192</v>
      </c>
      <c r="BP815" t="s">
        <v>74</v>
      </c>
      <c r="BQ815" t="s">
        <v>74</v>
      </c>
      <c r="BR815" t="s">
        <v>108</v>
      </c>
      <c r="BS815" t="s">
        <v>15582</v>
      </c>
      <c r="BT815" t="str">
        <f>HYPERLINK("https%3A%2F%2Fwww.webofscience.com%2Fwos%2Fwoscc%2Ffull-record%2FWOS:000887018900001","View Full Record in Web of Science")</f>
        <v>View Full Record in Web of Science</v>
      </c>
    </row>
    <row r="816" spans="1:72" x14ac:dyDescent="0.15">
      <c r="A816" t="s">
        <v>72</v>
      </c>
      <c r="B816" t="s">
        <v>15583</v>
      </c>
      <c r="C816" t="s">
        <v>74</v>
      </c>
      <c r="D816" t="s">
        <v>74</v>
      </c>
      <c r="E816" t="s">
        <v>74</v>
      </c>
      <c r="F816" t="s">
        <v>15584</v>
      </c>
      <c r="G816" t="s">
        <v>74</v>
      </c>
      <c r="H816" t="s">
        <v>74</v>
      </c>
      <c r="I816" t="s">
        <v>15585</v>
      </c>
      <c r="J816" t="s">
        <v>5610</v>
      </c>
      <c r="K816" t="s">
        <v>74</v>
      </c>
      <c r="L816" t="s">
        <v>74</v>
      </c>
      <c r="M816" t="s">
        <v>78</v>
      </c>
      <c r="N816" t="s">
        <v>79</v>
      </c>
      <c r="O816" t="s">
        <v>74</v>
      </c>
      <c r="P816" t="s">
        <v>74</v>
      </c>
      <c r="Q816" t="s">
        <v>74</v>
      </c>
      <c r="R816" t="s">
        <v>74</v>
      </c>
      <c r="S816" t="s">
        <v>74</v>
      </c>
      <c r="T816" t="s">
        <v>74</v>
      </c>
      <c r="U816" t="s">
        <v>15586</v>
      </c>
      <c r="V816" t="s">
        <v>15587</v>
      </c>
      <c r="W816" t="s">
        <v>15588</v>
      </c>
      <c r="X816" t="s">
        <v>15589</v>
      </c>
      <c r="Y816" t="s">
        <v>15590</v>
      </c>
      <c r="Z816" t="s">
        <v>15591</v>
      </c>
      <c r="AA816" t="s">
        <v>15592</v>
      </c>
      <c r="AB816" t="s">
        <v>15593</v>
      </c>
      <c r="AC816" t="s">
        <v>15594</v>
      </c>
      <c r="AD816" t="s">
        <v>15595</v>
      </c>
      <c r="AE816" t="s">
        <v>15596</v>
      </c>
      <c r="AF816" t="s">
        <v>74</v>
      </c>
      <c r="AG816">
        <v>99</v>
      </c>
      <c r="AH816">
        <v>2</v>
      </c>
      <c r="AI816">
        <v>2</v>
      </c>
      <c r="AJ816">
        <v>0</v>
      </c>
      <c r="AK816">
        <v>1</v>
      </c>
      <c r="AL816" t="s">
        <v>5623</v>
      </c>
      <c r="AM816" t="s">
        <v>5624</v>
      </c>
      <c r="AN816" t="s">
        <v>5625</v>
      </c>
      <c r="AO816" t="s">
        <v>5626</v>
      </c>
      <c r="AP816" t="s">
        <v>5627</v>
      </c>
      <c r="AQ816" t="s">
        <v>74</v>
      </c>
      <c r="AR816" t="s">
        <v>5628</v>
      </c>
      <c r="AS816" t="s">
        <v>5629</v>
      </c>
      <c r="AT816" t="s">
        <v>15339</v>
      </c>
      <c r="AU816">
        <v>2022</v>
      </c>
      <c r="AV816">
        <v>940</v>
      </c>
      <c r="AW816">
        <v>1</v>
      </c>
      <c r="AX816" t="s">
        <v>74</v>
      </c>
      <c r="AY816" t="s">
        <v>74</v>
      </c>
      <c r="AZ816" t="s">
        <v>74</v>
      </c>
      <c r="BA816" t="s">
        <v>74</v>
      </c>
      <c r="BB816" t="s">
        <v>74</v>
      </c>
      <c r="BC816" t="s">
        <v>74</v>
      </c>
      <c r="BD816">
        <v>25</v>
      </c>
      <c r="BE816" t="s">
        <v>15597</v>
      </c>
      <c r="BF816" t="str">
        <f>HYPERLINK("http://dx.doi.org/10.3847/1538-4357/ac9059","http://dx.doi.org/10.3847/1538-4357/ac9059")</f>
        <v>http://dx.doi.org/10.3847/1538-4357/ac9059</v>
      </c>
      <c r="BG816" t="s">
        <v>74</v>
      </c>
      <c r="BH816" t="s">
        <v>74</v>
      </c>
      <c r="BI816">
        <v>12</v>
      </c>
      <c r="BJ816" t="s">
        <v>5631</v>
      </c>
      <c r="BK816" t="s">
        <v>104</v>
      </c>
      <c r="BL816" t="s">
        <v>5631</v>
      </c>
      <c r="BM816" t="s">
        <v>15598</v>
      </c>
      <c r="BN816" t="s">
        <v>74</v>
      </c>
      <c r="BO816" t="s">
        <v>3181</v>
      </c>
      <c r="BP816" t="s">
        <v>74</v>
      </c>
      <c r="BQ816" t="s">
        <v>74</v>
      </c>
      <c r="BR816" t="s">
        <v>108</v>
      </c>
      <c r="BS816" t="s">
        <v>15599</v>
      </c>
      <c r="BT816" t="str">
        <f>HYPERLINK("https%3A%2F%2Fwww.webofscience.com%2Fwos%2Fwoscc%2Ffull-record%2FWOS:000885934100001","View Full Record in Web of Science")</f>
        <v>View Full Record in Web of Science</v>
      </c>
    </row>
    <row r="817" spans="1:72" x14ac:dyDescent="0.15">
      <c r="A817" t="s">
        <v>72</v>
      </c>
      <c r="B817" t="s">
        <v>15600</v>
      </c>
      <c r="C817" t="s">
        <v>74</v>
      </c>
      <c r="D817" t="s">
        <v>74</v>
      </c>
      <c r="E817" t="s">
        <v>74</v>
      </c>
      <c r="F817" t="s">
        <v>15601</v>
      </c>
      <c r="G817" t="s">
        <v>74</v>
      </c>
      <c r="H817" t="s">
        <v>74</v>
      </c>
      <c r="I817" t="s">
        <v>15602</v>
      </c>
      <c r="J817" t="s">
        <v>5676</v>
      </c>
      <c r="K817" t="s">
        <v>74</v>
      </c>
      <c r="L817" t="s">
        <v>74</v>
      </c>
      <c r="M817" t="s">
        <v>78</v>
      </c>
      <c r="N817" t="s">
        <v>79</v>
      </c>
      <c r="O817" t="s">
        <v>74</v>
      </c>
      <c r="P817" t="s">
        <v>74</v>
      </c>
      <c r="Q817" t="s">
        <v>74</v>
      </c>
      <c r="R817" t="s">
        <v>74</v>
      </c>
      <c r="S817" t="s">
        <v>74</v>
      </c>
      <c r="T817" t="s">
        <v>15603</v>
      </c>
      <c r="U817" t="s">
        <v>15604</v>
      </c>
      <c r="V817" t="s">
        <v>15605</v>
      </c>
      <c r="W817" t="s">
        <v>15606</v>
      </c>
      <c r="X817" t="s">
        <v>15607</v>
      </c>
      <c r="Y817" t="s">
        <v>15608</v>
      </c>
      <c r="Z817" t="s">
        <v>15609</v>
      </c>
      <c r="AA817" t="s">
        <v>15610</v>
      </c>
      <c r="AB817" t="s">
        <v>15611</v>
      </c>
      <c r="AC817" t="s">
        <v>15612</v>
      </c>
      <c r="AD817" t="s">
        <v>15613</v>
      </c>
      <c r="AE817" t="s">
        <v>15614</v>
      </c>
      <c r="AF817" t="s">
        <v>74</v>
      </c>
      <c r="AG817">
        <v>59</v>
      </c>
      <c r="AH817">
        <v>1</v>
      </c>
      <c r="AI817">
        <v>1</v>
      </c>
      <c r="AJ817">
        <v>1</v>
      </c>
      <c r="AK817">
        <v>1</v>
      </c>
      <c r="AL817" t="s">
        <v>297</v>
      </c>
      <c r="AM817" t="s">
        <v>298</v>
      </c>
      <c r="AN817" t="s">
        <v>299</v>
      </c>
      <c r="AO817" t="s">
        <v>5689</v>
      </c>
      <c r="AP817" t="s">
        <v>74</v>
      </c>
      <c r="AQ817" t="s">
        <v>74</v>
      </c>
      <c r="AR817" t="s">
        <v>5690</v>
      </c>
      <c r="AS817" t="s">
        <v>5691</v>
      </c>
      <c r="AT817" t="s">
        <v>14975</v>
      </c>
      <c r="AU817">
        <v>2022</v>
      </c>
      <c r="AV817">
        <v>12</v>
      </c>
      <c r="AW817">
        <v>11</v>
      </c>
      <c r="AX817" t="s">
        <v>74</v>
      </c>
      <c r="AY817" t="s">
        <v>74</v>
      </c>
      <c r="AZ817" t="s">
        <v>74</v>
      </c>
      <c r="BA817" t="s">
        <v>74</v>
      </c>
      <c r="BB817" t="s">
        <v>74</v>
      </c>
      <c r="BC817" t="s">
        <v>74</v>
      </c>
      <c r="BD817" t="s">
        <v>15615</v>
      </c>
      <c r="BE817" t="s">
        <v>15616</v>
      </c>
      <c r="BF817" t="str">
        <f>HYPERLINK("http://dx.doi.org/10.1002/ece3.9519","http://dx.doi.org/10.1002/ece3.9519")</f>
        <v>http://dx.doi.org/10.1002/ece3.9519</v>
      </c>
      <c r="BG817" t="s">
        <v>74</v>
      </c>
      <c r="BH817" t="s">
        <v>74</v>
      </c>
      <c r="BI817">
        <v>13</v>
      </c>
      <c r="BJ817" t="s">
        <v>5694</v>
      </c>
      <c r="BK817" t="s">
        <v>104</v>
      </c>
      <c r="BL817" t="s">
        <v>5695</v>
      </c>
      <c r="BM817" t="s">
        <v>15617</v>
      </c>
      <c r="BN817">
        <v>36407895</v>
      </c>
      <c r="BO817" t="s">
        <v>5503</v>
      </c>
      <c r="BP817" t="s">
        <v>74</v>
      </c>
      <c r="BQ817" t="s">
        <v>74</v>
      </c>
      <c r="BR817" t="s">
        <v>108</v>
      </c>
      <c r="BS817" t="s">
        <v>15618</v>
      </c>
      <c r="BT817" t="str">
        <f>HYPERLINK("https%3A%2F%2Fwww.webofscience.com%2Fwos%2Fwoscc%2Ffull-record%2FWOS:000884299600001","View Full Record in Web of Science")</f>
        <v>View Full Record in Web of Science</v>
      </c>
    </row>
    <row r="818" spans="1:72" x14ac:dyDescent="0.15">
      <c r="A818" t="s">
        <v>72</v>
      </c>
      <c r="B818" t="s">
        <v>15619</v>
      </c>
      <c r="C818" t="s">
        <v>74</v>
      </c>
      <c r="D818" t="s">
        <v>74</v>
      </c>
      <c r="E818" t="s">
        <v>74</v>
      </c>
      <c r="F818" t="s">
        <v>15620</v>
      </c>
      <c r="G818" t="s">
        <v>74</v>
      </c>
      <c r="H818" t="s">
        <v>74</v>
      </c>
      <c r="I818" t="s">
        <v>15621</v>
      </c>
      <c r="J818" t="s">
        <v>15622</v>
      </c>
      <c r="K818" t="s">
        <v>74</v>
      </c>
      <c r="L818" t="s">
        <v>74</v>
      </c>
      <c r="M818" t="s">
        <v>78</v>
      </c>
      <c r="N818" t="s">
        <v>256</v>
      </c>
      <c r="O818" t="s">
        <v>74</v>
      </c>
      <c r="P818" t="s">
        <v>74</v>
      </c>
      <c r="Q818" t="s">
        <v>74</v>
      </c>
      <c r="R818" t="s">
        <v>74</v>
      </c>
      <c r="S818" t="s">
        <v>74</v>
      </c>
      <c r="T818" t="s">
        <v>74</v>
      </c>
      <c r="U818" t="s">
        <v>15623</v>
      </c>
      <c r="V818" t="s">
        <v>15624</v>
      </c>
      <c r="W818" t="s">
        <v>15625</v>
      </c>
      <c r="X818" t="s">
        <v>15626</v>
      </c>
      <c r="Y818" t="s">
        <v>15627</v>
      </c>
      <c r="Z818" t="s">
        <v>15628</v>
      </c>
      <c r="AA818" t="s">
        <v>15629</v>
      </c>
      <c r="AB818" t="s">
        <v>15630</v>
      </c>
      <c r="AC818" t="s">
        <v>15631</v>
      </c>
      <c r="AD818" t="s">
        <v>15632</v>
      </c>
      <c r="AE818" t="s">
        <v>15631</v>
      </c>
      <c r="AF818" t="s">
        <v>74</v>
      </c>
      <c r="AG818">
        <v>82</v>
      </c>
      <c r="AH818">
        <v>3</v>
      </c>
      <c r="AI818">
        <v>3</v>
      </c>
      <c r="AJ818">
        <v>7</v>
      </c>
      <c r="AK818">
        <v>17</v>
      </c>
      <c r="AL818" t="s">
        <v>297</v>
      </c>
      <c r="AM818" t="s">
        <v>298</v>
      </c>
      <c r="AN818" t="s">
        <v>299</v>
      </c>
      <c r="AO818" t="s">
        <v>15633</v>
      </c>
      <c r="AP818" t="s">
        <v>15634</v>
      </c>
      <c r="AQ818" t="s">
        <v>74</v>
      </c>
      <c r="AR818" t="s">
        <v>15635</v>
      </c>
      <c r="AS818" t="s">
        <v>15636</v>
      </c>
      <c r="AT818" t="s">
        <v>14975</v>
      </c>
      <c r="AU818">
        <v>2022</v>
      </c>
      <c r="AV818">
        <v>174</v>
      </c>
      <c r="AW818">
        <v>6</v>
      </c>
      <c r="AX818" t="s">
        <v>74</v>
      </c>
      <c r="AY818" t="s">
        <v>74</v>
      </c>
      <c r="AZ818" t="s">
        <v>74</v>
      </c>
      <c r="BA818" t="s">
        <v>74</v>
      </c>
      <c r="BB818" t="s">
        <v>74</v>
      </c>
      <c r="BC818" t="s">
        <v>74</v>
      </c>
      <c r="BD818" t="s">
        <v>15637</v>
      </c>
      <c r="BE818" t="s">
        <v>15638</v>
      </c>
      <c r="BF818" t="str">
        <f>HYPERLINK("http://dx.doi.org/10.1111/ppl.13811","http://dx.doi.org/10.1111/ppl.13811")</f>
        <v>http://dx.doi.org/10.1111/ppl.13811</v>
      </c>
      <c r="BG818" t="s">
        <v>74</v>
      </c>
      <c r="BH818" t="s">
        <v>74</v>
      </c>
      <c r="BI818">
        <v>10</v>
      </c>
      <c r="BJ818" t="s">
        <v>507</v>
      </c>
      <c r="BK818" t="s">
        <v>104</v>
      </c>
      <c r="BL818" t="s">
        <v>507</v>
      </c>
      <c r="BM818" t="s">
        <v>15639</v>
      </c>
      <c r="BN818">
        <v>36309822</v>
      </c>
      <c r="BO818" t="s">
        <v>74</v>
      </c>
      <c r="BP818" t="s">
        <v>74</v>
      </c>
      <c r="BQ818" t="s">
        <v>74</v>
      </c>
      <c r="BR818" t="s">
        <v>108</v>
      </c>
      <c r="BS818" t="s">
        <v>15640</v>
      </c>
      <c r="BT818" t="str">
        <f>HYPERLINK("https%3A%2F%2Fwww.webofscience.com%2Fwos%2Fwoscc%2Ffull-record%2FWOS:000884643600001","View Full Record in Web of Science")</f>
        <v>View Full Record in Web of Science</v>
      </c>
    </row>
    <row r="819" spans="1:72" x14ac:dyDescent="0.15">
      <c r="A819" t="s">
        <v>72</v>
      </c>
      <c r="B819" t="s">
        <v>15641</v>
      </c>
      <c r="C819" t="s">
        <v>74</v>
      </c>
      <c r="D819" t="s">
        <v>74</v>
      </c>
      <c r="E819" t="s">
        <v>74</v>
      </c>
      <c r="F819" t="s">
        <v>15642</v>
      </c>
      <c r="G819" t="s">
        <v>74</v>
      </c>
      <c r="H819" t="s">
        <v>74</v>
      </c>
      <c r="I819" t="s">
        <v>15643</v>
      </c>
      <c r="J819" t="s">
        <v>5347</v>
      </c>
      <c r="K819" t="s">
        <v>74</v>
      </c>
      <c r="L819" t="s">
        <v>74</v>
      </c>
      <c r="M819" t="s">
        <v>78</v>
      </c>
      <c r="N819" t="s">
        <v>79</v>
      </c>
      <c r="O819" t="s">
        <v>74</v>
      </c>
      <c r="P819" t="s">
        <v>74</v>
      </c>
      <c r="Q819" t="s">
        <v>74</v>
      </c>
      <c r="R819" t="s">
        <v>74</v>
      </c>
      <c r="S819" t="s">
        <v>74</v>
      </c>
      <c r="T819" t="s">
        <v>15644</v>
      </c>
      <c r="U819" t="s">
        <v>15645</v>
      </c>
      <c r="V819" t="s">
        <v>15646</v>
      </c>
      <c r="W819" t="s">
        <v>15647</v>
      </c>
      <c r="X819" t="s">
        <v>15648</v>
      </c>
      <c r="Y819" t="s">
        <v>15649</v>
      </c>
      <c r="Z819" t="s">
        <v>15650</v>
      </c>
      <c r="AA819" t="s">
        <v>15651</v>
      </c>
      <c r="AB819" t="s">
        <v>15652</v>
      </c>
      <c r="AC819" t="s">
        <v>15653</v>
      </c>
      <c r="AD819" t="s">
        <v>15654</v>
      </c>
      <c r="AE819" t="s">
        <v>15655</v>
      </c>
      <c r="AF819" t="s">
        <v>74</v>
      </c>
      <c r="AG819">
        <v>57</v>
      </c>
      <c r="AH819">
        <v>12</v>
      </c>
      <c r="AI819">
        <v>12</v>
      </c>
      <c r="AJ819">
        <v>3</v>
      </c>
      <c r="AK819">
        <v>3</v>
      </c>
      <c r="AL819" t="s">
        <v>4886</v>
      </c>
      <c r="AM819" t="s">
        <v>4887</v>
      </c>
      <c r="AN819" t="s">
        <v>4888</v>
      </c>
      <c r="AO819" t="s">
        <v>74</v>
      </c>
      <c r="AP819" t="s">
        <v>5356</v>
      </c>
      <c r="AQ819" t="s">
        <v>74</v>
      </c>
      <c r="AR819" t="s">
        <v>5357</v>
      </c>
      <c r="AS819" t="s">
        <v>5358</v>
      </c>
      <c r="AT819" t="s">
        <v>14975</v>
      </c>
      <c r="AU819">
        <v>2022</v>
      </c>
      <c r="AV819">
        <v>23</v>
      </c>
      <c r="AW819">
        <v>21</v>
      </c>
      <c r="AX819" t="s">
        <v>74</v>
      </c>
      <c r="AY819" t="s">
        <v>74</v>
      </c>
      <c r="AZ819" t="s">
        <v>74</v>
      </c>
      <c r="BA819" t="s">
        <v>74</v>
      </c>
      <c r="BB819" t="s">
        <v>74</v>
      </c>
      <c r="BC819" t="s">
        <v>74</v>
      </c>
      <c r="BD819">
        <v>12799</v>
      </c>
      <c r="BE819" t="s">
        <v>15656</v>
      </c>
      <c r="BF819" t="str">
        <f>HYPERLINK("http://dx.doi.org/10.3390/ijms232112799","http://dx.doi.org/10.3390/ijms232112799")</f>
        <v>http://dx.doi.org/10.3390/ijms232112799</v>
      </c>
      <c r="BG819" t="s">
        <v>74</v>
      </c>
      <c r="BH819" t="s">
        <v>74</v>
      </c>
      <c r="BI819">
        <v>10</v>
      </c>
      <c r="BJ819" t="s">
        <v>5360</v>
      </c>
      <c r="BK819" t="s">
        <v>104</v>
      </c>
      <c r="BL819" t="s">
        <v>5361</v>
      </c>
      <c r="BM819" t="s">
        <v>15657</v>
      </c>
      <c r="BN819">
        <v>36361591</v>
      </c>
      <c r="BO819" t="s">
        <v>3181</v>
      </c>
      <c r="BP819" t="s">
        <v>74</v>
      </c>
      <c r="BQ819" t="s">
        <v>74</v>
      </c>
      <c r="BR819" t="s">
        <v>108</v>
      </c>
      <c r="BS819" t="s">
        <v>15658</v>
      </c>
      <c r="BT819" t="str">
        <f>HYPERLINK("https%3A%2F%2Fwww.webofscience.com%2Fwos%2Fwoscc%2Ffull-record%2FWOS:000882165700001","View Full Record in Web of Science")</f>
        <v>View Full Record in Web of Science</v>
      </c>
    </row>
    <row r="820" spans="1:72" x14ac:dyDescent="0.15">
      <c r="A820" t="s">
        <v>72</v>
      </c>
      <c r="B820" t="s">
        <v>15659</v>
      </c>
      <c r="C820" t="s">
        <v>74</v>
      </c>
      <c r="D820" t="s">
        <v>74</v>
      </c>
      <c r="E820" t="s">
        <v>74</v>
      </c>
      <c r="F820" t="s">
        <v>15660</v>
      </c>
      <c r="G820" t="s">
        <v>74</v>
      </c>
      <c r="H820" t="s">
        <v>74</v>
      </c>
      <c r="I820" t="s">
        <v>15661</v>
      </c>
      <c r="J820" t="s">
        <v>4819</v>
      </c>
      <c r="K820" t="s">
        <v>74</v>
      </c>
      <c r="L820" t="s">
        <v>74</v>
      </c>
      <c r="M820" t="s">
        <v>78</v>
      </c>
      <c r="N820" t="s">
        <v>79</v>
      </c>
      <c r="O820" t="s">
        <v>74</v>
      </c>
      <c r="P820" t="s">
        <v>74</v>
      </c>
      <c r="Q820" t="s">
        <v>74</v>
      </c>
      <c r="R820" t="s">
        <v>74</v>
      </c>
      <c r="S820" t="s">
        <v>74</v>
      </c>
      <c r="T820" t="s">
        <v>15662</v>
      </c>
      <c r="U820" t="s">
        <v>15663</v>
      </c>
      <c r="V820" t="s">
        <v>15664</v>
      </c>
      <c r="W820" t="s">
        <v>15665</v>
      </c>
      <c r="X820" t="s">
        <v>15666</v>
      </c>
      <c r="Y820" t="s">
        <v>15667</v>
      </c>
      <c r="Z820" t="s">
        <v>13478</v>
      </c>
      <c r="AA820" t="s">
        <v>15668</v>
      </c>
      <c r="AB820" t="s">
        <v>15669</v>
      </c>
      <c r="AC820" t="s">
        <v>15670</v>
      </c>
      <c r="AD820" t="s">
        <v>15671</v>
      </c>
      <c r="AE820" t="s">
        <v>15672</v>
      </c>
      <c r="AF820" t="s">
        <v>74</v>
      </c>
      <c r="AG820">
        <v>62</v>
      </c>
      <c r="AH820">
        <v>0</v>
      </c>
      <c r="AI820">
        <v>0</v>
      </c>
      <c r="AJ820">
        <v>3</v>
      </c>
      <c r="AK820">
        <v>9</v>
      </c>
      <c r="AL820" t="s">
        <v>4804</v>
      </c>
      <c r="AM820" t="s">
        <v>4805</v>
      </c>
      <c r="AN820" t="s">
        <v>4806</v>
      </c>
      <c r="AO820" t="s">
        <v>4829</v>
      </c>
      <c r="AP820" t="s">
        <v>4830</v>
      </c>
      <c r="AQ820" t="s">
        <v>74</v>
      </c>
      <c r="AR820" t="s">
        <v>4831</v>
      </c>
      <c r="AS820" t="s">
        <v>4832</v>
      </c>
      <c r="AT820" t="s">
        <v>14975</v>
      </c>
      <c r="AU820">
        <v>2022</v>
      </c>
      <c r="AV820">
        <v>52</v>
      </c>
      <c r="AW820">
        <v>11</v>
      </c>
      <c r="AX820" t="s">
        <v>74</v>
      </c>
      <c r="AY820" t="s">
        <v>74</v>
      </c>
      <c r="AZ820" t="s">
        <v>74</v>
      </c>
      <c r="BA820" t="s">
        <v>74</v>
      </c>
      <c r="BB820">
        <v>2825</v>
      </c>
      <c r="BC820">
        <v>2840</v>
      </c>
      <c r="BD820" t="s">
        <v>74</v>
      </c>
      <c r="BE820" t="s">
        <v>15673</v>
      </c>
      <c r="BF820" t="str">
        <f>HYPERLINK("http://dx.doi.org/10.1175/JPO-D-21-0222.1","http://dx.doi.org/10.1175/JPO-D-21-0222.1")</f>
        <v>http://dx.doi.org/10.1175/JPO-D-21-0222.1</v>
      </c>
      <c r="BG820" t="s">
        <v>74</v>
      </c>
      <c r="BH820" t="s">
        <v>74</v>
      </c>
      <c r="BI820">
        <v>16</v>
      </c>
      <c r="BJ820" t="s">
        <v>403</v>
      </c>
      <c r="BK820" t="s">
        <v>104</v>
      </c>
      <c r="BL820" t="s">
        <v>403</v>
      </c>
      <c r="BM820" t="s">
        <v>15674</v>
      </c>
      <c r="BN820" t="s">
        <v>74</v>
      </c>
      <c r="BO820" t="s">
        <v>74</v>
      </c>
      <c r="BP820" t="s">
        <v>74</v>
      </c>
      <c r="BQ820" t="s">
        <v>74</v>
      </c>
      <c r="BR820" t="s">
        <v>108</v>
      </c>
      <c r="BS820" t="s">
        <v>15675</v>
      </c>
      <c r="BT820" t="str">
        <f>HYPERLINK("https%3A%2F%2Fwww.webofscience.com%2Fwos%2Fwoscc%2Ffull-record%2FWOS:000884471500014","View Full Record in Web of Science")</f>
        <v>View Full Record in Web of Science</v>
      </c>
    </row>
    <row r="821" spans="1:72" x14ac:dyDescent="0.15">
      <c r="A821" t="s">
        <v>72</v>
      </c>
      <c r="B821" t="s">
        <v>15676</v>
      </c>
      <c r="C821" t="s">
        <v>74</v>
      </c>
      <c r="D821" t="s">
        <v>74</v>
      </c>
      <c r="E821" t="s">
        <v>74</v>
      </c>
      <c r="F821" t="s">
        <v>15677</v>
      </c>
      <c r="G821" t="s">
        <v>74</v>
      </c>
      <c r="H821" t="s">
        <v>74</v>
      </c>
      <c r="I821" t="s">
        <v>15678</v>
      </c>
      <c r="J821" t="s">
        <v>4819</v>
      </c>
      <c r="K821" t="s">
        <v>74</v>
      </c>
      <c r="L821" t="s">
        <v>74</v>
      </c>
      <c r="M821" t="s">
        <v>78</v>
      </c>
      <c r="N821" t="s">
        <v>79</v>
      </c>
      <c r="O821" t="s">
        <v>74</v>
      </c>
      <c r="P821" t="s">
        <v>74</v>
      </c>
      <c r="Q821" t="s">
        <v>74</v>
      </c>
      <c r="R821" t="s">
        <v>74</v>
      </c>
      <c r="S821" t="s">
        <v>74</v>
      </c>
      <c r="T821" t="s">
        <v>15679</v>
      </c>
      <c r="U821" t="s">
        <v>15680</v>
      </c>
      <c r="V821" t="s">
        <v>15681</v>
      </c>
      <c r="W821" t="s">
        <v>15682</v>
      </c>
      <c r="X821" t="s">
        <v>15683</v>
      </c>
      <c r="Y821" t="s">
        <v>15684</v>
      </c>
      <c r="Z821" t="s">
        <v>15685</v>
      </c>
      <c r="AA821" t="s">
        <v>15686</v>
      </c>
      <c r="AB821" t="s">
        <v>15687</v>
      </c>
      <c r="AC821" t="s">
        <v>15688</v>
      </c>
      <c r="AD821" t="s">
        <v>15689</v>
      </c>
      <c r="AE821" t="s">
        <v>15690</v>
      </c>
      <c r="AF821" t="s">
        <v>74</v>
      </c>
      <c r="AG821">
        <v>78</v>
      </c>
      <c r="AH821">
        <v>4</v>
      </c>
      <c r="AI821">
        <v>5</v>
      </c>
      <c r="AJ821">
        <v>4</v>
      </c>
      <c r="AK821">
        <v>13</v>
      </c>
      <c r="AL821" t="s">
        <v>4804</v>
      </c>
      <c r="AM821" t="s">
        <v>4805</v>
      </c>
      <c r="AN821" t="s">
        <v>4806</v>
      </c>
      <c r="AO821" t="s">
        <v>4829</v>
      </c>
      <c r="AP821" t="s">
        <v>4830</v>
      </c>
      <c r="AQ821" t="s">
        <v>74</v>
      </c>
      <c r="AR821" t="s">
        <v>4831</v>
      </c>
      <c r="AS821" t="s">
        <v>4832</v>
      </c>
      <c r="AT821" t="s">
        <v>14975</v>
      </c>
      <c r="AU821">
        <v>2022</v>
      </c>
      <c r="AV821">
        <v>52</v>
      </c>
      <c r="AW821">
        <v>11</v>
      </c>
      <c r="AX821" t="s">
        <v>74</v>
      </c>
      <c r="AY821" t="s">
        <v>74</v>
      </c>
      <c r="AZ821" t="s">
        <v>74</v>
      </c>
      <c r="BA821" t="s">
        <v>74</v>
      </c>
      <c r="BB821">
        <v>2873</v>
      </c>
      <c r="BC821">
        <v>2890</v>
      </c>
      <c r="BD821" t="s">
        <v>74</v>
      </c>
      <c r="BE821" t="s">
        <v>15691</v>
      </c>
      <c r="BF821" t="str">
        <f>HYPERLINK("http://dx.doi.org/10.1175/JPO-D-21-0221.1","http://dx.doi.org/10.1175/JPO-D-21-0221.1")</f>
        <v>http://dx.doi.org/10.1175/JPO-D-21-0221.1</v>
      </c>
      <c r="BG821" t="s">
        <v>74</v>
      </c>
      <c r="BH821" t="s">
        <v>74</v>
      </c>
      <c r="BI821">
        <v>18</v>
      </c>
      <c r="BJ821" t="s">
        <v>403</v>
      </c>
      <c r="BK821" t="s">
        <v>104</v>
      </c>
      <c r="BL821" t="s">
        <v>403</v>
      </c>
      <c r="BM821" t="s">
        <v>15674</v>
      </c>
      <c r="BN821" t="s">
        <v>74</v>
      </c>
      <c r="BO821" t="s">
        <v>74</v>
      </c>
      <c r="BP821" t="s">
        <v>74</v>
      </c>
      <c r="BQ821" t="s">
        <v>74</v>
      </c>
      <c r="BR821" t="s">
        <v>108</v>
      </c>
      <c r="BS821" t="s">
        <v>15692</v>
      </c>
      <c r="BT821" t="str">
        <f>HYPERLINK("https%3A%2F%2Fwww.webofscience.com%2Fwos%2Fwoscc%2Ffull-record%2FWOS:000884471500017","View Full Record in Web of Science")</f>
        <v>View Full Record in Web of Science</v>
      </c>
    </row>
    <row r="822" spans="1:72" x14ac:dyDescent="0.15">
      <c r="A822" t="s">
        <v>72</v>
      </c>
      <c r="B822" t="s">
        <v>15693</v>
      </c>
      <c r="C822" t="s">
        <v>74</v>
      </c>
      <c r="D822" t="s">
        <v>74</v>
      </c>
      <c r="E822" t="s">
        <v>74</v>
      </c>
      <c r="F822" t="s">
        <v>15694</v>
      </c>
      <c r="G822" t="s">
        <v>74</v>
      </c>
      <c r="H822" t="s">
        <v>74</v>
      </c>
      <c r="I822" t="s">
        <v>15695</v>
      </c>
      <c r="J822" t="s">
        <v>5610</v>
      </c>
      <c r="K822" t="s">
        <v>74</v>
      </c>
      <c r="L822" t="s">
        <v>74</v>
      </c>
      <c r="M822" t="s">
        <v>78</v>
      </c>
      <c r="N822" t="s">
        <v>79</v>
      </c>
      <c r="O822" t="s">
        <v>74</v>
      </c>
      <c r="P822" t="s">
        <v>74</v>
      </c>
      <c r="Q822" t="s">
        <v>74</v>
      </c>
      <c r="R822" t="s">
        <v>74</v>
      </c>
      <c r="S822" t="s">
        <v>74</v>
      </c>
      <c r="T822" t="s">
        <v>74</v>
      </c>
      <c r="U822" t="s">
        <v>15696</v>
      </c>
      <c r="V822" t="s">
        <v>15697</v>
      </c>
      <c r="W822" t="s">
        <v>15698</v>
      </c>
      <c r="X822" t="s">
        <v>15699</v>
      </c>
      <c r="Y822" t="s">
        <v>15700</v>
      </c>
      <c r="Z822" t="s">
        <v>15701</v>
      </c>
      <c r="AA822" t="s">
        <v>15702</v>
      </c>
      <c r="AB822" t="s">
        <v>15703</v>
      </c>
      <c r="AC822" t="s">
        <v>15704</v>
      </c>
      <c r="AD822" t="s">
        <v>15705</v>
      </c>
      <c r="AE822" t="s">
        <v>15706</v>
      </c>
      <c r="AF822" t="s">
        <v>74</v>
      </c>
      <c r="AG822">
        <v>45</v>
      </c>
      <c r="AH822">
        <v>0</v>
      </c>
      <c r="AI822">
        <v>0</v>
      </c>
      <c r="AJ822">
        <v>0</v>
      </c>
      <c r="AK822">
        <v>3</v>
      </c>
      <c r="AL822" t="s">
        <v>5623</v>
      </c>
      <c r="AM822" t="s">
        <v>5624</v>
      </c>
      <c r="AN822" t="s">
        <v>5625</v>
      </c>
      <c r="AO822" t="s">
        <v>5626</v>
      </c>
      <c r="AP822" t="s">
        <v>5627</v>
      </c>
      <c r="AQ822" t="s">
        <v>74</v>
      </c>
      <c r="AR822" t="s">
        <v>5628</v>
      </c>
      <c r="AS822" t="s">
        <v>5629</v>
      </c>
      <c r="AT822" t="s">
        <v>15339</v>
      </c>
      <c r="AU822">
        <v>2022</v>
      </c>
      <c r="AV822">
        <v>939</v>
      </c>
      <c r="AW822">
        <v>2</v>
      </c>
      <c r="AX822" t="s">
        <v>74</v>
      </c>
      <c r="AY822" t="s">
        <v>74</v>
      </c>
      <c r="AZ822" t="s">
        <v>74</v>
      </c>
      <c r="BA822" t="s">
        <v>74</v>
      </c>
      <c r="BB822" t="s">
        <v>74</v>
      </c>
      <c r="BC822" t="s">
        <v>74</v>
      </c>
      <c r="BD822">
        <v>99</v>
      </c>
      <c r="BE822" t="s">
        <v>15707</v>
      </c>
      <c r="BF822" t="str">
        <f>HYPERLINK("http://dx.doi.org/10.3847/1538-4357/ac96ea","http://dx.doi.org/10.3847/1538-4357/ac96ea")</f>
        <v>http://dx.doi.org/10.3847/1538-4357/ac96ea</v>
      </c>
      <c r="BG822" t="s">
        <v>74</v>
      </c>
      <c r="BH822" t="s">
        <v>74</v>
      </c>
      <c r="BI822">
        <v>9</v>
      </c>
      <c r="BJ822" t="s">
        <v>5631</v>
      </c>
      <c r="BK822" t="s">
        <v>104</v>
      </c>
      <c r="BL822" t="s">
        <v>5631</v>
      </c>
      <c r="BM822" t="s">
        <v>15708</v>
      </c>
      <c r="BN822" t="s">
        <v>74</v>
      </c>
      <c r="BO822" t="s">
        <v>165</v>
      </c>
      <c r="BP822" t="s">
        <v>74</v>
      </c>
      <c r="BQ822" t="s">
        <v>74</v>
      </c>
      <c r="BR822" t="s">
        <v>108</v>
      </c>
      <c r="BS822" t="s">
        <v>15709</v>
      </c>
      <c r="BT822" t="str">
        <f>HYPERLINK("https%3A%2F%2Fwww.webofscience.com%2Fwos%2Fwoscc%2Ffull-record%2FWOS:000883770100001","View Full Record in Web of Science")</f>
        <v>View Full Record in Web of Science</v>
      </c>
    </row>
    <row r="823" spans="1:72" x14ac:dyDescent="0.15">
      <c r="A823" t="s">
        <v>72</v>
      </c>
      <c r="B823" t="s">
        <v>15710</v>
      </c>
      <c r="C823" t="s">
        <v>74</v>
      </c>
      <c r="D823" t="s">
        <v>74</v>
      </c>
      <c r="E823" t="s">
        <v>74</v>
      </c>
      <c r="F823" t="s">
        <v>15711</v>
      </c>
      <c r="G823" t="s">
        <v>74</v>
      </c>
      <c r="H823" t="s">
        <v>74</v>
      </c>
      <c r="I823" t="s">
        <v>15712</v>
      </c>
      <c r="J823" t="s">
        <v>15713</v>
      </c>
      <c r="K823" t="s">
        <v>74</v>
      </c>
      <c r="L823" t="s">
        <v>74</v>
      </c>
      <c r="M823" t="s">
        <v>78</v>
      </c>
      <c r="N823" t="s">
        <v>79</v>
      </c>
      <c r="O823" t="s">
        <v>74</v>
      </c>
      <c r="P823" t="s">
        <v>74</v>
      </c>
      <c r="Q823" t="s">
        <v>74</v>
      </c>
      <c r="R823" t="s">
        <v>74</v>
      </c>
      <c r="S823" t="s">
        <v>74</v>
      </c>
      <c r="T823" t="s">
        <v>15714</v>
      </c>
      <c r="U823" t="s">
        <v>15715</v>
      </c>
      <c r="V823" t="s">
        <v>15716</v>
      </c>
      <c r="W823" t="s">
        <v>15717</v>
      </c>
      <c r="X823" t="s">
        <v>15718</v>
      </c>
      <c r="Y823" t="s">
        <v>15719</v>
      </c>
      <c r="Z823" t="s">
        <v>15720</v>
      </c>
      <c r="AA823" t="s">
        <v>15721</v>
      </c>
      <c r="AB823" t="s">
        <v>15722</v>
      </c>
      <c r="AC823" t="s">
        <v>15723</v>
      </c>
      <c r="AD823" t="s">
        <v>15724</v>
      </c>
      <c r="AE823" t="s">
        <v>15725</v>
      </c>
      <c r="AF823" t="s">
        <v>74</v>
      </c>
      <c r="AG823">
        <v>52</v>
      </c>
      <c r="AH823">
        <v>0</v>
      </c>
      <c r="AI823">
        <v>0</v>
      </c>
      <c r="AJ823">
        <v>2</v>
      </c>
      <c r="AK823">
        <v>5</v>
      </c>
      <c r="AL823" t="s">
        <v>4886</v>
      </c>
      <c r="AM823" t="s">
        <v>4887</v>
      </c>
      <c r="AN823" t="s">
        <v>4888</v>
      </c>
      <c r="AO823" t="s">
        <v>74</v>
      </c>
      <c r="AP823" t="s">
        <v>15726</v>
      </c>
      <c r="AQ823" t="s">
        <v>74</v>
      </c>
      <c r="AR823" t="s">
        <v>15727</v>
      </c>
      <c r="AS823" t="s">
        <v>15728</v>
      </c>
      <c r="AT823" t="s">
        <v>14975</v>
      </c>
      <c r="AU823">
        <v>2022</v>
      </c>
      <c r="AV823">
        <v>11</v>
      </c>
      <c r="AW823">
        <v>21</v>
      </c>
      <c r="AX823" t="s">
        <v>74</v>
      </c>
      <c r="AY823" t="s">
        <v>74</v>
      </c>
      <c r="AZ823" t="s">
        <v>74</v>
      </c>
      <c r="BA823" t="s">
        <v>74</v>
      </c>
      <c r="BB823" t="s">
        <v>74</v>
      </c>
      <c r="BC823" t="s">
        <v>74</v>
      </c>
      <c r="BD823">
        <v>3486</v>
      </c>
      <c r="BE823" t="s">
        <v>15729</v>
      </c>
      <c r="BF823" t="str">
        <f>HYPERLINK("http://dx.doi.org/10.3390/cells11213486","http://dx.doi.org/10.3390/cells11213486")</f>
        <v>http://dx.doi.org/10.3390/cells11213486</v>
      </c>
      <c r="BG823" t="s">
        <v>74</v>
      </c>
      <c r="BH823" t="s">
        <v>74</v>
      </c>
      <c r="BI823">
        <v>17</v>
      </c>
      <c r="BJ823" t="s">
        <v>278</v>
      </c>
      <c r="BK823" t="s">
        <v>104</v>
      </c>
      <c r="BL823" t="s">
        <v>278</v>
      </c>
      <c r="BM823" t="s">
        <v>15730</v>
      </c>
      <c r="BN823">
        <v>36359884</v>
      </c>
      <c r="BO823" t="s">
        <v>3181</v>
      </c>
      <c r="BP823" t="s">
        <v>74</v>
      </c>
      <c r="BQ823" t="s">
        <v>74</v>
      </c>
      <c r="BR823" t="s">
        <v>108</v>
      </c>
      <c r="BS823" t="s">
        <v>15731</v>
      </c>
      <c r="BT823" t="str">
        <f>HYPERLINK("https%3A%2F%2Fwww.webofscience.com%2Fwos%2Fwoscc%2Ffull-record%2FWOS:000884083200001","View Full Record in Web of Science")</f>
        <v>View Full Record in Web of Science</v>
      </c>
    </row>
    <row r="824" spans="1:72" x14ac:dyDescent="0.15">
      <c r="A824" t="s">
        <v>72</v>
      </c>
      <c r="B824" t="s">
        <v>15732</v>
      </c>
      <c r="C824" t="s">
        <v>74</v>
      </c>
      <c r="D824" t="s">
        <v>74</v>
      </c>
      <c r="E824" t="s">
        <v>74</v>
      </c>
      <c r="F824" t="s">
        <v>15733</v>
      </c>
      <c r="G824" t="s">
        <v>74</v>
      </c>
      <c r="H824" t="s">
        <v>74</v>
      </c>
      <c r="I824" t="s">
        <v>15734</v>
      </c>
      <c r="J824" t="s">
        <v>15735</v>
      </c>
      <c r="K824" t="s">
        <v>74</v>
      </c>
      <c r="L824" t="s">
        <v>74</v>
      </c>
      <c r="M824" t="s">
        <v>78</v>
      </c>
      <c r="N824" t="s">
        <v>79</v>
      </c>
      <c r="O824" t="s">
        <v>74</v>
      </c>
      <c r="P824" t="s">
        <v>74</v>
      </c>
      <c r="Q824" t="s">
        <v>74</v>
      </c>
      <c r="R824" t="s">
        <v>74</v>
      </c>
      <c r="S824" t="s">
        <v>74</v>
      </c>
      <c r="T824" t="s">
        <v>15736</v>
      </c>
      <c r="U824" t="s">
        <v>15737</v>
      </c>
      <c r="V824" t="s">
        <v>15738</v>
      </c>
      <c r="W824" t="s">
        <v>15739</v>
      </c>
      <c r="X824" t="s">
        <v>15740</v>
      </c>
      <c r="Y824" t="s">
        <v>15741</v>
      </c>
      <c r="Z824" t="s">
        <v>15742</v>
      </c>
      <c r="AA824" t="s">
        <v>15743</v>
      </c>
      <c r="AB824" t="s">
        <v>15744</v>
      </c>
      <c r="AC824" t="s">
        <v>15745</v>
      </c>
      <c r="AD824" t="s">
        <v>15746</v>
      </c>
      <c r="AE824" t="s">
        <v>15747</v>
      </c>
      <c r="AF824" t="s">
        <v>74</v>
      </c>
      <c r="AG824">
        <v>89</v>
      </c>
      <c r="AH824">
        <v>4</v>
      </c>
      <c r="AI824">
        <v>4</v>
      </c>
      <c r="AJ824">
        <v>12</v>
      </c>
      <c r="AK824">
        <v>20</v>
      </c>
      <c r="AL824" t="s">
        <v>4886</v>
      </c>
      <c r="AM824" t="s">
        <v>4887</v>
      </c>
      <c r="AN824" t="s">
        <v>4888</v>
      </c>
      <c r="AO824" t="s">
        <v>74</v>
      </c>
      <c r="AP824" t="s">
        <v>15748</v>
      </c>
      <c r="AQ824" t="s">
        <v>74</v>
      </c>
      <c r="AR824" t="s">
        <v>15735</v>
      </c>
      <c r="AS824" t="s">
        <v>15749</v>
      </c>
      <c r="AT824" t="s">
        <v>14975</v>
      </c>
      <c r="AU824">
        <v>2022</v>
      </c>
      <c r="AV824">
        <v>8</v>
      </c>
      <c r="AW824">
        <v>11</v>
      </c>
      <c r="AX824" t="s">
        <v>74</v>
      </c>
      <c r="AY824" t="s">
        <v>74</v>
      </c>
      <c r="AZ824" t="s">
        <v>74</v>
      </c>
      <c r="BA824" t="s">
        <v>74</v>
      </c>
      <c r="BB824" t="s">
        <v>74</v>
      </c>
      <c r="BC824" t="s">
        <v>74</v>
      </c>
      <c r="BD824">
        <v>601</v>
      </c>
      <c r="BE824" t="s">
        <v>15750</v>
      </c>
      <c r="BF824" t="str">
        <f>HYPERLINK("http://dx.doi.org/10.3390/fermentation8110601","http://dx.doi.org/10.3390/fermentation8110601")</f>
        <v>http://dx.doi.org/10.3390/fermentation8110601</v>
      </c>
      <c r="BG824" t="s">
        <v>74</v>
      </c>
      <c r="BH824" t="s">
        <v>74</v>
      </c>
      <c r="BI824">
        <v>12</v>
      </c>
      <c r="BJ824" t="s">
        <v>4322</v>
      </c>
      <c r="BK824" t="s">
        <v>104</v>
      </c>
      <c r="BL824" t="s">
        <v>4322</v>
      </c>
      <c r="BM824" t="s">
        <v>15751</v>
      </c>
      <c r="BN824" t="s">
        <v>74</v>
      </c>
      <c r="BO824" t="s">
        <v>2832</v>
      </c>
      <c r="BP824" t="s">
        <v>74</v>
      </c>
      <c r="BQ824" t="s">
        <v>74</v>
      </c>
      <c r="BR824" t="s">
        <v>108</v>
      </c>
      <c r="BS824" t="s">
        <v>15752</v>
      </c>
      <c r="BT824" t="str">
        <f>HYPERLINK("https%3A%2F%2Fwww.webofscience.com%2Fwos%2Fwoscc%2Ffull-record%2FWOS:000883569100001","View Full Record in Web of Science")</f>
        <v>View Full Record in Web of Science</v>
      </c>
    </row>
    <row r="825" spans="1:72" x14ac:dyDescent="0.15">
      <c r="A825" t="s">
        <v>72</v>
      </c>
      <c r="B825" t="s">
        <v>15753</v>
      </c>
      <c r="C825" t="s">
        <v>74</v>
      </c>
      <c r="D825" t="s">
        <v>74</v>
      </c>
      <c r="E825" t="s">
        <v>74</v>
      </c>
      <c r="F825" t="s">
        <v>15754</v>
      </c>
      <c r="G825" t="s">
        <v>74</v>
      </c>
      <c r="H825" t="s">
        <v>74</v>
      </c>
      <c r="I825" t="s">
        <v>15755</v>
      </c>
      <c r="J825" t="s">
        <v>5487</v>
      </c>
      <c r="K825" t="s">
        <v>74</v>
      </c>
      <c r="L825" t="s">
        <v>74</v>
      </c>
      <c r="M825" t="s">
        <v>78</v>
      </c>
      <c r="N825" t="s">
        <v>79</v>
      </c>
      <c r="O825" t="s">
        <v>74</v>
      </c>
      <c r="P825" t="s">
        <v>74</v>
      </c>
      <c r="Q825" t="s">
        <v>74</v>
      </c>
      <c r="R825" t="s">
        <v>74</v>
      </c>
      <c r="S825" t="s">
        <v>74</v>
      </c>
      <c r="T825" t="s">
        <v>15756</v>
      </c>
      <c r="U825" t="s">
        <v>15757</v>
      </c>
      <c r="V825" t="s">
        <v>15758</v>
      </c>
      <c r="W825" t="s">
        <v>15759</v>
      </c>
      <c r="X825" t="s">
        <v>15760</v>
      </c>
      <c r="Y825" t="s">
        <v>15761</v>
      </c>
      <c r="Z825" t="s">
        <v>15762</v>
      </c>
      <c r="AA825" t="s">
        <v>15763</v>
      </c>
      <c r="AB825" t="s">
        <v>15764</v>
      </c>
      <c r="AC825" t="s">
        <v>15765</v>
      </c>
      <c r="AD825" t="s">
        <v>15766</v>
      </c>
      <c r="AE825" t="s">
        <v>15767</v>
      </c>
      <c r="AF825" t="s">
        <v>74</v>
      </c>
      <c r="AG825">
        <v>66</v>
      </c>
      <c r="AH825">
        <v>4</v>
      </c>
      <c r="AI825">
        <v>4</v>
      </c>
      <c r="AJ825">
        <v>1</v>
      </c>
      <c r="AK825">
        <v>11</v>
      </c>
      <c r="AL825" t="s">
        <v>4886</v>
      </c>
      <c r="AM825" t="s">
        <v>4887</v>
      </c>
      <c r="AN825" t="s">
        <v>4888</v>
      </c>
      <c r="AO825" t="s">
        <v>74</v>
      </c>
      <c r="AP825" t="s">
        <v>5497</v>
      </c>
      <c r="AQ825" t="s">
        <v>74</v>
      </c>
      <c r="AR825" t="s">
        <v>5498</v>
      </c>
      <c r="AS825" t="s">
        <v>5499</v>
      </c>
      <c r="AT825" t="s">
        <v>14975</v>
      </c>
      <c r="AU825">
        <v>2022</v>
      </c>
      <c r="AV825">
        <v>13</v>
      </c>
      <c r="AW825">
        <v>11</v>
      </c>
      <c r="AX825" t="s">
        <v>74</v>
      </c>
      <c r="AY825" t="s">
        <v>74</v>
      </c>
      <c r="AZ825" t="s">
        <v>74</v>
      </c>
      <c r="BA825" t="s">
        <v>74</v>
      </c>
      <c r="BB825" t="s">
        <v>74</v>
      </c>
      <c r="BC825" t="s">
        <v>74</v>
      </c>
      <c r="BD825">
        <v>2035</v>
      </c>
      <c r="BE825" t="s">
        <v>15768</v>
      </c>
      <c r="BF825" t="str">
        <f>HYPERLINK("http://dx.doi.org/10.3390/genes13112035","http://dx.doi.org/10.3390/genes13112035")</f>
        <v>http://dx.doi.org/10.3390/genes13112035</v>
      </c>
      <c r="BG825" t="s">
        <v>74</v>
      </c>
      <c r="BH825" t="s">
        <v>74</v>
      </c>
      <c r="BI825">
        <v>17</v>
      </c>
      <c r="BJ825" t="s">
        <v>5501</v>
      </c>
      <c r="BK825" t="s">
        <v>104</v>
      </c>
      <c r="BL825" t="s">
        <v>5501</v>
      </c>
      <c r="BM825" t="s">
        <v>15769</v>
      </c>
      <c r="BN825">
        <v>36360272</v>
      </c>
      <c r="BO825" t="s">
        <v>3181</v>
      </c>
      <c r="BP825" t="s">
        <v>74</v>
      </c>
      <c r="BQ825" t="s">
        <v>74</v>
      </c>
      <c r="BR825" t="s">
        <v>108</v>
      </c>
      <c r="BS825" t="s">
        <v>15770</v>
      </c>
      <c r="BT825" t="str">
        <f>HYPERLINK("https%3A%2F%2Fwww.webofscience.com%2Fwos%2Fwoscc%2Ffull-record%2FWOS:000883920000001","View Full Record in Web of Science")</f>
        <v>View Full Record in Web of Science</v>
      </c>
    </row>
    <row r="826" spans="1:72" x14ac:dyDescent="0.15">
      <c r="A826" t="s">
        <v>72</v>
      </c>
      <c r="B826" t="s">
        <v>15771</v>
      </c>
      <c r="C826" t="s">
        <v>74</v>
      </c>
      <c r="D826" t="s">
        <v>74</v>
      </c>
      <c r="E826" t="s">
        <v>74</v>
      </c>
      <c r="F826" t="s">
        <v>15772</v>
      </c>
      <c r="G826" t="s">
        <v>74</v>
      </c>
      <c r="H826" t="s">
        <v>74</v>
      </c>
      <c r="I826" t="s">
        <v>15773</v>
      </c>
      <c r="J826" t="s">
        <v>10687</v>
      </c>
      <c r="K826" t="s">
        <v>74</v>
      </c>
      <c r="L826" t="s">
        <v>74</v>
      </c>
      <c r="M826" t="s">
        <v>78</v>
      </c>
      <c r="N826" t="s">
        <v>79</v>
      </c>
      <c r="O826" t="s">
        <v>74</v>
      </c>
      <c r="P826" t="s">
        <v>74</v>
      </c>
      <c r="Q826" t="s">
        <v>74</v>
      </c>
      <c r="R826" t="s">
        <v>74</v>
      </c>
      <c r="S826" t="s">
        <v>74</v>
      </c>
      <c r="T826" t="s">
        <v>15774</v>
      </c>
      <c r="U826" t="s">
        <v>15775</v>
      </c>
      <c r="V826" t="s">
        <v>15776</v>
      </c>
      <c r="W826" t="s">
        <v>15777</v>
      </c>
      <c r="X826" t="s">
        <v>15778</v>
      </c>
      <c r="Y826" t="s">
        <v>15779</v>
      </c>
      <c r="Z826" t="s">
        <v>5126</v>
      </c>
      <c r="AA826" t="s">
        <v>15780</v>
      </c>
      <c r="AB826" t="s">
        <v>15781</v>
      </c>
      <c r="AC826" t="s">
        <v>15782</v>
      </c>
      <c r="AD826" t="s">
        <v>15783</v>
      </c>
      <c r="AE826" t="s">
        <v>15784</v>
      </c>
      <c r="AF826" t="s">
        <v>74</v>
      </c>
      <c r="AG826">
        <v>70</v>
      </c>
      <c r="AH826">
        <v>2</v>
      </c>
      <c r="AI826">
        <v>2</v>
      </c>
      <c r="AJ826">
        <v>1</v>
      </c>
      <c r="AK826">
        <v>10</v>
      </c>
      <c r="AL826" t="s">
        <v>4886</v>
      </c>
      <c r="AM826" t="s">
        <v>4887</v>
      </c>
      <c r="AN826" t="s">
        <v>4888</v>
      </c>
      <c r="AO826" t="s">
        <v>74</v>
      </c>
      <c r="AP826" t="s">
        <v>10699</v>
      </c>
      <c r="AQ826" t="s">
        <v>74</v>
      </c>
      <c r="AR826" t="s">
        <v>10700</v>
      </c>
      <c r="AS826" t="s">
        <v>10701</v>
      </c>
      <c r="AT826" t="s">
        <v>14975</v>
      </c>
      <c r="AU826">
        <v>2022</v>
      </c>
      <c r="AV826">
        <v>10</v>
      </c>
      <c r="AW826">
        <v>11</v>
      </c>
      <c r="AX826" t="s">
        <v>74</v>
      </c>
      <c r="AY826" t="s">
        <v>74</v>
      </c>
      <c r="AZ826" t="s">
        <v>74</v>
      </c>
      <c r="BA826" t="s">
        <v>74</v>
      </c>
      <c r="BB826" t="s">
        <v>74</v>
      </c>
      <c r="BC826" t="s">
        <v>74</v>
      </c>
      <c r="BD826">
        <v>1666</v>
      </c>
      <c r="BE826" t="s">
        <v>15785</v>
      </c>
      <c r="BF826" t="str">
        <f>HYPERLINK("http://dx.doi.org/10.3390/jmse10111666","http://dx.doi.org/10.3390/jmse10111666")</f>
        <v>http://dx.doi.org/10.3390/jmse10111666</v>
      </c>
      <c r="BG826" t="s">
        <v>74</v>
      </c>
      <c r="BH826" t="s">
        <v>74</v>
      </c>
      <c r="BI826">
        <v>23</v>
      </c>
      <c r="BJ826" t="s">
        <v>10703</v>
      </c>
      <c r="BK826" t="s">
        <v>104</v>
      </c>
      <c r="BL826" t="s">
        <v>3062</v>
      </c>
      <c r="BM826" t="s">
        <v>15786</v>
      </c>
      <c r="BN826" t="s">
        <v>74</v>
      </c>
      <c r="BO826" t="s">
        <v>165</v>
      </c>
      <c r="BP826" t="s">
        <v>74</v>
      </c>
      <c r="BQ826" t="s">
        <v>74</v>
      </c>
      <c r="BR826" t="s">
        <v>108</v>
      </c>
      <c r="BS826" t="s">
        <v>15787</v>
      </c>
      <c r="BT826" t="str">
        <f>HYPERLINK("https%3A%2F%2Fwww.webofscience.com%2Fwos%2Fwoscc%2Ffull-record%2FWOS:000883535300001","View Full Record in Web of Science")</f>
        <v>View Full Record in Web of Science</v>
      </c>
    </row>
    <row r="827" spans="1:72" x14ac:dyDescent="0.15">
      <c r="A827" t="s">
        <v>72</v>
      </c>
      <c r="B827" t="s">
        <v>15788</v>
      </c>
      <c r="C827" t="s">
        <v>74</v>
      </c>
      <c r="D827" t="s">
        <v>74</v>
      </c>
      <c r="E827" t="s">
        <v>74</v>
      </c>
      <c r="F827" t="s">
        <v>15789</v>
      </c>
      <c r="G827" t="s">
        <v>74</v>
      </c>
      <c r="H827" t="s">
        <v>74</v>
      </c>
      <c r="I827" t="s">
        <v>15790</v>
      </c>
      <c r="J827" t="s">
        <v>4941</v>
      </c>
      <c r="K827" t="s">
        <v>74</v>
      </c>
      <c r="L827" t="s">
        <v>74</v>
      </c>
      <c r="M827" t="s">
        <v>78</v>
      </c>
      <c r="N827" t="s">
        <v>79</v>
      </c>
      <c r="O827" t="s">
        <v>74</v>
      </c>
      <c r="P827" t="s">
        <v>74</v>
      </c>
      <c r="Q827" t="s">
        <v>74</v>
      </c>
      <c r="R827" t="s">
        <v>74</v>
      </c>
      <c r="S827" t="s">
        <v>74</v>
      </c>
      <c r="T827" t="s">
        <v>15791</v>
      </c>
      <c r="U827" t="s">
        <v>15792</v>
      </c>
      <c r="V827" t="s">
        <v>15793</v>
      </c>
      <c r="W827" t="s">
        <v>15794</v>
      </c>
      <c r="X827" t="s">
        <v>15795</v>
      </c>
      <c r="Y827" t="s">
        <v>15796</v>
      </c>
      <c r="Z827" t="s">
        <v>15797</v>
      </c>
      <c r="AA827" t="s">
        <v>15798</v>
      </c>
      <c r="AB827" t="s">
        <v>15799</v>
      </c>
      <c r="AC827" t="s">
        <v>15800</v>
      </c>
      <c r="AD827" t="s">
        <v>15801</v>
      </c>
      <c r="AE827" t="s">
        <v>15802</v>
      </c>
      <c r="AF827" t="s">
        <v>74</v>
      </c>
      <c r="AG827">
        <v>50</v>
      </c>
      <c r="AH827">
        <v>1</v>
      </c>
      <c r="AI827">
        <v>1</v>
      </c>
      <c r="AJ827">
        <v>2</v>
      </c>
      <c r="AK827">
        <v>10</v>
      </c>
      <c r="AL827" t="s">
        <v>4886</v>
      </c>
      <c r="AM827" t="s">
        <v>4887</v>
      </c>
      <c r="AN827" t="s">
        <v>4888</v>
      </c>
      <c r="AO827" t="s">
        <v>74</v>
      </c>
      <c r="AP827" t="s">
        <v>4954</v>
      </c>
      <c r="AQ827" t="s">
        <v>74</v>
      </c>
      <c r="AR827" t="s">
        <v>4955</v>
      </c>
      <c r="AS827" t="s">
        <v>4956</v>
      </c>
      <c r="AT827" t="s">
        <v>14975</v>
      </c>
      <c r="AU827">
        <v>2022</v>
      </c>
      <c r="AV827">
        <v>14</v>
      </c>
      <c r="AW827">
        <v>21</v>
      </c>
      <c r="AX827" t="s">
        <v>74</v>
      </c>
      <c r="AY827" t="s">
        <v>74</v>
      </c>
      <c r="AZ827" t="s">
        <v>74</v>
      </c>
      <c r="BA827" t="s">
        <v>74</v>
      </c>
      <c r="BB827" t="s">
        <v>74</v>
      </c>
      <c r="BC827" t="s">
        <v>74</v>
      </c>
      <c r="BD827">
        <v>5431</v>
      </c>
      <c r="BE827" t="s">
        <v>15803</v>
      </c>
      <c r="BF827" t="str">
        <f>HYPERLINK("http://dx.doi.org/10.3390/rs14215431","http://dx.doi.org/10.3390/rs14215431")</f>
        <v>http://dx.doi.org/10.3390/rs14215431</v>
      </c>
      <c r="BG827" t="s">
        <v>74</v>
      </c>
      <c r="BH827" t="s">
        <v>74</v>
      </c>
      <c r="BI827">
        <v>22</v>
      </c>
      <c r="BJ827" t="s">
        <v>4958</v>
      </c>
      <c r="BK827" t="s">
        <v>104</v>
      </c>
      <c r="BL827" t="s">
        <v>4959</v>
      </c>
      <c r="BM827" t="s">
        <v>15804</v>
      </c>
      <c r="BN827" t="s">
        <v>74</v>
      </c>
      <c r="BO827" t="s">
        <v>165</v>
      </c>
      <c r="BP827" t="s">
        <v>74</v>
      </c>
      <c r="BQ827" t="s">
        <v>74</v>
      </c>
      <c r="BR827" t="s">
        <v>108</v>
      </c>
      <c r="BS827" t="s">
        <v>15805</v>
      </c>
      <c r="BT827" t="str">
        <f>HYPERLINK("https%3A%2F%2Fwww.webofscience.com%2Fwos%2Fwoscc%2Ffull-record%2FWOS:000883969200001","View Full Record in Web of Science")</f>
        <v>View Full Record in Web of Science</v>
      </c>
    </row>
    <row r="828" spans="1:72" x14ac:dyDescent="0.15">
      <c r="A828" t="s">
        <v>72</v>
      </c>
      <c r="B828" t="s">
        <v>15806</v>
      </c>
      <c r="C828" t="s">
        <v>74</v>
      </c>
      <c r="D828" t="s">
        <v>74</v>
      </c>
      <c r="E828" t="s">
        <v>74</v>
      </c>
      <c r="F828" t="s">
        <v>15807</v>
      </c>
      <c r="G828" t="s">
        <v>74</v>
      </c>
      <c r="H828" t="s">
        <v>74</v>
      </c>
      <c r="I828" t="s">
        <v>15808</v>
      </c>
      <c r="J828" t="s">
        <v>5347</v>
      </c>
      <c r="K828" t="s">
        <v>74</v>
      </c>
      <c r="L828" t="s">
        <v>74</v>
      </c>
      <c r="M828" t="s">
        <v>78</v>
      </c>
      <c r="N828" t="s">
        <v>79</v>
      </c>
      <c r="O828" t="s">
        <v>74</v>
      </c>
      <c r="P828" t="s">
        <v>74</v>
      </c>
      <c r="Q828" t="s">
        <v>74</v>
      </c>
      <c r="R828" t="s">
        <v>74</v>
      </c>
      <c r="S828" t="s">
        <v>74</v>
      </c>
      <c r="T828" t="s">
        <v>15809</v>
      </c>
      <c r="U828" t="s">
        <v>15810</v>
      </c>
      <c r="V828" t="s">
        <v>15811</v>
      </c>
      <c r="W828" t="s">
        <v>15812</v>
      </c>
      <c r="X828" t="s">
        <v>15813</v>
      </c>
      <c r="Y828" t="s">
        <v>15814</v>
      </c>
      <c r="Z828" t="s">
        <v>15815</v>
      </c>
      <c r="AA828" t="s">
        <v>15816</v>
      </c>
      <c r="AB828" t="s">
        <v>15817</v>
      </c>
      <c r="AC828" t="s">
        <v>15818</v>
      </c>
      <c r="AD828" t="s">
        <v>15819</v>
      </c>
      <c r="AE828" t="s">
        <v>15820</v>
      </c>
      <c r="AF828" t="s">
        <v>74</v>
      </c>
      <c r="AG828">
        <v>65</v>
      </c>
      <c r="AH828">
        <v>3</v>
      </c>
      <c r="AI828">
        <v>3</v>
      </c>
      <c r="AJ828">
        <v>7</v>
      </c>
      <c r="AK828">
        <v>16</v>
      </c>
      <c r="AL828" t="s">
        <v>4886</v>
      </c>
      <c r="AM828" t="s">
        <v>4887</v>
      </c>
      <c r="AN828" t="s">
        <v>4888</v>
      </c>
      <c r="AO828" t="s">
        <v>15821</v>
      </c>
      <c r="AP828" t="s">
        <v>5356</v>
      </c>
      <c r="AQ828" t="s">
        <v>74</v>
      </c>
      <c r="AR828" t="s">
        <v>5357</v>
      </c>
      <c r="AS828" t="s">
        <v>5358</v>
      </c>
      <c r="AT828" t="s">
        <v>14975</v>
      </c>
      <c r="AU828">
        <v>2022</v>
      </c>
      <c r="AV828">
        <v>23</v>
      </c>
      <c r="AW828">
        <v>21</v>
      </c>
      <c r="AX828" t="s">
        <v>74</v>
      </c>
      <c r="AY828" t="s">
        <v>74</v>
      </c>
      <c r="AZ828" t="s">
        <v>74</v>
      </c>
      <c r="BA828" t="s">
        <v>74</v>
      </c>
      <c r="BB828" t="s">
        <v>74</v>
      </c>
      <c r="BC828" t="s">
        <v>74</v>
      </c>
      <c r="BD828">
        <v>13507</v>
      </c>
      <c r="BE828" t="s">
        <v>15822</v>
      </c>
      <c r="BF828" t="str">
        <f>HYPERLINK("http://dx.doi.org/10.3390/ijms232113507","http://dx.doi.org/10.3390/ijms232113507")</f>
        <v>http://dx.doi.org/10.3390/ijms232113507</v>
      </c>
      <c r="BG828" t="s">
        <v>74</v>
      </c>
      <c r="BH828" t="s">
        <v>74</v>
      </c>
      <c r="BI828">
        <v>20</v>
      </c>
      <c r="BJ828" t="s">
        <v>5360</v>
      </c>
      <c r="BK828" t="s">
        <v>104</v>
      </c>
      <c r="BL828" t="s">
        <v>5361</v>
      </c>
      <c r="BM828" t="s">
        <v>15823</v>
      </c>
      <c r="BN828">
        <v>36362295</v>
      </c>
      <c r="BO828" t="s">
        <v>3181</v>
      </c>
      <c r="BP828" t="s">
        <v>74</v>
      </c>
      <c r="BQ828" t="s">
        <v>74</v>
      </c>
      <c r="BR828" t="s">
        <v>108</v>
      </c>
      <c r="BS828" t="s">
        <v>15824</v>
      </c>
      <c r="BT828" t="str">
        <f>HYPERLINK("https%3A%2F%2Fwww.webofscience.com%2Fwos%2Fwoscc%2Ffull-record%2FWOS:000881410200001","View Full Record in Web of Science")</f>
        <v>View Full Record in Web of Science</v>
      </c>
    </row>
    <row r="829" spans="1:72" x14ac:dyDescent="0.15">
      <c r="A829" t="s">
        <v>72</v>
      </c>
      <c r="B829" t="s">
        <v>15825</v>
      </c>
      <c r="C829" t="s">
        <v>74</v>
      </c>
      <c r="D829" t="s">
        <v>74</v>
      </c>
      <c r="E829" t="s">
        <v>74</v>
      </c>
      <c r="F829" t="s">
        <v>15826</v>
      </c>
      <c r="G829" t="s">
        <v>74</v>
      </c>
      <c r="H829" t="s">
        <v>74</v>
      </c>
      <c r="I829" t="s">
        <v>15827</v>
      </c>
      <c r="J829" t="s">
        <v>10687</v>
      </c>
      <c r="K829" t="s">
        <v>74</v>
      </c>
      <c r="L829" t="s">
        <v>74</v>
      </c>
      <c r="M829" t="s">
        <v>78</v>
      </c>
      <c r="N829" t="s">
        <v>79</v>
      </c>
      <c r="O829" t="s">
        <v>74</v>
      </c>
      <c r="P829" t="s">
        <v>74</v>
      </c>
      <c r="Q829" t="s">
        <v>74</v>
      </c>
      <c r="R829" t="s">
        <v>74</v>
      </c>
      <c r="S829" t="s">
        <v>74</v>
      </c>
      <c r="T829" t="s">
        <v>15828</v>
      </c>
      <c r="U829" t="s">
        <v>15829</v>
      </c>
      <c r="V829" t="s">
        <v>15830</v>
      </c>
      <c r="W829" t="s">
        <v>15831</v>
      </c>
      <c r="X829" t="s">
        <v>15832</v>
      </c>
      <c r="Y829" t="s">
        <v>15833</v>
      </c>
      <c r="Z829" t="s">
        <v>15834</v>
      </c>
      <c r="AA829" t="s">
        <v>15835</v>
      </c>
      <c r="AB829" t="s">
        <v>15836</v>
      </c>
      <c r="AC829" t="s">
        <v>15837</v>
      </c>
      <c r="AD829" t="s">
        <v>15837</v>
      </c>
      <c r="AE829" t="s">
        <v>15838</v>
      </c>
      <c r="AF829" t="s">
        <v>74</v>
      </c>
      <c r="AG829">
        <v>68</v>
      </c>
      <c r="AH829">
        <v>4</v>
      </c>
      <c r="AI829">
        <v>4</v>
      </c>
      <c r="AJ829">
        <v>5</v>
      </c>
      <c r="AK829">
        <v>20</v>
      </c>
      <c r="AL829" t="s">
        <v>4886</v>
      </c>
      <c r="AM829" t="s">
        <v>4887</v>
      </c>
      <c r="AN829" t="s">
        <v>4888</v>
      </c>
      <c r="AO829" t="s">
        <v>74</v>
      </c>
      <c r="AP829" t="s">
        <v>10699</v>
      </c>
      <c r="AQ829" t="s">
        <v>74</v>
      </c>
      <c r="AR829" t="s">
        <v>10700</v>
      </c>
      <c r="AS829" t="s">
        <v>10701</v>
      </c>
      <c r="AT829" t="s">
        <v>14975</v>
      </c>
      <c r="AU829">
        <v>2022</v>
      </c>
      <c r="AV829">
        <v>10</v>
      </c>
      <c r="AW829">
        <v>11</v>
      </c>
      <c r="AX829" t="s">
        <v>74</v>
      </c>
      <c r="AY829" t="s">
        <v>74</v>
      </c>
      <c r="AZ829" t="s">
        <v>74</v>
      </c>
      <c r="BA829" t="s">
        <v>74</v>
      </c>
      <c r="BB829" t="s">
        <v>74</v>
      </c>
      <c r="BC829" t="s">
        <v>74</v>
      </c>
      <c r="BD829">
        <v>1669</v>
      </c>
      <c r="BE829" t="s">
        <v>15839</v>
      </c>
      <c r="BF829" t="str">
        <f>HYPERLINK("http://dx.doi.org/10.3390/jmse10111669","http://dx.doi.org/10.3390/jmse10111669")</f>
        <v>http://dx.doi.org/10.3390/jmse10111669</v>
      </c>
      <c r="BG829" t="s">
        <v>74</v>
      </c>
      <c r="BH829" t="s">
        <v>74</v>
      </c>
      <c r="BI829">
        <v>12</v>
      </c>
      <c r="BJ829" t="s">
        <v>10703</v>
      </c>
      <c r="BK829" t="s">
        <v>104</v>
      </c>
      <c r="BL829" t="s">
        <v>3062</v>
      </c>
      <c r="BM829" t="s">
        <v>15840</v>
      </c>
      <c r="BN829" t="s">
        <v>74</v>
      </c>
      <c r="BO829" t="s">
        <v>165</v>
      </c>
      <c r="BP829" t="s">
        <v>74</v>
      </c>
      <c r="BQ829" t="s">
        <v>74</v>
      </c>
      <c r="BR829" t="s">
        <v>108</v>
      </c>
      <c r="BS829" t="s">
        <v>15841</v>
      </c>
      <c r="BT829" t="str">
        <f>HYPERLINK("https%3A%2F%2Fwww.webofscience.com%2Fwos%2Fwoscc%2Ffull-record%2FWOS:000883452600001","View Full Record in Web of Science")</f>
        <v>View Full Record in Web of Science</v>
      </c>
    </row>
    <row r="830" spans="1:72" x14ac:dyDescent="0.15">
      <c r="A830" t="s">
        <v>72</v>
      </c>
      <c r="B830" t="s">
        <v>15842</v>
      </c>
      <c r="C830" t="s">
        <v>74</v>
      </c>
      <c r="D830" t="s">
        <v>74</v>
      </c>
      <c r="E830" t="s">
        <v>74</v>
      </c>
      <c r="F830" t="s">
        <v>15843</v>
      </c>
      <c r="G830" t="s">
        <v>74</v>
      </c>
      <c r="H830" t="s">
        <v>74</v>
      </c>
      <c r="I830" t="s">
        <v>15844</v>
      </c>
      <c r="J830" t="s">
        <v>10687</v>
      </c>
      <c r="K830" t="s">
        <v>74</v>
      </c>
      <c r="L830" t="s">
        <v>74</v>
      </c>
      <c r="M830" t="s">
        <v>78</v>
      </c>
      <c r="N830" t="s">
        <v>79</v>
      </c>
      <c r="O830" t="s">
        <v>74</v>
      </c>
      <c r="P830" t="s">
        <v>74</v>
      </c>
      <c r="Q830" t="s">
        <v>74</v>
      </c>
      <c r="R830" t="s">
        <v>74</v>
      </c>
      <c r="S830" t="s">
        <v>74</v>
      </c>
      <c r="T830" t="s">
        <v>15845</v>
      </c>
      <c r="U830" t="s">
        <v>15846</v>
      </c>
      <c r="V830" t="s">
        <v>15847</v>
      </c>
      <c r="W830" t="s">
        <v>15848</v>
      </c>
      <c r="X830" t="s">
        <v>15648</v>
      </c>
      <c r="Y830" t="s">
        <v>15849</v>
      </c>
      <c r="Z830" t="s">
        <v>15650</v>
      </c>
      <c r="AA830" t="s">
        <v>15850</v>
      </c>
      <c r="AB830" t="s">
        <v>15851</v>
      </c>
      <c r="AC830" t="s">
        <v>15653</v>
      </c>
      <c r="AD830" t="s">
        <v>15654</v>
      </c>
      <c r="AE830" t="s">
        <v>15655</v>
      </c>
      <c r="AF830" t="s">
        <v>74</v>
      </c>
      <c r="AG830">
        <v>69</v>
      </c>
      <c r="AH830">
        <v>2</v>
      </c>
      <c r="AI830">
        <v>2</v>
      </c>
      <c r="AJ830">
        <v>0</v>
      </c>
      <c r="AK830">
        <v>1</v>
      </c>
      <c r="AL830" t="s">
        <v>4886</v>
      </c>
      <c r="AM830" t="s">
        <v>4887</v>
      </c>
      <c r="AN830" t="s">
        <v>4888</v>
      </c>
      <c r="AO830" t="s">
        <v>74</v>
      </c>
      <c r="AP830" t="s">
        <v>10699</v>
      </c>
      <c r="AQ830" t="s">
        <v>74</v>
      </c>
      <c r="AR830" t="s">
        <v>10700</v>
      </c>
      <c r="AS830" t="s">
        <v>10701</v>
      </c>
      <c r="AT830" t="s">
        <v>14975</v>
      </c>
      <c r="AU830">
        <v>2022</v>
      </c>
      <c r="AV830">
        <v>10</v>
      </c>
      <c r="AW830">
        <v>11</v>
      </c>
      <c r="AX830" t="s">
        <v>74</v>
      </c>
      <c r="AY830" t="s">
        <v>74</v>
      </c>
      <c r="AZ830" t="s">
        <v>74</v>
      </c>
      <c r="BA830" t="s">
        <v>74</v>
      </c>
      <c r="BB830" t="s">
        <v>74</v>
      </c>
      <c r="BC830" t="s">
        <v>74</v>
      </c>
      <c r="BD830">
        <v>1592</v>
      </c>
      <c r="BE830" t="s">
        <v>15852</v>
      </c>
      <c r="BF830" t="str">
        <f>HYPERLINK("http://dx.doi.org/10.3390/jmse10111592","http://dx.doi.org/10.3390/jmse10111592")</f>
        <v>http://dx.doi.org/10.3390/jmse10111592</v>
      </c>
      <c r="BG830" t="s">
        <v>74</v>
      </c>
      <c r="BH830" t="s">
        <v>74</v>
      </c>
      <c r="BI830">
        <v>17</v>
      </c>
      <c r="BJ830" t="s">
        <v>10703</v>
      </c>
      <c r="BK830" t="s">
        <v>104</v>
      </c>
      <c r="BL830" t="s">
        <v>3062</v>
      </c>
      <c r="BM830" t="s">
        <v>15853</v>
      </c>
      <c r="BN830" t="s">
        <v>74</v>
      </c>
      <c r="BO830" t="s">
        <v>165</v>
      </c>
      <c r="BP830" t="s">
        <v>74</v>
      </c>
      <c r="BQ830" t="s">
        <v>74</v>
      </c>
      <c r="BR830" t="s">
        <v>108</v>
      </c>
      <c r="BS830" t="s">
        <v>15854</v>
      </c>
      <c r="BT830" t="str">
        <f>HYPERLINK("https%3A%2F%2Fwww.webofscience.com%2Fwos%2Fwoscc%2Ffull-record%2FWOS:000882240100001","View Full Record in Web of Science")</f>
        <v>View Full Record in Web of Science</v>
      </c>
    </row>
    <row r="831" spans="1:72" x14ac:dyDescent="0.15">
      <c r="A831" t="s">
        <v>72</v>
      </c>
      <c r="B831" t="s">
        <v>15855</v>
      </c>
      <c r="C831" t="s">
        <v>74</v>
      </c>
      <c r="D831" t="s">
        <v>74</v>
      </c>
      <c r="E831" t="s">
        <v>74</v>
      </c>
      <c r="F831" t="s">
        <v>15856</v>
      </c>
      <c r="G831" t="s">
        <v>74</v>
      </c>
      <c r="H831" t="s">
        <v>74</v>
      </c>
      <c r="I831" t="s">
        <v>15857</v>
      </c>
      <c r="J831" t="s">
        <v>10687</v>
      </c>
      <c r="K831" t="s">
        <v>74</v>
      </c>
      <c r="L831" t="s">
        <v>74</v>
      </c>
      <c r="M831" t="s">
        <v>78</v>
      </c>
      <c r="N831" t="s">
        <v>79</v>
      </c>
      <c r="O831" t="s">
        <v>74</v>
      </c>
      <c r="P831" t="s">
        <v>74</v>
      </c>
      <c r="Q831" t="s">
        <v>74</v>
      </c>
      <c r="R831" t="s">
        <v>74</v>
      </c>
      <c r="S831" t="s">
        <v>74</v>
      </c>
      <c r="T831" t="s">
        <v>15858</v>
      </c>
      <c r="U831" t="s">
        <v>15859</v>
      </c>
      <c r="V831" t="s">
        <v>15860</v>
      </c>
      <c r="W831" t="s">
        <v>15861</v>
      </c>
      <c r="X831" t="s">
        <v>15862</v>
      </c>
      <c r="Y831" t="s">
        <v>15863</v>
      </c>
      <c r="Z831" t="s">
        <v>15864</v>
      </c>
      <c r="AA831" t="s">
        <v>15865</v>
      </c>
      <c r="AB831" t="s">
        <v>15866</v>
      </c>
      <c r="AC831" t="s">
        <v>15867</v>
      </c>
      <c r="AD831" t="s">
        <v>15868</v>
      </c>
      <c r="AE831" t="s">
        <v>15869</v>
      </c>
      <c r="AF831" t="s">
        <v>74</v>
      </c>
      <c r="AG831">
        <v>59</v>
      </c>
      <c r="AH831">
        <v>6</v>
      </c>
      <c r="AI831">
        <v>6</v>
      </c>
      <c r="AJ831">
        <v>1</v>
      </c>
      <c r="AK831">
        <v>2</v>
      </c>
      <c r="AL831" t="s">
        <v>4886</v>
      </c>
      <c r="AM831" t="s">
        <v>4887</v>
      </c>
      <c r="AN831" t="s">
        <v>4888</v>
      </c>
      <c r="AO831" t="s">
        <v>74</v>
      </c>
      <c r="AP831" t="s">
        <v>10699</v>
      </c>
      <c r="AQ831" t="s">
        <v>74</v>
      </c>
      <c r="AR831" t="s">
        <v>10700</v>
      </c>
      <c r="AS831" t="s">
        <v>10701</v>
      </c>
      <c r="AT831" t="s">
        <v>14975</v>
      </c>
      <c r="AU831">
        <v>2022</v>
      </c>
      <c r="AV831">
        <v>10</v>
      </c>
      <c r="AW831">
        <v>11</v>
      </c>
      <c r="AX831" t="s">
        <v>74</v>
      </c>
      <c r="AY831" t="s">
        <v>74</v>
      </c>
      <c r="AZ831" t="s">
        <v>74</v>
      </c>
      <c r="BA831" t="s">
        <v>74</v>
      </c>
      <c r="BB831" t="s">
        <v>74</v>
      </c>
      <c r="BC831" t="s">
        <v>74</v>
      </c>
      <c r="BD831">
        <v>1656</v>
      </c>
      <c r="BE831" t="s">
        <v>15870</v>
      </c>
      <c r="BF831" t="str">
        <f>HYPERLINK("http://dx.doi.org/10.3390/jmse10111656","http://dx.doi.org/10.3390/jmse10111656")</f>
        <v>http://dx.doi.org/10.3390/jmse10111656</v>
      </c>
      <c r="BG831" t="s">
        <v>74</v>
      </c>
      <c r="BH831" t="s">
        <v>74</v>
      </c>
      <c r="BI831">
        <v>21</v>
      </c>
      <c r="BJ831" t="s">
        <v>10703</v>
      </c>
      <c r="BK831" t="s">
        <v>104</v>
      </c>
      <c r="BL831" t="s">
        <v>3062</v>
      </c>
      <c r="BM831" t="s">
        <v>15871</v>
      </c>
      <c r="BN831" t="s">
        <v>74</v>
      </c>
      <c r="BO831" t="s">
        <v>192</v>
      </c>
      <c r="BP831" t="s">
        <v>74</v>
      </c>
      <c r="BQ831" t="s">
        <v>74</v>
      </c>
      <c r="BR831" t="s">
        <v>108</v>
      </c>
      <c r="BS831" t="s">
        <v>15872</v>
      </c>
      <c r="BT831" t="str">
        <f>HYPERLINK("https%3A%2F%2Fwww.webofscience.com%2Fwos%2Fwoscc%2Ffull-record%2FWOS:000883461000001","View Full Record in Web of Science")</f>
        <v>View Full Record in Web of Science</v>
      </c>
    </row>
    <row r="832" spans="1:72" x14ac:dyDescent="0.15">
      <c r="A832" t="s">
        <v>72</v>
      </c>
      <c r="B832" t="s">
        <v>15873</v>
      </c>
      <c r="C832" t="s">
        <v>74</v>
      </c>
      <c r="D832" t="s">
        <v>74</v>
      </c>
      <c r="E832" t="s">
        <v>74</v>
      </c>
      <c r="F832" t="s">
        <v>15874</v>
      </c>
      <c r="G832" t="s">
        <v>74</v>
      </c>
      <c r="H832" t="s">
        <v>74</v>
      </c>
      <c r="I832" t="s">
        <v>15875</v>
      </c>
      <c r="J832" t="s">
        <v>15876</v>
      </c>
      <c r="K832" t="s">
        <v>74</v>
      </c>
      <c r="L832" t="s">
        <v>74</v>
      </c>
      <c r="M832" t="s">
        <v>78</v>
      </c>
      <c r="N832" t="s">
        <v>79</v>
      </c>
      <c r="O832" t="s">
        <v>74</v>
      </c>
      <c r="P832" t="s">
        <v>74</v>
      </c>
      <c r="Q832" t="s">
        <v>74</v>
      </c>
      <c r="R832" t="s">
        <v>74</v>
      </c>
      <c r="S832" t="s">
        <v>74</v>
      </c>
      <c r="T832" t="s">
        <v>15877</v>
      </c>
      <c r="U832" t="s">
        <v>15878</v>
      </c>
      <c r="V832" t="s">
        <v>15879</v>
      </c>
      <c r="W832" t="s">
        <v>15880</v>
      </c>
      <c r="X832" t="s">
        <v>15881</v>
      </c>
      <c r="Y832" t="s">
        <v>15882</v>
      </c>
      <c r="Z832" t="s">
        <v>15883</v>
      </c>
      <c r="AA832" t="s">
        <v>15884</v>
      </c>
      <c r="AB832" t="s">
        <v>15885</v>
      </c>
      <c r="AC832" t="s">
        <v>15886</v>
      </c>
      <c r="AD832" t="s">
        <v>15887</v>
      </c>
      <c r="AE832" t="s">
        <v>15888</v>
      </c>
      <c r="AF832" t="s">
        <v>74</v>
      </c>
      <c r="AG832">
        <v>96</v>
      </c>
      <c r="AH832">
        <v>1</v>
      </c>
      <c r="AI832">
        <v>1</v>
      </c>
      <c r="AJ832">
        <v>5</v>
      </c>
      <c r="AK832">
        <v>18</v>
      </c>
      <c r="AL832" t="s">
        <v>422</v>
      </c>
      <c r="AM832" t="s">
        <v>208</v>
      </c>
      <c r="AN832" t="s">
        <v>423</v>
      </c>
      <c r="AO832" t="s">
        <v>15889</v>
      </c>
      <c r="AP832" t="s">
        <v>15890</v>
      </c>
      <c r="AQ832" t="s">
        <v>74</v>
      </c>
      <c r="AR832" t="s">
        <v>15891</v>
      </c>
      <c r="AS832" t="s">
        <v>15892</v>
      </c>
      <c r="AT832" t="s">
        <v>15339</v>
      </c>
      <c r="AU832">
        <v>2022</v>
      </c>
      <c r="AV832">
        <v>63</v>
      </c>
      <c r="AW832">
        <v>11</v>
      </c>
      <c r="AX832" t="s">
        <v>74</v>
      </c>
      <c r="AY832" t="s">
        <v>74</v>
      </c>
      <c r="AZ832" t="s">
        <v>74</v>
      </c>
      <c r="BA832" t="s">
        <v>74</v>
      </c>
      <c r="BB832" t="s">
        <v>74</v>
      </c>
      <c r="BC832" t="s">
        <v>74</v>
      </c>
      <c r="BD832" t="s">
        <v>15893</v>
      </c>
      <c r="BE832" t="s">
        <v>15894</v>
      </c>
      <c r="BF832" t="str">
        <f>HYPERLINK("http://dx.doi.org/10.1093/petrology/egac111","http://dx.doi.org/10.1093/petrology/egac111")</f>
        <v>http://dx.doi.org/10.1093/petrology/egac111</v>
      </c>
      <c r="BG832" t="s">
        <v>74</v>
      </c>
      <c r="BH832" t="s">
        <v>74</v>
      </c>
      <c r="BI832">
        <v>18</v>
      </c>
      <c r="BJ832" t="s">
        <v>430</v>
      </c>
      <c r="BK832" t="s">
        <v>104</v>
      </c>
      <c r="BL832" t="s">
        <v>430</v>
      </c>
      <c r="BM832" t="s">
        <v>15895</v>
      </c>
      <c r="BN832" t="s">
        <v>74</v>
      </c>
      <c r="BO832" t="s">
        <v>660</v>
      </c>
      <c r="BP832" t="s">
        <v>74</v>
      </c>
      <c r="BQ832" t="s">
        <v>74</v>
      </c>
      <c r="BR832" t="s">
        <v>108</v>
      </c>
      <c r="BS832" t="s">
        <v>15896</v>
      </c>
      <c r="BT832" t="str">
        <f>HYPERLINK("https%3A%2F%2Fwww.webofscience.com%2Fwos%2Fwoscc%2Ffull-record%2FWOS:000882064100002","View Full Record in Web of Science")</f>
        <v>View Full Record in Web of Science</v>
      </c>
    </row>
    <row r="833" spans="1:72" x14ac:dyDescent="0.15">
      <c r="A833" t="s">
        <v>72</v>
      </c>
      <c r="B833" t="s">
        <v>15897</v>
      </c>
      <c r="C833" t="s">
        <v>74</v>
      </c>
      <c r="D833" t="s">
        <v>74</v>
      </c>
      <c r="E833" t="s">
        <v>74</v>
      </c>
      <c r="F833" t="s">
        <v>15898</v>
      </c>
      <c r="G833" t="s">
        <v>74</v>
      </c>
      <c r="H833" t="s">
        <v>74</v>
      </c>
      <c r="I833" t="s">
        <v>15899</v>
      </c>
      <c r="J833" t="s">
        <v>4874</v>
      </c>
      <c r="K833" t="s">
        <v>74</v>
      </c>
      <c r="L833" t="s">
        <v>74</v>
      </c>
      <c r="M833" t="s">
        <v>78</v>
      </c>
      <c r="N833" t="s">
        <v>79</v>
      </c>
      <c r="O833" t="s">
        <v>74</v>
      </c>
      <c r="P833" t="s">
        <v>74</v>
      </c>
      <c r="Q833" t="s">
        <v>74</v>
      </c>
      <c r="R833" t="s">
        <v>74</v>
      </c>
      <c r="S833" t="s">
        <v>74</v>
      </c>
      <c r="T833" t="s">
        <v>15900</v>
      </c>
      <c r="U833" t="s">
        <v>15901</v>
      </c>
      <c r="V833" t="s">
        <v>15902</v>
      </c>
      <c r="W833" t="s">
        <v>15903</v>
      </c>
      <c r="X833" t="s">
        <v>15904</v>
      </c>
      <c r="Y833" t="s">
        <v>15905</v>
      </c>
      <c r="Z833" t="s">
        <v>15906</v>
      </c>
      <c r="AA833" t="s">
        <v>15907</v>
      </c>
      <c r="AB833" t="s">
        <v>15908</v>
      </c>
      <c r="AC833" t="s">
        <v>15909</v>
      </c>
      <c r="AD833" t="s">
        <v>15910</v>
      </c>
      <c r="AE833" t="s">
        <v>15911</v>
      </c>
      <c r="AF833" t="s">
        <v>74</v>
      </c>
      <c r="AG833">
        <v>56</v>
      </c>
      <c r="AH833">
        <v>8</v>
      </c>
      <c r="AI833">
        <v>8</v>
      </c>
      <c r="AJ833">
        <v>7</v>
      </c>
      <c r="AK833">
        <v>45</v>
      </c>
      <c r="AL833" t="s">
        <v>4886</v>
      </c>
      <c r="AM833" t="s">
        <v>4887</v>
      </c>
      <c r="AN833" t="s">
        <v>4888</v>
      </c>
      <c r="AO833" t="s">
        <v>74</v>
      </c>
      <c r="AP833" t="s">
        <v>4889</v>
      </c>
      <c r="AQ833" t="s">
        <v>74</v>
      </c>
      <c r="AR833" t="s">
        <v>4890</v>
      </c>
      <c r="AS833" t="s">
        <v>4891</v>
      </c>
      <c r="AT833" t="s">
        <v>14975</v>
      </c>
      <c r="AU833">
        <v>2022</v>
      </c>
      <c r="AV833">
        <v>22</v>
      </c>
      <c r="AW833">
        <v>21</v>
      </c>
      <c r="AX833" t="s">
        <v>74</v>
      </c>
      <c r="AY833" t="s">
        <v>74</v>
      </c>
      <c r="AZ833" t="s">
        <v>74</v>
      </c>
      <c r="BA833" t="s">
        <v>74</v>
      </c>
      <c r="BB833" t="s">
        <v>74</v>
      </c>
      <c r="BC833" t="s">
        <v>74</v>
      </c>
      <c r="BD833">
        <v>8178</v>
      </c>
      <c r="BE833" t="s">
        <v>15912</v>
      </c>
      <c r="BF833" t="str">
        <f>HYPERLINK("http://dx.doi.org/10.3390/s22218178","http://dx.doi.org/10.3390/s22218178")</f>
        <v>http://dx.doi.org/10.3390/s22218178</v>
      </c>
      <c r="BG833" t="s">
        <v>74</v>
      </c>
      <c r="BH833" t="s">
        <v>74</v>
      </c>
      <c r="BI833">
        <v>20</v>
      </c>
      <c r="BJ833" t="s">
        <v>4893</v>
      </c>
      <c r="BK833" t="s">
        <v>104</v>
      </c>
      <c r="BL833" t="s">
        <v>4894</v>
      </c>
      <c r="BM833" t="s">
        <v>15913</v>
      </c>
      <c r="BN833">
        <v>36365876</v>
      </c>
      <c r="BO833" t="s">
        <v>3181</v>
      </c>
      <c r="BP833" t="s">
        <v>74</v>
      </c>
      <c r="BQ833" t="s">
        <v>74</v>
      </c>
      <c r="BR833" t="s">
        <v>108</v>
      </c>
      <c r="BS833" t="s">
        <v>15914</v>
      </c>
      <c r="BT833" t="str">
        <f>HYPERLINK("https%3A%2F%2Fwww.webofscience.com%2Fwos%2Fwoscc%2Ffull-record%2FWOS:000883615100001","View Full Record in Web of Science")</f>
        <v>View Full Record in Web of Science</v>
      </c>
    </row>
    <row r="834" spans="1:72" x14ac:dyDescent="0.15">
      <c r="A834" t="s">
        <v>72</v>
      </c>
      <c r="B834" t="s">
        <v>15915</v>
      </c>
      <c r="C834" t="s">
        <v>74</v>
      </c>
      <c r="D834" t="s">
        <v>74</v>
      </c>
      <c r="E834" t="s">
        <v>74</v>
      </c>
      <c r="F834" t="s">
        <v>15916</v>
      </c>
      <c r="G834" t="s">
        <v>74</v>
      </c>
      <c r="H834" t="s">
        <v>74</v>
      </c>
      <c r="I834" t="s">
        <v>15917</v>
      </c>
      <c r="J834" t="s">
        <v>10649</v>
      </c>
      <c r="K834" t="s">
        <v>74</v>
      </c>
      <c r="L834" t="s">
        <v>74</v>
      </c>
      <c r="M834" t="s">
        <v>78</v>
      </c>
      <c r="N834" t="s">
        <v>79</v>
      </c>
      <c r="O834" t="s">
        <v>74</v>
      </c>
      <c r="P834" t="s">
        <v>74</v>
      </c>
      <c r="Q834" t="s">
        <v>74</v>
      </c>
      <c r="R834" t="s">
        <v>74</v>
      </c>
      <c r="S834" t="s">
        <v>74</v>
      </c>
      <c r="T834" t="s">
        <v>15918</v>
      </c>
      <c r="U834" t="s">
        <v>15919</v>
      </c>
      <c r="V834" t="s">
        <v>15920</v>
      </c>
      <c r="W834" t="s">
        <v>15921</v>
      </c>
      <c r="X834" t="s">
        <v>2627</v>
      </c>
      <c r="Y834" t="s">
        <v>15922</v>
      </c>
      <c r="Z834" t="s">
        <v>15923</v>
      </c>
      <c r="AA834" t="s">
        <v>15924</v>
      </c>
      <c r="AB834" t="s">
        <v>15925</v>
      </c>
      <c r="AC834" t="s">
        <v>15926</v>
      </c>
      <c r="AD834" t="s">
        <v>1413</v>
      </c>
      <c r="AE834" t="s">
        <v>15927</v>
      </c>
      <c r="AF834" t="s">
        <v>74</v>
      </c>
      <c r="AG834">
        <v>19</v>
      </c>
      <c r="AH834">
        <v>2</v>
      </c>
      <c r="AI834">
        <v>2</v>
      </c>
      <c r="AJ834">
        <v>0</v>
      </c>
      <c r="AK834">
        <v>0</v>
      </c>
      <c r="AL834" t="s">
        <v>4886</v>
      </c>
      <c r="AM834" t="s">
        <v>4887</v>
      </c>
      <c r="AN834" t="s">
        <v>4888</v>
      </c>
      <c r="AO834" t="s">
        <v>74</v>
      </c>
      <c r="AP834" t="s">
        <v>10658</v>
      </c>
      <c r="AQ834" t="s">
        <v>74</v>
      </c>
      <c r="AR834" t="s">
        <v>10659</v>
      </c>
      <c r="AS834" t="s">
        <v>10660</v>
      </c>
      <c r="AT834" t="s">
        <v>14975</v>
      </c>
      <c r="AU834">
        <v>2022</v>
      </c>
      <c r="AV834">
        <v>14</v>
      </c>
      <c r="AW834">
        <v>21</v>
      </c>
      <c r="AX834" t="s">
        <v>74</v>
      </c>
      <c r="AY834" t="s">
        <v>74</v>
      </c>
      <c r="AZ834" t="s">
        <v>74</v>
      </c>
      <c r="BA834" t="s">
        <v>74</v>
      </c>
      <c r="BB834" t="s">
        <v>74</v>
      </c>
      <c r="BC834" t="s">
        <v>74</v>
      </c>
      <c r="BD834">
        <v>3438</v>
      </c>
      <c r="BE834" t="s">
        <v>15928</v>
      </c>
      <c r="BF834" t="str">
        <f>HYPERLINK("http://dx.doi.org/10.3390/w14213438","http://dx.doi.org/10.3390/w14213438")</f>
        <v>http://dx.doi.org/10.3390/w14213438</v>
      </c>
      <c r="BG834" t="s">
        <v>74</v>
      </c>
      <c r="BH834" t="s">
        <v>74</v>
      </c>
      <c r="BI834">
        <v>12</v>
      </c>
      <c r="BJ834" t="s">
        <v>10662</v>
      </c>
      <c r="BK834" t="s">
        <v>104</v>
      </c>
      <c r="BL834" t="s">
        <v>10663</v>
      </c>
      <c r="BM834" t="s">
        <v>15929</v>
      </c>
      <c r="BN834" t="s">
        <v>74</v>
      </c>
      <c r="BO834" t="s">
        <v>165</v>
      </c>
      <c r="BP834" t="s">
        <v>74</v>
      </c>
      <c r="BQ834" t="s">
        <v>74</v>
      </c>
      <c r="BR834" t="s">
        <v>108</v>
      </c>
      <c r="BS834" t="s">
        <v>15930</v>
      </c>
      <c r="BT834" t="str">
        <f>HYPERLINK("https%3A%2F%2Fwww.webofscience.com%2Fwos%2Fwoscc%2Ffull-record%2FWOS:000882664800001","View Full Record in Web of Science")</f>
        <v>View Full Record in Web of Science</v>
      </c>
    </row>
    <row r="835" spans="1:72" x14ac:dyDescent="0.15">
      <c r="A835" t="s">
        <v>72</v>
      </c>
      <c r="B835" t="s">
        <v>15931</v>
      </c>
      <c r="C835" t="s">
        <v>74</v>
      </c>
      <c r="D835" t="s">
        <v>74</v>
      </c>
      <c r="E835" t="s">
        <v>74</v>
      </c>
      <c r="F835" t="s">
        <v>15932</v>
      </c>
      <c r="G835" t="s">
        <v>74</v>
      </c>
      <c r="H835" t="s">
        <v>74</v>
      </c>
      <c r="I835" t="s">
        <v>15933</v>
      </c>
      <c r="J835" t="s">
        <v>15934</v>
      </c>
      <c r="K835" t="s">
        <v>74</v>
      </c>
      <c r="L835" t="s">
        <v>74</v>
      </c>
      <c r="M835" t="s">
        <v>78</v>
      </c>
      <c r="N835" t="s">
        <v>79</v>
      </c>
      <c r="O835" t="s">
        <v>74</v>
      </c>
      <c r="P835" t="s">
        <v>74</v>
      </c>
      <c r="Q835" t="s">
        <v>74</v>
      </c>
      <c r="R835" t="s">
        <v>74</v>
      </c>
      <c r="S835" t="s">
        <v>74</v>
      </c>
      <c r="T835" t="s">
        <v>15935</v>
      </c>
      <c r="U835" t="s">
        <v>15936</v>
      </c>
      <c r="V835" t="s">
        <v>15937</v>
      </c>
      <c r="W835" t="s">
        <v>15938</v>
      </c>
      <c r="X835" t="s">
        <v>15939</v>
      </c>
      <c r="Y835" t="s">
        <v>15940</v>
      </c>
      <c r="Z835" t="s">
        <v>15941</v>
      </c>
      <c r="AA835" t="s">
        <v>74</v>
      </c>
      <c r="AB835" t="s">
        <v>15942</v>
      </c>
      <c r="AC835" t="s">
        <v>15943</v>
      </c>
      <c r="AD835" t="s">
        <v>15944</v>
      </c>
      <c r="AE835" t="s">
        <v>15945</v>
      </c>
      <c r="AF835" t="s">
        <v>74</v>
      </c>
      <c r="AG835">
        <v>30</v>
      </c>
      <c r="AH835">
        <v>0</v>
      </c>
      <c r="AI835">
        <v>0</v>
      </c>
      <c r="AJ835">
        <v>0</v>
      </c>
      <c r="AK835">
        <v>3</v>
      </c>
      <c r="AL835" t="s">
        <v>9932</v>
      </c>
      <c r="AM835" t="s">
        <v>9933</v>
      </c>
      <c r="AN835" t="s">
        <v>9934</v>
      </c>
      <c r="AO835" t="s">
        <v>15946</v>
      </c>
      <c r="AP835" t="s">
        <v>15947</v>
      </c>
      <c r="AQ835" t="s">
        <v>74</v>
      </c>
      <c r="AR835" t="s">
        <v>15948</v>
      </c>
      <c r="AS835" t="s">
        <v>15949</v>
      </c>
      <c r="AT835" t="s">
        <v>14975</v>
      </c>
      <c r="AU835">
        <v>2022</v>
      </c>
      <c r="AV835">
        <v>59</v>
      </c>
      <c r="AW835">
        <v>11</v>
      </c>
      <c r="AX835" t="s">
        <v>74</v>
      </c>
      <c r="AY835" t="s">
        <v>74</v>
      </c>
      <c r="AZ835" t="s">
        <v>74</v>
      </c>
      <c r="BA835" t="s">
        <v>74</v>
      </c>
      <c r="BB835">
        <v>1919</v>
      </c>
      <c r="BC835">
        <v>1936</v>
      </c>
      <c r="BD835" t="s">
        <v>74</v>
      </c>
      <c r="BE835" t="s">
        <v>15950</v>
      </c>
      <c r="BF835" t="str">
        <f>HYPERLINK("http://dx.doi.org/10.1139/cgj-2021-0552","http://dx.doi.org/10.1139/cgj-2021-0552")</f>
        <v>http://dx.doi.org/10.1139/cgj-2021-0552</v>
      </c>
      <c r="BG835" t="s">
        <v>74</v>
      </c>
      <c r="BH835" t="s">
        <v>74</v>
      </c>
      <c r="BI835">
        <v>18</v>
      </c>
      <c r="BJ835" t="s">
        <v>15951</v>
      </c>
      <c r="BK835" t="s">
        <v>104</v>
      </c>
      <c r="BL835" t="s">
        <v>15952</v>
      </c>
      <c r="BM835" t="s">
        <v>15953</v>
      </c>
      <c r="BN835" t="s">
        <v>74</v>
      </c>
      <c r="BO835" t="s">
        <v>74</v>
      </c>
      <c r="BP835" t="s">
        <v>74</v>
      </c>
      <c r="BQ835" t="s">
        <v>74</v>
      </c>
      <c r="BR835" t="s">
        <v>108</v>
      </c>
      <c r="BS835" t="s">
        <v>15954</v>
      </c>
      <c r="BT835" t="str">
        <f>HYPERLINK("https%3A%2F%2Fwww.webofscience.com%2Fwos%2Fwoscc%2Ffull-record%2FWOS:000880138900002","View Full Record in Web of Science")</f>
        <v>View Full Record in Web of Science</v>
      </c>
    </row>
    <row r="836" spans="1:72" x14ac:dyDescent="0.15">
      <c r="A836" t="s">
        <v>72</v>
      </c>
      <c r="B836" t="s">
        <v>15955</v>
      </c>
      <c r="C836" t="s">
        <v>74</v>
      </c>
      <c r="D836" t="s">
        <v>74</v>
      </c>
      <c r="E836" t="s">
        <v>74</v>
      </c>
      <c r="F836" t="s">
        <v>15956</v>
      </c>
      <c r="G836" t="s">
        <v>74</v>
      </c>
      <c r="H836" t="s">
        <v>74</v>
      </c>
      <c r="I836" t="s">
        <v>15957</v>
      </c>
      <c r="J836" t="s">
        <v>10687</v>
      </c>
      <c r="K836" t="s">
        <v>74</v>
      </c>
      <c r="L836" t="s">
        <v>74</v>
      </c>
      <c r="M836" t="s">
        <v>78</v>
      </c>
      <c r="N836" t="s">
        <v>79</v>
      </c>
      <c r="O836" t="s">
        <v>74</v>
      </c>
      <c r="P836" t="s">
        <v>74</v>
      </c>
      <c r="Q836" t="s">
        <v>74</v>
      </c>
      <c r="R836" t="s">
        <v>74</v>
      </c>
      <c r="S836" t="s">
        <v>74</v>
      </c>
      <c r="T836" t="s">
        <v>15958</v>
      </c>
      <c r="U836" t="s">
        <v>15959</v>
      </c>
      <c r="V836" t="s">
        <v>15960</v>
      </c>
      <c r="W836" t="s">
        <v>15961</v>
      </c>
      <c r="X836" t="s">
        <v>15962</v>
      </c>
      <c r="Y836" t="s">
        <v>15963</v>
      </c>
      <c r="Z836" t="s">
        <v>15964</v>
      </c>
      <c r="AA836" t="s">
        <v>15965</v>
      </c>
      <c r="AB836" t="s">
        <v>15966</v>
      </c>
      <c r="AC836" t="s">
        <v>15967</v>
      </c>
      <c r="AD836" t="s">
        <v>15968</v>
      </c>
      <c r="AE836" t="s">
        <v>15969</v>
      </c>
      <c r="AF836" t="s">
        <v>74</v>
      </c>
      <c r="AG836">
        <v>111</v>
      </c>
      <c r="AH836">
        <v>2</v>
      </c>
      <c r="AI836">
        <v>2</v>
      </c>
      <c r="AJ836">
        <v>5</v>
      </c>
      <c r="AK836">
        <v>16</v>
      </c>
      <c r="AL836" t="s">
        <v>4886</v>
      </c>
      <c r="AM836" t="s">
        <v>4887</v>
      </c>
      <c r="AN836" t="s">
        <v>4888</v>
      </c>
      <c r="AO836" t="s">
        <v>74</v>
      </c>
      <c r="AP836" t="s">
        <v>10699</v>
      </c>
      <c r="AQ836" t="s">
        <v>74</v>
      </c>
      <c r="AR836" t="s">
        <v>10700</v>
      </c>
      <c r="AS836" t="s">
        <v>10701</v>
      </c>
      <c r="AT836" t="s">
        <v>14975</v>
      </c>
      <c r="AU836">
        <v>2022</v>
      </c>
      <c r="AV836">
        <v>10</v>
      </c>
      <c r="AW836">
        <v>11</v>
      </c>
      <c r="AX836" t="s">
        <v>74</v>
      </c>
      <c r="AY836" t="s">
        <v>74</v>
      </c>
      <c r="AZ836" t="s">
        <v>74</v>
      </c>
      <c r="BA836" t="s">
        <v>74</v>
      </c>
      <c r="BB836" t="s">
        <v>74</v>
      </c>
      <c r="BC836" t="s">
        <v>74</v>
      </c>
      <c r="BD836">
        <v>1714</v>
      </c>
      <c r="BE836" t="s">
        <v>15970</v>
      </c>
      <c r="BF836" t="str">
        <f>HYPERLINK("http://dx.doi.org/10.3390/jmse10111714","http://dx.doi.org/10.3390/jmse10111714")</f>
        <v>http://dx.doi.org/10.3390/jmse10111714</v>
      </c>
      <c r="BG836" t="s">
        <v>74</v>
      </c>
      <c r="BH836" t="s">
        <v>74</v>
      </c>
      <c r="BI836">
        <v>28</v>
      </c>
      <c r="BJ836" t="s">
        <v>10703</v>
      </c>
      <c r="BK836" t="s">
        <v>104</v>
      </c>
      <c r="BL836" t="s">
        <v>3062</v>
      </c>
      <c r="BM836" t="s">
        <v>15971</v>
      </c>
      <c r="BN836" t="s">
        <v>74</v>
      </c>
      <c r="BO836" t="s">
        <v>165</v>
      </c>
      <c r="BP836" t="s">
        <v>74</v>
      </c>
      <c r="BQ836" t="s">
        <v>74</v>
      </c>
      <c r="BR836" t="s">
        <v>108</v>
      </c>
      <c r="BS836" t="s">
        <v>15972</v>
      </c>
      <c r="BT836" t="str">
        <f>HYPERLINK("https%3A%2F%2Fwww.webofscience.com%2Fwos%2Fwoscc%2Ffull-record%2FWOS:000883606800001","View Full Record in Web of Science")</f>
        <v>View Full Record in Web of Science</v>
      </c>
    </row>
    <row r="837" spans="1:72" x14ac:dyDescent="0.15">
      <c r="A837" t="s">
        <v>72</v>
      </c>
      <c r="B837" t="s">
        <v>15973</v>
      </c>
      <c r="C837" t="s">
        <v>74</v>
      </c>
      <c r="D837" t="s">
        <v>74</v>
      </c>
      <c r="E837" t="s">
        <v>74</v>
      </c>
      <c r="F837" t="s">
        <v>15974</v>
      </c>
      <c r="G837" t="s">
        <v>74</v>
      </c>
      <c r="H837" t="s">
        <v>74</v>
      </c>
      <c r="I837" t="s">
        <v>15975</v>
      </c>
      <c r="J837" t="s">
        <v>5284</v>
      </c>
      <c r="K837" t="s">
        <v>74</v>
      </c>
      <c r="L837" t="s">
        <v>74</v>
      </c>
      <c r="M837" t="s">
        <v>78</v>
      </c>
      <c r="N837" t="s">
        <v>79</v>
      </c>
      <c r="O837" t="s">
        <v>74</v>
      </c>
      <c r="P837" t="s">
        <v>74</v>
      </c>
      <c r="Q837" t="s">
        <v>74</v>
      </c>
      <c r="R837" t="s">
        <v>74</v>
      </c>
      <c r="S837" t="s">
        <v>74</v>
      </c>
      <c r="T837" t="s">
        <v>15976</v>
      </c>
      <c r="U837" t="s">
        <v>15977</v>
      </c>
      <c r="V837" t="s">
        <v>15978</v>
      </c>
      <c r="W837" t="s">
        <v>15979</v>
      </c>
      <c r="X837" t="s">
        <v>15980</v>
      </c>
      <c r="Y837" t="s">
        <v>15981</v>
      </c>
      <c r="Z837" t="s">
        <v>15982</v>
      </c>
      <c r="AA837" t="s">
        <v>15983</v>
      </c>
      <c r="AB837" t="s">
        <v>15984</v>
      </c>
      <c r="AC837" t="s">
        <v>15985</v>
      </c>
      <c r="AD837" t="s">
        <v>15986</v>
      </c>
      <c r="AE837" t="s">
        <v>15987</v>
      </c>
      <c r="AF837" t="s">
        <v>74</v>
      </c>
      <c r="AG837">
        <v>172</v>
      </c>
      <c r="AH837">
        <v>11</v>
      </c>
      <c r="AI837">
        <v>11</v>
      </c>
      <c r="AJ837">
        <v>4</v>
      </c>
      <c r="AK837">
        <v>12</v>
      </c>
      <c r="AL837" t="s">
        <v>4886</v>
      </c>
      <c r="AM837" t="s">
        <v>4887</v>
      </c>
      <c r="AN837" t="s">
        <v>4888</v>
      </c>
      <c r="AO837" t="s">
        <v>74</v>
      </c>
      <c r="AP837" t="s">
        <v>5293</v>
      </c>
      <c r="AQ837" t="s">
        <v>74</v>
      </c>
      <c r="AR837" t="s">
        <v>5284</v>
      </c>
      <c r="AS837" t="s">
        <v>5294</v>
      </c>
      <c r="AT837" t="s">
        <v>14975</v>
      </c>
      <c r="AU837">
        <v>2022</v>
      </c>
      <c r="AV837">
        <v>14</v>
      </c>
      <c r="AW837">
        <v>11</v>
      </c>
      <c r="AX837" t="s">
        <v>74</v>
      </c>
      <c r="AY837" t="s">
        <v>74</v>
      </c>
      <c r="AZ837" t="s">
        <v>74</v>
      </c>
      <c r="BA837" t="s">
        <v>74</v>
      </c>
      <c r="BB837" t="s">
        <v>74</v>
      </c>
      <c r="BC837" t="s">
        <v>74</v>
      </c>
      <c r="BD837">
        <v>923</v>
      </c>
      <c r="BE837" t="s">
        <v>15988</v>
      </c>
      <c r="BF837" t="str">
        <f>HYPERLINK("http://dx.doi.org/10.3390/d14110923","http://dx.doi.org/10.3390/d14110923")</f>
        <v>http://dx.doi.org/10.3390/d14110923</v>
      </c>
      <c r="BG837" t="s">
        <v>74</v>
      </c>
      <c r="BH837" t="s">
        <v>74</v>
      </c>
      <c r="BI837">
        <v>30</v>
      </c>
      <c r="BJ837" t="s">
        <v>305</v>
      </c>
      <c r="BK837" t="s">
        <v>104</v>
      </c>
      <c r="BL837" t="s">
        <v>306</v>
      </c>
      <c r="BM837" t="s">
        <v>15989</v>
      </c>
      <c r="BN837" t="s">
        <v>74</v>
      </c>
      <c r="BO837" t="s">
        <v>165</v>
      </c>
      <c r="BP837" t="s">
        <v>74</v>
      </c>
      <c r="BQ837" t="s">
        <v>74</v>
      </c>
      <c r="BR837" t="s">
        <v>108</v>
      </c>
      <c r="BS837" t="s">
        <v>15990</v>
      </c>
      <c r="BT837" t="str">
        <f>HYPERLINK("https%3A%2F%2Fwww.webofscience.com%2Fwos%2Fwoscc%2Ffull-record%2FWOS:000880885200001","View Full Record in Web of Science")</f>
        <v>View Full Record in Web of Science</v>
      </c>
    </row>
    <row r="838" spans="1:72" x14ac:dyDescent="0.15">
      <c r="A838" t="s">
        <v>72</v>
      </c>
      <c r="B838" t="s">
        <v>15991</v>
      </c>
      <c r="C838" t="s">
        <v>74</v>
      </c>
      <c r="D838" t="s">
        <v>74</v>
      </c>
      <c r="E838" t="s">
        <v>74</v>
      </c>
      <c r="F838" t="s">
        <v>15992</v>
      </c>
      <c r="G838" t="s">
        <v>74</v>
      </c>
      <c r="H838" t="s">
        <v>74</v>
      </c>
      <c r="I838" t="s">
        <v>15993</v>
      </c>
      <c r="J838" t="s">
        <v>15994</v>
      </c>
      <c r="K838" t="s">
        <v>74</v>
      </c>
      <c r="L838" t="s">
        <v>74</v>
      </c>
      <c r="M838" t="s">
        <v>78</v>
      </c>
      <c r="N838" t="s">
        <v>79</v>
      </c>
      <c r="O838" t="s">
        <v>74</v>
      </c>
      <c r="P838" t="s">
        <v>74</v>
      </c>
      <c r="Q838" t="s">
        <v>74</v>
      </c>
      <c r="R838" t="s">
        <v>74</v>
      </c>
      <c r="S838" t="s">
        <v>74</v>
      </c>
      <c r="T838" t="s">
        <v>15995</v>
      </c>
      <c r="U838" t="s">
        <v>15996</v>
      </c>
      <c r="V838" t="s">
        <v>15997</v>
      </c>
      <c r="W838" t="s">
        <v>15998</v>
      </c>
      <c r="X838" t="s">
        <v>15999</v>
      </c>
      <c r="Y838" t="s">
        <v>16000</v>
      </c>
      <c r="Z838" t="s">
        <v>16001</v>
      </c>
      <c r="AA838" t="s">
        <v>16002</v>
      </c>
      <c r="AB838" t="s">
        <v>74</v>
      </c>
      <c r="AC838" t="s">
        <v>16003</v>
      </c>
      <c r="AD838" t="s">
        <v>2611</v>
      </c>
      <c r="AE838" t="s">
        <v>16004</v>
      </c>
      <c r="AF838" t="s">
        <v>74</v>
      </c>
      <c r="AG838">
        <v>47</v>
      </c>
      <c r="AH838">
        <v>4</v>
      </c>
      <c r="AI838">
        <v>4</v>
      </c>
      <c r="AJ838">
        <v>13</v>
      </c>
      <c r="AK838">
        <v>52</v>
      </c>
      <c r="AL838" t="s">
        <v>4886</v>
      </c>
      <c r="AM838" t="s">
        <v>4887</v>
      </c>
      <c r="AN838" t="s">
        <v>4888</v>
      </c>
      <c r="AO838" t="s">
        <v>74</v>
      </c>
      <c r="AP838" t="s">
        <v>16005</v>
      </c>
      <c r="AQ838" t="s">
        <v>74</v>
      </c>
      <c r="AR838" t="s">
        <v>15994</v>
      </c>
      <c r="AS838" t="s">
        <v>16006</v>
      </c>
      <c r="AT838" t="s">
        <v>14975</v>
      </c>
      <c r="AU838">
        <v>2022</v>
      </c>
      <c r="AV838">
        <v>15</v>
      </c>
      <c r="AW838">
        <v>21</v>
      </c>
      <c r="AX838" t="s">
        <v>74</v>
      </c>
      <c r="AY838" t="s">
        <v>74</v>
      </c>
      <c r="AZ838" t="s">
        <v>74</v>
      </c>
      <c r="BA838" t="s">
        <v>74</v>
      </c>
      <c r="BB838" t="s">
        <v>74</v>
      </c>
      <c r="BC838" t="s">
        <v>74</v>
      </c>
      <c r="BD838">
        <v>7837</v>
      </c>
      <c r="BE838" t="s">
        <v>16007</v>
      </c>
      <c r="BF838" t="str">
        <f>HYPERLINK("http://dx.doi.org/10.3390/en15217837","http://dx.doi.org/10.3390/en15217837")</f>
        <v>http://dx.doi.org/10.3390/en15217837</v>
      </c>
      <c r="BG838" t="s">
        <v>74</v>
      </c>
      <c r="BH838" t="s">
        <v>74</v>
      </c>
      <c r="BI838">
        <v>17</v>
      </c>
      <c r="BJ838" t="s">
        <v>16008</v>
      </c>
      <c r="BK838" t="s">
        <v>104</v>
      </c>
      <c r="BL838" t="s">
        <v>16008</v>
      </c>
      <c r="BM838" t="s">
        <v>16009</v>
      </c>
      <c r="BN838" t="s">
        <v>74</v>
      </c>
      <c r="BO838" t="s">
        <v>165</v>
      </c>
      <c r="BP838" t="s">
        <v>74</v>
      </c>
      <c r="BQ838" t="s">
        <v>74</v>
      </c>
      <c r="BR838" t="s">
        <v>108</v>
      </c>
      <c r="BS838" t="s">
        <v>16010</v>
      </c>
      <c r="BT838" t="str">
        <f>HYPERLINK("https%3A%2F%2Fwww.webofscience.com%2Fwos%2Fwoscc%2Ffull-record%2FWOS:000881093500001","View Full Record in Web of Science")</f>
        <v>View Full Record in Web of Science</v>
      </c>
    </row>
    <row r="839" spans="1:72" x14ac:dyDescent="0.15">
      <c r="A839" t="s">
        <v>72</v>
      </c>
      <c r="B839" t="s">
        <v>16011</v>
      </c>
      <c r="C839" t="s">
        <v>74</v>
      </c>
      <c r="D839" t="s">
        <v>74</v>
      </c>
      <c r="E839" t="s">
        <v>74</v>
      </c>
      <c r="F839" t="s">
        <v>16012</v>
      </c>
      <c r="G839" t="s">
        <v>74</v>
      </c>
      <c r="H839" t="s">
        <v>74</v>
      </c>
      <c r="I839" t="s">
        <v>16013</v>
      </c>
      <c r="J839" t="s">
        <v>7410</v>
      </c>
      <c r="K839" t="s">
        <v>74</v>
      </c>
      <c r="L839" t="s">
        <v>74</v>
      </c>
      <c r="M839" t="s">
        <v>78</v>
      </c>
      <c r="N839" t="s">
        <v>79</v>
      </c>
      <c r="O839" t="s">
        <v>74</v>
      </c>
      <c r="P839" t="s">
        <v>74</v>
      </c>
      <c r="Q839" t="s">
        <v>74</v>
      </c>
      <c r="R839" t="s">
        <v>74</v>
      </c>
      <c r="S839" t="s">
        <v>74</v>
      </c>
      <c r="T839" t="s">
        <v>74</v>
      </c>
      <c r="U839" t="s">
        <v>16014</v>
      </c>
      <c r="V839" t="s">
        <v>16015</v>
      </c>
      <c r="W839" t="s">
        <v>16016</v>
      </c>
      <c r="X839" t="s">
        <v>16017</v>
      </c>
      <c r="Y839" t="s">
        <v>16018</v>
      </c>
      <c r="Z839" t="s">
        <v>16019</v>
      </c>
      <c r="AA839" t="s">
        <v>16020</v>
      </c>
      <c r="AB839" t="s">
        <v>16021</v>
      </c>
      <c r="AC839" t="s">
        <v>16022</v>
      </c>
      <c r="AD839" t="s">
        <v>16023</v>
      </c>
      <c r="AE839" t="s">
        <v>16024</v>
      </c>
      <c r="AF839" t="s">
        <v>74</v>
      </c>
      <c r="AG839">
        <v>36</v>
      </c>
      <c r="AH839">
        <v>3</v>
      </c>
      <c r="AI839">
        <v>3</v>
      </c>
      <c r="AJ839">
        <v>2</v>
      </c>
      <c r="AK839">
        <v>8</v>
      </c>
      <c r="AL839" t="s">
        <v>182</v>
      </c>
      <c r="AM839" t="s">
        <v>183</v>
      </c>
      <c r="AN839" t="s">
        <v>184</v>
      </c>
      <c r="AO839" t="s">
        <v>74</v>
      </c>
      <c r="AP839" t="s">
        <v>7422</v>
      </c>
      <c r="AQ839" t="s">
        <v>74</v>
      </c>
      <c r="AR839" t="s">
        <v>7423</v>
      </c>
      <c r="AS839" t="s">
        <v>7424</v>
      </c>
      <c r="AT839" t="s">
        <v>15339</v>
      </c>
      <c r="AU839">
        <v>2022</v>
      </c>
      <c r="AV839">
        <v>13</v>
      </c>
      <c r="AW839">
        <v>1</v>
      </c>
      <c r="AX839" t="s">
        <v>74</v>
      </c>
      <c r="AY839" t="s">
        <v>74</v>
      </c>
      <c r="AZ839" t="s">
        <v>74</v>
      </c>
      <c r="BA839" t="s">
        <v>74</v>
      </c>
      <c r="BB839" t="s">
        <v>74</v>
      </c>
      <c r="BC839" t="s">
        <v>74</v>
      </c>
      <c r="BD839">
        <v>6535</v>
      </c>
      <c r="BE839" t="s">
        <v>16025</v>
      </c>
      <c r="BF839" t="str">
        <f>HYPERLINK("http://dx.doi.org/10.1038/s41467-022-34046-6","http://dx.doi.org/10.1038/s41467-022-34046-6")</f>
        <v>http://dx.doi.org/10.1038/s41467-022-34046-6</v>
      </c>
      <c r="BG839" t="s">
        <v>74</v>
      </c>
      <c r="BH839" t="s">
        <v>74</v>
      </c>
      <c r="BI839">
        <v>6</v>
      </c>
      <c r="BJ839" t="s">
        <v>189</v>
      </c>
      <c r="BK839" t="s">
        <v>104</v>
      </c>
      <c r="BL839" t="s">
        <v>190</v>
      </c>
      <c r="BM839" t="s">
        <v>16026</v>
      </c>
      <c r="BN839">
        <v>36319627</v>
      </c>
      <c r="BO839" t="s">
        <v>3181</v>
      </c>
      <c r="BP839" t="s">
        <v>74</v>
      </c>
      <c r="BQ839" t="s">
        <v>74</v>
      </c>
      <c r="BR839" t="s">
        <v>108</v>
      </c>
      <c r="BS839" t="s">
        <v>16027</v>
      </c>
      <c r="BT839" t="str">
        <f>HYPERLINK("https%3A%2F%2Fwww.webofscience.com%2Fwos%2Fwoscc%2Ffull-record%2FWOS:000878427400010","View Full Record in Web of Science")</f>
        <v>View Full Record in Web of Science</v>
      </c>
    </row>
    <row r="840" spans="1:72" x14ac:dyDescent="0.15">
      <c r="A840" t="s">
        <v>72</v>
      </c>
      <c r="B840" t="s">
        <v>16028</v>
      </c>
      <c r="C840" t="s">
        <v>74</v>
      </c>
      <c r="D840" t="s">
        <v>74</v>
      </c>
      <c r="E840" t="s">
        <v>74</v>
      </c>
      <c r="F840" t="s">
        <v>16029</v>
      </c>
      <c r="G840" t="s">
        <v>74</v>
      </c>
      <c r="H840" t="s">
        <v>74</v>
      </c>
      <c r="I840" t="s">
        <v>16030</v>
      </c>
      <c r="J840" t="s">
        <v>5217</v>
      </c>
      <c r="K840" t="s">
        <v>74</v>
      </c>
      <c r="L840" t="s">
        <v>74</v>
      </c>
      <c r="M840" t="s">
        <v>78</v>
      </c>
      <c r="N840" t="s">
        <v>79</v>
      </c>
      <c r="O840" t="s">
        <v>74</v>
      </c>
      <c r="P840" t="s">
        <v>74</v>
      </c>
      <c r="Q840" t="s">
        <v>74</v>
      </c>
      <c r="R840" t="s">
        <v>74</v>
      </c>
      <c r="S840" t="s">
        <v>74</v>
      </c>
      <c r="T840" t="s">
        <v>16031</v>
      </c>
      <c r="U840" t="s">
        <v>16032</v>
      </c>
      <c r="V840" t="s">
        <v>16033</v>
      </c>
      <c r="W840" t="s">
        <v>16034</v>
      </c>
      <c r="X840" t="s">
        <v>16035</v>
      </c>
      <c r="Y840" t="s">
        <v>16036</v>
      </c>
      <c r="Z840" t="s">
        <v>16037</v>
      </c>
      <c r="AA840" t="s">
        <v>16038</v>
      </c>
      <c r="AB840" t="s">
        <v>16039</v>
      </c>
      <c r="AC840" t="s">
        <v>16040</v>
      </c>
      <c r="AD840" t="s">
        <v>16041</v>
      </c>
      <c r="AE840" t="s">
        <v>16042</v>
      </c>
      <c r="AF840" t="s">
        <v>74</v>
      </c>
      <c r="AG840">
        <v>43</v>
      </c>
      <c r="AH840">
        <v>1</v>
      </c>
      <c r="AI840">
        <v>2</v>
      </c>
      <c r="AJ840">
        <v>5</v>
      </c>
      <c r="AK840">
        <v>12</v>
      </c>
      <c r="AL840" t="s">
        <v>4886</v>
      </c>
      <c r="AM840" t="s">
        <v>4887</v>
      </c>
      <c r="AN840" t="s">
        <v>4888</v>
      </c>
      <c r="AO840" t="s">
        <v>74</v>
      </c>
      <c r="AP840" t="s">
        <v>5229</v>
      </c>
      <c r="AQ840" t="s">
        <v>74</v>
      </c>
      <c r="AR840" t="s">
        <v>5230</v>
      </c>
      <c r="AS840" t="s">
        <v>5231</v>
      </c>
      <c r="AT840" t="s">
        <v>14975</v>
      </c>
      <c r="AU840">
        <v>2022</v>
      </c>
      <c r="AV840">
        <v>14</v>
      </c>
      <c r="AW840">
        <v>21</v>
      </c>
      <c r="AX840" t="s">
        <v>74</v>
      </c>
      <c r="AY840" t="s">
        <v>74</v>
      </c>
      <c r="AZ840" t="s">
        <v>74</v>
      </c>
      <c r="BA840" t="s">
        <v>74</v>
      </c>
      <c r="BB840" t="s">
        <v>74</v>
      </c>
      <c r="BC840" t="s">
        <v>74</v>
      </c>
      <c r="BD840">
        <v>14324</v>
      </c>
      <c r="BE840" t="s">
        <v>16043</v>
      </c>
      <c r="BF840" t="str">
        <f>HYPERLINK("http://dx.doi.org/10.3390/su142114324","http://dx.doi.org/10.3390/su142114324")</f>
        <v>http://dx.doi.org/10.3390/su142114324</v>
      </c>
      <c r="BG840" t="s">
        <v>74</v>
      </c>
      <c r="BH840" t="s">
        <v>74</v>
      </c>
      <c r="BI840">
        <v>13</v>
      </c>
      <c r="BJ840" t="s">
        <v>5233</v>
      </c>
      <c r="BK840" t="s">
        <v>354</v>
      </c>
      <c r="BL840" t="s">
        <v>5234</v>
      </c>
      <c r="BM840" t="s">
        <v>16044</v>
      </c>
      <c r="BN840" t="s">
        <v>74</v>
      </c>
      <c r="BO840" t="s">
        <v>1464</v>
      </c>
      <c r="BP840" t="s">
        <v>74</v>
      </c>
      <c r="BQ840" t="s">
        <v>74</v>
      </c>
      <c r="BR840" t="s">
        <v>108</v>
      </c>
      <c r="BS840" t="s">
        <v>16045</v>
      </c>
      <c r="BT840" t="str">
        <f>HYPERLINK("https%3A%2F%2Fwww.webofscience.com%2Fwos%2Fwoscc%2Ffull-record%2FWOS:000882271000001","View Full Record in Web of Science")</f>
        <v>View Full Record in Web of Science</v>
      </c>
    </row>
    <row r="841" spans="1:72" x14ac:dyDescent="0.15">
      <c r="A841" t="s">
        <v>72</v>
      </c>
      <c r="B841" t="s">
        <v>16046</v>
      </c>
      <c r="C841" t="s">
        <v>74</v>
      </c>
      <c r="D841" t="s">
        <v>74</v>
      </c>
      <c r="E841" t="s">
        <v>74</v>
      </c>
      <c r="F841" t="s">
        <v>16047</v>
      </c>
      <c r="G841" t="s">
        <v>74</v>
      </c>
      <c r="H841" t="s">
        <v>74</v>
      </c>
      <c r="I841" t="s">
        <v>16048</v>
      </c>
      <c r="J841" t="s">
        <v>5540</v>
      </c>
      <c r="K841" t="s">
        <v>74</v>
      </c>
      <c r="L841" t="s">
        <v>74</v>
      </c>
      <c r="M841" t="s">
        <v>78</v>
      </c>
      <c r="N841" t="s">
        <v>79</v>
      </c>
      <c r="O841" t="s">
        <v>74</v>
      </c>
      <c r="P841" t="s">
        <v>74</v>
      </c>
      <c r="Q841" t="s">
        <v>74</v>
      </c>
      <c r="R841" t="s">
        <v>74</v>
      </c>
      <c r="S841" t="s">
        <v>74</v>
      </c>
      <c r="T841" t="s">
        <v>16049</v>
      </c>
      <c r="U841" t="s">
        <v>16050</v>
      </c>
      <c r="V841" t="s">
        <v>16051</v>
      </c>
      <c r="W841" t="s">
        <v>16052</v>
      </c>
      <c r="X841" t="s">
        <v>16053</v>
      </c>
      <c r="Y841" t="s">
        <v>16054</v>
      </c>
      <c r="Z841" t="s">
        <v>16055</v>
      </c>
      <c r="AA841" t="s">
        <v>16056</v>
      </c>
      <c r="AB841" t="s">
        <v>16057</v>
      </c>
      <c r="AC841" t="s">
        <v>16058</v>
      </c>
      <c r="AD841" t="s">
        <v>16059</v>
      </c>
      <c r="AE841" t="s">
        <v>16060</v>
      </c>
      <c r="AF841" t="s">
        <v>74</v>
      </c>
      <c r="AG841">
        <v>174</v>
      </c>
      <c r="AH841">
        <v>3</v>
      </c>
      <c r="AI841">
        <v>3</v>
      </c>
      <c r="AJ841">
        <v>4</v>
      </c>
      <c r="AK841">
        <v>16</v>
      </c>
      <c r="AL841" t="s">
        <v>2255</v>
      </c>
      <c r="AM841" t="s">
        <v>2256</v>
      </c>
      <c r="AN841" t="s">
        <v>2257</v>
      </c>
      <c r="AO841" t="s">
        <v>5553</v>
      </c>
      <c r="AP841" t="s">
        <v>5554</v>
      </c>
      <c r="AQ841" t="s">
        <v>74</v>
      </c>
      <c r="AR841" t="s">
        <v>5555</v>
      </c>
      <c r="AS841" t="s">
        <v>5556</v>
      </c>
      <c r="AT841" t="s">
        <v>14975</v>
      </c>
      <c r="AU841">
        <v>2022</v>
      </c>
      <c r="AV841">
        <v>169</v>
      </c>
      <c r="AW841">
        <v>11</v>
      </c>
      <c r="AX841" t="s">
        <v>74</v>
      </c>
      <c r="AY841" t="s">
        <v>74</v>
      </c>
      <c r="AZ841" t="s">
        <v>74</v>
      </c>
      <c r="BA841" t="s">
        <v>74</v>
      </c>
      <c r="BB841" t="s">
        <v>74</v>
      </c>
      <c r="BC841" t="s">
        <v>74</v>
      </c>
      <c r="BD841">
        <v>150</v>
      </c>
      <c r="BE841" t="s">
        <v>16061</v>
      </c>
      <c r="BF841" t="str">
        <f>HYPERLINK("http://dx.doi.org/10.1007/s00227-022-04131-x","http://dx.doi.org/10.1007/s00227-022-04131-x")</f>
        <v>http://dx.doi.org/10.1007/s00227-022-04131-x</v>
      </c>
      <c r="BG841" t="s">
        <v>74</v>
      </c>
      <c r="BH841" t="s">
        <v>74</v>
      </c>
      <c r="BI841">
        <v>18</v>
      </c>
      <c r="BJ841" t="s">
        <v>2572</v>
      </c>
      <c r="BK841" t="s">
        <v>104</v>
      </c>
      <c r="BL841" t="s">
        <v>2572</v>
      </c>
      <c r="BM841" t="s">
        <v>16062</v>
      </c>
      <c r="BN841" t="s">
        <v>74</v>
      </c>
      <c r="BO841" t="s">
        <v>16063</v>
      </c>
      <c r="BP841" t="s">
        <v>74</v>
      </c>
      <c r="BQ841" t="s">
        <v>74</v>
      </c>
      <c r="BR841" t="s">
        <v>108</v>
      </c>
      <c r="BS841" t="s">
        <v>16064</v>
      </c>
      <c r="BT841" t="str">
        <f>HYPERLINK("https%3A%2F%2Fwww.webofscience.com%2Fwos%2Fwoscc%2Ffull-record%2FWOS:000879306200001","View Full Record in Web of Science")</f>
        <v>View Full Record in Web of Science</v>
      </c>
    </row>
    <row r="842" spans="1:72" x14ac:dyDescent="0.15">
      <c r="A842" t="s">
        <v>72</v>
      </c>
      <c r="B842" t="s">
        <v>16065</v>
      </c>
      <c r="C842" t="s">
        <v>74</v>
      </c>
      <c r="D842" t="s">
        <v>74</v>
      </c>
      <c r="E842" t="s">
        <v>74</v>
      </c>
      <c r="F842" t="s">
        <v>16066</v>
      </c>
      <c r="G842" t="s">
        <v>74</v>
      </c>
      <c r="H842" t="s">
        <v>74</v>
      </c>
      <c r="I842" t="s">
        <v>16067</v>
      </c>
      <c r="J842" t="s">
        <v>16068</v>
      </c>
      <c r="K842" t="s">
        <v>74</v>
      </c>
      <c r="L842" t="s">
        <v>74</v>
      </c>
      <c r="M842" t="s">
        <v>78</v>
      </c>
      <c r="N842" t="s">
        <v>79</v>
      </c>
      <c r="O842" t="s">
        <v>74</v>
      </c>
      <c r="P842" t="s">
        <v>74</v>
      </c>
      <c r="Q842" t="s">
        <v>74</v>
      </c>
      <c r="R842" t="s">
        <v>74</v>
      </c>
      <c r="S842" t="s">
        <v>74</v>
      </c>
      <c r="T842" t="s">
        <v>16069</v>
      </c>
      <c r="U842" t="s">
        <v>16070</v>
      </c>
      <c r="V842" t="s">
        <v>16071</v>
      </c>
      <c r="W842" t="s">
        <v>16072</v>
      </c>
      <c r="X842" t="s">
        <v>16073</v>
      </c>
      <c r="Y842" t="s">
        <v>16074</v>
      </c>
      <c r="Z842" t="s">
        <v>16075</v>
      </c>
      <c r="AA842" t="s">
        <v>16076</v>
      </c>
      <c r="AB842" t="s">
        <v>16077</v>
      </c>
      <c r="AC842" t="s">
        <v>16078</v>
      </c>
      <c r="AD842" t="s">
        <v>16079</v>
      </c>
      <c r="AE842" t="s">
        <v>16080</v>
      </c>
      <c r="AF842" t="s">
        <v>74</v>
      </c>
      <c r="AG842">
        <v>63</v>
      </c>
      <c r="AH842">
        <v>1</v>
      </c>
      <c r="AI842">
        <v>1</v>
      </c>
      <c r="AJ842">
        <v>8</v>
      </c>
      <c r="AK842">
        <v>20</v>
      </c>
      <c r="AL842" t="s">
        <v>5623</v>
      </c>
      <c r="AM842" t="s">
        <v>5624</v>
      </c>
      <c r="AN842" t="s">
        <v>5625</v>
      </c>
      <c r="AO842" t="s">
        <v>16081</v>
      </c>
      <c r="AP842" t="s">
        <v>16082</v>
      </c>
      <c r="AQ842" t="s">
        <v>74</v>
      </c>
      <c r="AR842" t="s">
        <v>16083</v>
      </c>
      <c r="AS842" t="s">
        <v>16084</v>
      </c>
      <c r="AT842" t="s">
        <v>15339</v>
      </c>
      <c r="AU842">
        <v>2022</v>
      </c>
      <c r="AV842">
        <v>31</v>
      </c>
      <c r="AW842">
        <v>11</v>
      </c>
      <c r="AX842" t="s">
        <v>74</v>
      </c>
      <c r="AY842" t="s">
        <v>74</v>
      </c>
      <c r="AZ842" t="s">
        <v>74</v>
      </c>
      <c r="BA842" t="s">
        <v>74</v>
      </c>
      <c r="BB842" t="s">
        <v>74</v>
      </c>
      <c r="BC842" t="s">
        <v>74</v>
      </c>
      <c r="BD842">
        <v>115006</v>
      </c>
      <c r="BE842" t="s">
        <v>16085</v>
      </c>
      <c r="BF842" t="str">
        <f>HYPERLINK("http://dx.doi.org/10.1088/1361-6595/ac9d62","http://dx.doi.org/10.1088/1361-6595/ac9d62")</f>
        <v>http://dx.doi.org/10.1088/1361-6595/ac9d62</v>
      </c>
      <c r="BG842" t="s">
        <v>74</v>
      </c>
      <c r="BH842" t="s">
        <v>74</v>
      </c>
      <c r="BI842">
        <v>15</v>
      </c>
      <c r="BJ842" t="s">
        <v>12388</v>
      </c>
      <c r="BK842" t="s">
        <v>104</v>
      </c>
      <c r="BL842" t="s">
        <v>163</v>
      </c>
      <c r="BM842" t="s">
        <v>16086</v>
      </c>
      <c r="BN842" t="s">
        <v>74</v>
      </c>
      <c r="BO842" t="s">
        <v>107</v>
      </c>
      <c r="BP842" t="s">
        <v>74</v>
      </c>
      <c r="BQ842" t="s">
        <v>74</v>
      </c>
      <c r="BR842" t="s">
        <v>108</v>
      </c>
      <c r="BS842" t="s">
        <v>16087</v>
      </c>
      <c r="BT842" t="str">
        <f>HYPERLINK("https%3A%2F%2Fwww.webofscience.com%2Fwos%2Fwoscc%2Ffull-record%2FWOS:000882154400001","View Full Record in Web of Science")</f>
        <v>View Full Record in Web of Science</v>
      </c>
    </row>
    <row r="843" spans="1:72" x14ac:dyDescent="0.15">
      <c r="A843" t="s">
        <v>72</v>
      </c>
      <c r="B843" t="s">
        <v>16088</v>
      </c>
      <c r="C843" t="s">
        <v>74</v>
      </c>
      <c r="D843" t="s">
        <v>74</v>
      </c>
      <c r="E843" t="s">
        <v>74</v>
      </c>
      <c r="F843" t="s">
        <v>16089</v>
      </c>
      <c r="G843" t="s">
        <v>74</v>
      </c>
      <c r="H843" t="s">
        <v>74</v>
      </c>
      <c r="I843" t="s">
        <v>16090</v>
      </c>
      <c r="J843" t="s">
        <v>5701</v>
      </c>
      <c r="K843" t="s">
        <v>74</v>
      </c>
      <c r="L843" t="s">
        <v>74</v>
      </c>
      <c r="M843" t="s">
        <v>78</v>
      </c>
      <c r="N843" t="s">
        <v>79</v>
      </c>
      <c r="O843" t="s">
        <v>74</v>
      </c>
      <c r="P843" t="s">
        <v>74</v>
      </c>
      <c r="Q843" t="s">
        <v>74</v>
      </c>
      <c r="R843" t="s">
        <v>74</v>
      </c>
      <c r="S843" t="s">
        <v>74</v>
      </c>
      <c r="T843" t="s">
        <v>16091</v>
      </c>
      <c r="U843" t="s">
        <v>16092</v>
      </c>
      <c r="V843" t="s">
        <v>16093</v>
      </c>
      <c r="W843" t="s">
        <v>16094</v>
      </c>
      <c r="X843" t="s">
        <v>16095</v>
      </c>
      <c r="Y843" t="s">
        <v>12736</v>
      </c>
      <c r="Z843" t="s">
        <v>16096</v>
      </c>
      <c r="AA843" t="s">
        <v>16097</v>
      </c>
      <c r="AB843" t="s">
        <v>16098</v>
      </c>
      <c r="AC843" t="s">
        <v>16099</v>
      </c>
      <c r="AD843" t="s">
        <v>16100</v>
      </c>
      <c r="AE843" t="s">
        <v>16101</v>
      </c>
      <c r="AF843" t="s">
        <v>74</v>
      </c>
      <c r="AG843">
        <v>64</v>
      </c>
      <c r="AH843">
        <v>2</v>
      </c>
      <c r="AI843">
        <v>2</v>
      </c>
      <c r="AJ843">
        <v>3</v>
      </c>
      <c r="AK843">
        <v>18</v>
      </c>
      <c r="AL843" t="s">
        <v>5623</v>
      </c>
      <c r="AM843" t="s">
        <v>5624</v>
      </c>
      <c r="AN843" t="s">
        <v>5625</v>
      </c>
      <c r="AO843" t="s">
        <v>5714</v>
      </c>
      <c r="AP843" t="s">
        <v>74</v>
      </c>
      <c r="AQ843" t="s">
        <v>74</v>
      </c>
      <c r="AR843" t="s">
        <v>5715</v>
      </c>
      <c r="AS843" t="s">
        <v>5716</v>
      </c>
      <c r="AT843" t="s">
        <v>15339</v>
      </c>
      <c r="AU843">
        <v>2022</v>
      </c>
      <c r="AV843">
        <v>17</v>
      </c>
      <c r="AW843">
        <v>11</v>
      </c>
      <c r="AX843" t="s">
        <v>74</v>
      </c>
      <c r="AY843" t="s">
        <v>74</v>
      </c>
      <c r="AZ843" t="s">
        <v>74</v>
      </c>
      <c r="BA843" t="s">
        <v>74</v>
      </c>
      <c r="BB843" t="s">
        <v>74</v>
      </c>
      <c r="BC843" t="s">
        <v>74</v>
      </c>
      <c r="BD843">
        <v>114026</v>
      </c>
      <c r="BE843" t="s">
        <v>16102</v>
      </c>
      <c r="BF843" t="str">
        <f>HYPERLINK("http://dx.doi.org/10.1088/1748-9326/ac9c73","http://dx.doi.org/10.1088/1748-9326/ac9c73")</f>
        <v>http://dx.doi.org/10.1088/1748-9326/ac9c73</v>
      </c>
      <c r="BG843" t="s">
        <v>74</v>
      </c>
      <c r="BH843" t="s">
        <v>74</v>
      </c>
      <c r="BI843">
        <v>14</v>
      </c>
      <c r="BJ843" t="s">
        <v>5429</v>
      </c>
      <c r="BK843" t="s">
        <v>104</v>
      </c>
      <c r="BL843" t="s">
        <v>355</v>
      </c>
      <c r="BM843" t="s">
        <v>16103</v>
      </c>
      <c r="BN843" t="s">
        <v>74</v>
      </c>
      <c r="BO843" t="s">
        <v>3181</v>
      </c>
      <c r="BP843" t="s">
        <v>74</v>
      </c>
      <c r="BQ843" t="s">
        <v>74</v>
      </c>
      <c r="BR843" t="s">
        <v>108</v>
      </c>
      <c r="BS843" t="s">
        <v>16104</v>
      </c>
      <c r="BT843" t="str">
        <f>HYPERLINK("https%3A%2F%2Fwww.webofscience.com%2Fwos%2Fwoscc%2Ffull-record%2FWOS:000877879700001","View Full Record in Web of Science")</f>
        <v>View Full Record in Web of Science</v>
      </c>
    </row>
    <row r="844" spans="1:72" x14ac:dyDescent="0.15">
      <c r="A844" t="s">
        <v>72</v>
      </c>
      <c r="B844" t="s">
        <v>16105</v>
      </c>
      <c r="C844" t="s">
        <v>74</v>
      </c>
      <c r="D844" t="s">
        <v>74</v>
      </c>
      <c r="E844" t="s">
        <v>74</v>
      </c>
      <c r="F844" t="s">
        <v>16106</v>
      </c>
      <c r="G844" t="s">
        <v>74</v>
      </c>
      <c r="H844" t="s">
        <v>74</v>
      </c>
      <c r="I844" t="s">
        <v>16107</v>
      </c>
      <c r="J844" t="s">
        <v>8444</v>
      </c>
      <c r="K844" t="s">
        <v>74</v>
      </c>
      <c r="L844" t="s">
        <v>74</v>
      </c>
      <c r="M844" t="s">
        <v>78</v>
      </c>
      <c r="N844" t="s">
        <v>79</v>
      </c>
      <c r="O844" t="s">
        <v>74</v>
      </c>
      <c r="P844" t="s">
        <v>74</v>
      </c>
      <c r="Q844" t="s">
        <v>74</v>
      </c>
      <c r="R844" t="s">
        <v>74</v>
      </c>
      <c r="S844" t="s">
        <v>74</v>
      </c>
      <c r="T844" t="s">
        <v>74</v>
      </c>
      <c r="U844" t="s">
        <v>16108</v>
      </c>
      <c r="V844" t="s">
        <v>16109</v>
      </c>
      <c r="W844" t="s">
        <v>16110</v>
      </c>
      <c r="X844" t="s">
        <v>16111</v>
      </c>
      <c r="Y844" t="s">
        <v>16112</v>
      </c>
      <c r="Z844" t="s">
        <v>16113</v>
      </c>
      <c r="AA844" t="s">
        <v>16114</v>
      </c>
      <c r="AB844" t="s">
        <v>16115</v>
      </c>
      <c r="AC844" t="s">
        <v>16116</v>
      </c>
      <c r="AD844" t="s">
        <v>16117</v>
      </c>
      <c r="AE844" t="s">
        <v>16118</v>
      </c>
      <c r="AF844" t="s">
        <v>74</v>
      </c>
      <c r="AG844">
        <v>61</v>
      </c>
      <c r="AH844">
        <v>2</v>
      </c>
      <c r="AI844">
        <v>2</v>
      </c>
      <c r="AJ844">
        <v>1</v>
      </c>
      <c r="AK844">
        <v>7</v>
      </c>
      <c r="AL844" t="s">
        <v>126</v>
      </c>
      <c r="AM844" t="s">
        <v>127</v>
      </c>
      <c r="AN844" t="s">
        <v>128</v>
      </c>
      <c r="AO844" t="s">
        <v>8456</v>
      </c>
      <c r="AP844" t="s">
        <v>8457</v>
      </c>
      <c r="AQ844" t="s">
        <v>74</v>
      </c>
      <c r="AR844" t="s">
        <v>8458</v>
      </c>
      <c r="AS844" t="s">
        <v>8459</v>
      </c>
      <c r="AT844" t="s">
        <v>15339</v>
      </c>
      <c r="AU844">
        <v>2022</v>
      </c>
      <c r="AV844">
        <v>22</v>
      </c>
      <c r="AW844">
        <v>21</v>
      </c>
      <c r="AX844" t="s">
        <v>74</v>
      </c>
      <c r="AY844" t="s">
        <v>74</v>
      </c>
      <c r="AZ844" t="s">
        <v>74</v>
      </c>
      <c r="BA844" t="s">
        <v>74</v>
      </c>
      <c r="BB844">
        <v>13915</v>
      </c>
      <c r="BC844">
        <v>13934</v>
      </c>
      <c r="BD844" t="s">
        <v>74</v>
      </c>
      <c r="BE844" t="s">
        <v>16119</v>
      </c>
      <c r="BF844" t="str">
        <f>HYPERLINK("http://dx.doi.org/10.5194/acp-22-13915-2022","http://dx.doi.org/10.5194/acp-22-13915-2022")</f>
        <v>http://dx.doi.org/10.5194/acp-22-13915-2022</v>
      </c>
      <c r="BG844" t="s">
        <v>74</v>
      </c>
      <c r="BH844" t="s">
        <v>74</v>
      </c>
      <c r="BI844">
        <v>20</v>
      </c>
      <c r="BJ844" t="s">
        <v>5429</v>
      </c>
      <c r="BK844" t="s">
        <v>104</v>
      </c>
      <c r="BL844" t="s">
        <v>355</v>
      </c>
      <c r="BM844" t="s">
        <v>16120</v>
      </c>
      <c r="BN844" t="s">
        <v>74</v>
      </c>
      <c r="BO844" t="s">
        <v>5482</v>
      </c>
      <c r="BP844" t="s">
        <v>74</v>
      </c>
      <c r="BQ844" t="s">
        <v>74</v>
      </c>
      <c r="BR844" t="s">
        <v>108</v>
      </c>
      <c r="BS844" t="s">
        <v>16121</v>
      </c>
      <c r="BT844" t="str">
        <f>HYPERLINK("https%3A%2F%2Fwww.webofscience.com%2Fwos%2Fwoscc%2Ffull-record%2FWOS:000877090400001","View Full Record in Web of Science")</f>
        <v>View Full Record in Web of Science</v>
      </c>
    </row>
    <row r="845" spans="1:72" x14ac:dyDescent="0.15">
      <c r="A845" t="s">
        <v>72</v>
      </c>
      <c r="B845" t="s">
        <v>16122</v>
      </c>
      <c r="C845" t="s">
        <v>74</v>
      </c>
      <c r="D845" t="s">
        <v>74</v>
      </c>
      <c r="E845" t="s">
        <v>74</v>
      </c>
      <c r="F845" t="s">
        <v>16123</v>
      </c>
      <c r="G845" t="s">
        <v>74</v>
      </c>
      <c r="H845" t="s">
        <v>74</v>
      </c>
      <c r="I845" t="s">
        <v>16124</v>
      </c>
      <c r="J845" t="s">
        <v>2248</v>
      </c>
      <c r="K845" t="s">
        <v>74</v>
      </c>
      <c r="L845" t="s">
        <v>74</v>
      </c>
      <c r="M845" t="s">
        <v>78</v>
      </c>
      <c r="N845" t="s">
        <v>79</v>
      </c>
      <c r="O845" t="s">
        <v>74</v>
      </c>
      <c r="P845" t="s">
        <v>74</v>
      </c>
      <c r="Q845" t="s">
        <v>74</v>
      </c>
      <c r="R845" t="s">
        <v>74</v>
      </c>
      <c r="S845" t="s">
        <v>74</v>
      </c>
      <c r="T845" t="s">
        <v>16125</v>
      </c>
      <c r="U845" t="s">
        <v>16126</v>
      </c>
      <c r="V845" t="s">
        <v>16127</v>
      </c>
      <c r="W845" t="s">
        <v>16128</v>
      </c>
      <c r="X845" t="s">
        <v>16129</v>
      </c>
      <c r="Y845" t="s">
        <v>16130</v>
      </c>
      <c r="Z845" t="s">
        <v>16131</v>
      </c>
      <c r="AA845" t="s">
        <v>16132</v>
      </c>
      <c r="AB845" t="s">
        <v>16133</v>
      </c>
      <c r="AC845" t="s">
        <v>16134</v>
      </c>
      <c r="AD845" t="s">
        <v>16135</v>
      </c>
      <c r="AE845" t="s">
        <v>16136</v>
      </c>
      <c r="AF845" t="s">
        <v>74</v>
      </c>
      <c r="AG845">
        <v>66</v>
      </c>
      <c r="AH845">
        <v>3</v>
      </c>
      <c r="AI845">
        <v>3</v>
      </c>
      <c r="AJ845">
        <v>1</v>
      </c>
      <c r="AK845">
        <v>9</v>
      </c>
      <c r="AL845" t="s">
        <v>2255</v>
      </c>
      <c r="AM845" t="s">
        <v>2256</v>
      </c>
      <c r="AN845" t="s">
        <v>2257</v>
      </c>
      <c r="AO845" t="s">
        <v>2258</v>
      </c>
      <c r="AP845" t="s">
        <v>2259</v>
      </c>
      <c r="AQ845" t="s">
        <v>74</v>
      </c>
      <c r="AR845" t="s">
        <v>2260</v>
      </c>
      <c r="AS845" t="s">
        <v>2261</v>
      </c>
      <c r="AT845" t="s">
        <v>9001</v>
      </c>
      <c r="AU845">
        <v>2022</v>
      </c>
      <c r="AV845">
        <v>72</v>
      </c>
      <c r="AW845" t="s">
        <v>14552</v>
      </c>
      <c r="AX845" t="s">
        <v>74</v>
      </c>
      <c r="AY845" t="s">
        <v>74</v>
      </c>
      <c r="AZ845" t="s">
        <v>74</v>
      </c>
      <c r="BA845" t="s">
        <v>74</v>
      </c>
      <c r="BB845">
        <v>785</v>
      </c>
      <c r="BC845">
        <v>800</v>
      </c>
      <c r="BD845" t="s">
        <v>74</v>
      </c>
      <c r="BE845" t="s">
        <v>16137</v>
      </c>
      <c r="BF845" t="str">
        <f>HYPERLINK("http://dx.doi.org/10.1007/s10236-022-01531-x","http://dx.doi.org/10.1007/s10236-022-01531-x")</f>
        <v>http://dx.doi.org/10.1007/s10236-022-01531-x</v>
      </c>
      <c r="BG845" t="s">
        <v>74</v>
      </c>
      <c r="BH845" t="s">
        <v>11396</v>
      </c>
      <c r="BI845">
        <v>16</v>
      </c>
      <c r="BJ845" t="s">
        <v>403</v>
      </c>
      <c r="BK845" t="s">
        <v>104</v>
      </c>
      <c r="BL845" t="s">
        <v>403</v>
      </c>
      <c r="BM845" t="s">
        <v>16138</v>
      </c>
      <c r="BN845" t="s">
        <v>74</v>
      </c>
      <c r="BO845" t="s">
        <v>74</v>
      </c>
      <c r="BP845" t="s">
        <v>74</v>
      </c>
      <c r="BQ845" t="s">
        <v>74</v>
      </c>
      <c r="BR845" t="s">
        <v>108</v>
      </c>
      <c r="BS845" t="s">
        <v>16139</v>
      </c>
      <c r="BT845" t="str">
        <f>HYPERLINK("https%3A%2F%2Fwww.webofscience.com%2Fwos%2Fwoscc%2Ffull-record%2FWOS:000876900400001","View Full Record in Web of Science")</f>
        <v>View Full Record in Web of Science</v>
      </c>
    </row>
    <row r="846" spans="1:72" x14ac:dyDescent="0.15">
      <c r="A846" t="s">
        <v>72</v>
      </c>
      <c r="B846" t="s">
        <v>16140</v>
      </c>
      <c r="C846" t="s">
        <v>74</v>
      </c>
      <c r="D846" t="s">
        <v>74</v>
      </c>
      <c r="E846" t="s">
        <v>74</v>
      </c>
      <c r="F846" t="s">
        <v>16141</v>
      </c>
      <c r="G846" t="s">
        <v>74</v>
      </c>
      <c r="H846" t="s">
        <v>74</v>
      </c>
      <c r="I846" t="s">
        <v>16142</v>
      </c>
      <c r="J846" t="s">
        <v>5701</v>
      </c>
      <c r="K846" t="s">
        <v>74</v>
      </c>
      <c r="L846" t="s">
        <v>74</v>
      </c>
      <c r="M846" t="s">
        <v>78</v>
      </c>
      <c r="N846" t="s">
        <v>79</v>
      </c>
      <c r="O846" t="s">
        <v>74</v>
      </c>
      <c r="P846" t="s">
        <v>74</v>
      </c>
      <c r="Q846" t="s">
        <v>74</v>
      </c>
      <c r="R846" t="s">
        <v>74</v>
      </c>
      <c r="S846" t="s">
        <v>74</v>
      </c>
      <c r="T846" t="s">
        <v>16143</v>
      </c>
      <c r="U846" t="s">
        <v>16144</v>
      </c>
      <c r="V846" t="s">
        <v>16145</v>
      </c>
      <c r="W846" t="s">
        <v>16146</v>
      </c>
      <c r="X846" t="s">
        <v>1287</v>
      </c>
      <c r="Y846" t="s">
        <v>16147</v>
      </c>
      <c r="Z846" t="s">
        <v>16148</v>
      </c>
      <c r="AA846" t="s">
        <v>16149</v>
      </c>
      <c r="AB846" t="s">
        <v>16150</v>
      </c>
      <c r="AC846" t="s">
        <v>16151</v>
      </c>
      <c r="AD846" t="s">
        <v>1290</v>
      </c>
      <c r="AE846" t="s">
        <v>16152</v>
      </c>
      <c r="AF846" t="s">
        <v>74</v>
      </c>
      <c r="AG846">
        <v>42</v>
      </c>
      <c r="AH846">
        <v>1</v>
      </c>
      <c r="AI846">
        <v>2</v>
      </c>
      <c r="AJ846">
        <v>2</v>
      </c>
      <c r="AK846">
        <v>15</v>
      </c>
      <c r="AL846" t="s">
        <v>5623</v>
      </c>
      <c r="AM846" t="s">
        <v>5624</v>
      </c>
      <c r="AN846" t="s">
        <v>5625</v>
      </c>
      <c r="AO846" t="s">
        <v>5714</v>
      </c>
      <c r="AP846" t="s">
        <v>74</v>
      </c>
      <c r="AQ846" t="s">
        <v>74</v>
      </c>
      <c r="AR846" t="s">
        <v>5715</v>
      </c>
      <c r="AS846" t="s">
        <v>5716</v>
      </c>
      <c r="AT846" t="s">
        <v>15339</v>
      </c>
      <c r="AU846">
        <v>2022</v>
      </c>
      <c r="AV846">
        <v>17</v>
      </c>
      <c r="AW846">
        <v>11</v>
      </c>
      <c r="AX846" t="s">
        <v>74</v>
      </c>
      <c r="AY846" t="s">
        <v>74</v>
      </c>
      <c r="AZ846" t="s">
        <v>74</v>
      </c>
      <c r="BA846" t="s">
        <v>74</v>
      </c>
      <c r="BB846" t="s">
        <v>74</v>
      </c>
      <c r="BC846" t="s">
        <v>74</v>
      </c>
      <c r="BD846">
        <v>114022</v>
      </c>
      <c r="BE846" t="s">
        <v>16153</v>
      </c>
      <c r="BF846" t="str">
        <f>HYPERLINK("http://dx.doi.org/10.1088/1748-9326/ac9a5f","http://dx.doi.org/10.1088/1748-9326/ac9a5f")</f>
        <v>http://dx.doi.org/10.1088/1748-9326/ac9a5f</v>
      </c>
      <c r="BG846" t="s">
        <v>74</v>
      </c>
      <c r="BH846" t="s">
        <v>74</v>
      </c>
      <c r="BI846">
        <v>8</v>
      </c>
      <c r="BJ846" t="s">
        <v>5429</v>
      </c>
      <c r="BK846" t="s">
        <v>104</v>
      </c>
      <c r="BL846" t="s">
        <v>355</v>
      </c>
      <c r="BM846" t="s">
        <v>16154</v>
      </c>
      <c r="BN846" t="s">
        <v>74</v>
      </c>
      <c r="BO846" t="s">
        <v>165</v>
      </c>
      <c r="BP846" t="s">
        <v>74</v>
      </c>
      <c r="BQ846" t="s">
        <v>74</v>
      </c>
      <c r="BR846" t="s">
        <v>108</v>
      </c>
      <c r="BS846" t="s">
        <v>16155</v>
      </c>
      <c r="BT846" t="str">
        <f>HYPERLINK("https%3A%2F%2Fwww.webofscience.com%2Fwos%2Fwoscc%2Ffull-record%2FWOS:000875346900001","View Full Record in Web of Science")</f>
        <v>View Full Record in Web of Science</v>
      </c>
    </row>
    <row r="847" spans="1:72" x14ac:dyDescent="0.15">
      <c r="A847" t="s">
        <v>72</v>
      </c>
      <c r="B847" t="s">
        <v>16156</v>
      </c>
      <c r="C847" t="s">
        <v>74</v>
      </c>
      <c r="D847" t="s">
        <v>74</v>
      </c>
      <c r="E847" t="s">
        <v>74</v>
      </c>
      <c r="F847" t="s">
        <v>16157</v>
      </c>
      <c r="G847" t="s">
        <v>74</v>
      </c>
      <c r="H847" t="s">
        <v>74</v>
      </c>
      <c r="I847" t="s">
        <v>16158</v>
      </c>
      <c r="J847" t="s">
        <v>5540</v>
      </c>
      <c r="K847" t="s">
        <v>74</v>
      </c>
      <c r="L847" t="s">
        <v>74</v>
      </c>
      <c r="M847" t="s">
        <v>78</v>
      </c>
      <c r="N847" t="s">
        <v>79</v>
      </c>
      <c r="O847" t="s">
        <v>74</v>
      </c>
      <c r="P847" t="s">
        <v>74</v>
      </c>
      <c r="Q847" t="s">
        <v>74</v>
      </c>
      <c r="R847" t="s">
        <v>74</v>
      </c>
      <c r="S847" t="s">
        <v>74</v>
      </c>
      <c r="T847" t="s">
        <v>16159</v>
      </c>
      <c r="U847" t="s">
        <v>16160</v>
      </c>
      <c r="V847" t="s">
        <v>16161</v>
      </c>
      <c r="W847" t="s">
        <v>16162</v>
      </c>
      <c r="X847" t="s">
        <v>16163</v>
      </c>
      <c r="Y847" t="s">
        <v>16164</v>
      </c>
      <c r="Z847" t="s">
        <v>16165</v>
      </c>
      <c r="AA847" t="s">
        <v>16166</v>
      </c>
      <c r="AB847" t="s">
        <v>16167</v>
      </c>
      <c r="AC847" t="s">
        <v>16168</v>
      </c>
      <c r="AD847" t="s">
        <v>16169</v>
      </c>
      <c r="AE847" t="s">
        <v>16170</v>
      </c>
      <c r="AF847" t="s">
        <v>74</v>
      </c>
      <c r="AG847">
        <v>28</v>
      </c>
      <c r="AH847">
        <v>0</v>
      </c>
      <c r="AI847">
        <v>0</v>
      </c>
      <c r="AJ847">
        <v>1</v>
      </c>
      <c r="AK847">
        <v>2</v>
      </c>
      <c r="AL847" t="s">
        <v>2255</v>
      </c>
      <c r="AM847" t="s">
        <v>2256</v>
      </c>
      <c r="AN847" t="s">
        <v>2257</v>
      </c>
      <c r="AO847" t="s">
        <v>5553</v>
      </c>
      <c r="AP847" t="s">
        <v>5554</v>
      </c>
      <c r="AQ847" t="s">
        <v>74</v>
      </c>
      <c r="AR847" t="s">
        <v>5555</v>
      </c>
      <c r="AS847" t="s">
        <v>5556</v>
      </c>
      <c r="AT847" t="s">
        <v>14975</v>
      </c>
      <c r="AU847">
        <v>2022</v>
      </c>
      <c r="AV847">
        <v>169</v>
      </c>
      <c r="AW847">
        <v>11</v>
      </c>
      <c r="AX847" t="s">
        <v>74</v>
      </c>
      <c r="AY847" t="s">
        <v>74</v>
      </c>
      <c r="AZ847" t="s">
        <v>74</v>
      </c>
      <c r="BA847" t="s">
        <v>74</v>
      </c>
      <c r="BB847" t="s">
        <v>74</v>
      </c>
      <c r="BC847" t="s">
        <v>74</v>
      </c>
      <c r="BD847">
        <v>138</v>
      </c>
      <c r="BE847" t="s">
        <v>16171</v>
      </c>
      <c r="BF847" t="str">
        <f>HYPERLINK("http://dx.doi.org/10.1007/s00227-022-04125-9","http://dx.doi.org/10.1007/s00227-022-04125-9")</f>
        <v>http://dx.doi.org/10.1007/s00227-022-04125-9</v>
      </c>
      <c r="BG847" t="s">
        <v>74</v>
      </c>
      <c r="BH847" t="s">
        <v>74</v>
      </c>
      <c r="BI847">
        <v>8</v>
      </c>
      <c r="BJ847" t="s">
        <v>2572</v>
      </c>
      <c r="BK847" t="s">
        <v>104</v>
      </c>
      <c r="BL847" t="s">
        <v>2572</v>
      </c>
      <c r="BM847" t="s">
        <v>16172</v>
      </c>
      <c r="BN847" t="s">
        <v>74</v>
      </c>
      <c r="BO847" t="s">
        <v>219</v>
      </c>
      <c r="BP847" t="s">
        <v>74</v>
      </c>
      <c r="BQ847" t="s">
        <v>74</v>
      </c>
      <c r="BR847" t="s">
        <v>108</v>
      </c>
      <c r="BS847" t="s">
        <v>16173</v>
      </c>
      <c r="BT847" t="str">
        <f>HYPERLINK("https%3A%2F%2Fwww.webofscience.com%2Fwos%2Fwoscc%2Ffull-record%2FWOS:000869835200001","View Full Record in Web of Science")</f>
        <v>View Full Record in Web of Science</v>
      </c>
    </row>
    <row r="848" spans="1:72" x14ac:dyDescent="0.15">
      <c r="A848" t="s">
        <v>72</v>
      </c>
      <c r="B848" t="s">
        <v>16174</v>
      </c>
      <c r="C848" t="s">
        <v>74</v>
      </c>
      <c r="D848" t="s">
        <v>74</v>
      </c>
      <c r="E848" t="s">
        <v>74</v>
      </c>
      <c r="F848" t="s">
        <v>16175</v>
      </c>
      <c r="G848" t="s">
        <v>74</v>
      </c>
      <c r="H848" t="s">
        <v>74</v>
      </c>
      <c r="I848" t="s">
        <v>16176</v>
      </c>
      <c r="J848" t="s">
        <v>5701</v>
      </c>
      <c r="K848" t="s">
        <v>74</v>
      </c>
      <c r="L848" t="s">
        <v>74</v>
      </c>
      <c r="M848" t="s">
        <v>78</v>
      </c>
      <c r="N848" t="s">
        <v>79</v>
      </c>
      <c r="O848" t="s">
        <v>74</v>
      </c>
      <c r="P848" t="s">
        <v>74</v>
      </c>
      <c r="Q848" t="s">
        <v>74</v>
      </c>
      <c r="R848" t="s">
        <v>74</v>
      </c>
      <c r="S848" t="s">
        <v>74</v>
      </c>
      <c r="T848" t="s">
        <v>16177</v>
      </c>
      <c r="U848" t="s">
        <v>16178</v>
      </c>
      <c r="V848" t="s">
        <v>16179</v>
      </c>
      <c r="W848" t="s">
        <v>16180</v>
      </c>
      <c r="X848" t="s">
        <v>16181</v>
      </c>
      <c r="Y848" t="s">
        <v>16182</v>
      </c>
      <c r="Z848" t="s">
        <v>16183</v>
      </c>
      <c r="AA848" t="s">
        <v>16184</v>
      </c>
      <c r="AB848" t="s">
        <v>16185</v>
      </c>
      <c r="AC848" t="s">
        <v>16186</v>
      </c>
      <c r="AD848" t="s">
        <v>16187</v>
      </c>
      <c r="AE848" t="s">
        <v>16188</v>
      </c>
      <c r="AF848" t="s">
        <v>74</v>
      </c>
      <c r="AG848">
        <v>56</v>
      </c>
      <c r="AH848">
        <v>5</v>
      </c>
      <c r="AI848">
        <v>5</v>
      </c>
      <c r="AJ848">
        <v>3</v>
      </c>
      <c r="AK848">
        <v>13</v>
      </c>
      <c r="AL848" t="s">
        <v>5623</v>
      </c>
      <c r="AM848" t="s">
        <v>5624</v>
      </c>
      <c r="AN848" t="s">
        <v>5625</v>
      </c>
      <c r="AO848" t="s">
        <v>5714</v>
      </c>
      <c r="AP848" t="s">
        <v>74</v>
      </c>
      <c r="AQ848" t="s">
        <v>74</v>
      </c>
      <c r="AR848" t="s">
        <v>5715</v>
      </c>
      <c r="AS848" t="s">
        <v>5716</v>
      </c>
      <c r="AT848" t="s">
        <v>15339</v>
      </c>
      <c r="AU848">
        <v>2022</v>
      </c>
      <c r="AV848">
        <v>17</v>
      </c>
      <c r="AW848">
        <v>11</v>
      </c>
      <c r="AX848" t="s">
        <v>74</v>
      </c>
      <c r="AY848" t="s">
        <v>74</v>
      </c>
      <c r="AZ848" t="s">
        <v>74</v>
      </c>
      <c r="BA848" t="s">
        <v>74</v>
      </c>
      <c r="BB848" t="s">
        <v>74</v>
      </c>
      <c r="BC848" t="s">
        <v>74</v>
      </c>
      <c r="BD848">
        <v>114004</v>
      </c>
      <c r="BE848" t="s">
        <v>16189</v>
      </c>
      <c r="BF848" t="str">
        <f>HYPERLINK("http://dx.doi.org/10.1088/1748-9326/ac97ab","http://dx.doi.org/10.1088/1748-9326/ac97ab")</f>
        <v>http://dx.doi.org/10.1088/1748-9326/ac97ab</v>
      </c>
      <c r="BG848" t="s">
        <v>74</v>
      </c>
      <c r="BH848" t="s">
        <v>74</v>
      </c>
      <c r="BI848">
        <v>9</v>
      </c>
      <c r="BJ848" t="s">
        <v>5429</v>
      </c>
      <c r="BK848" t="s">
        <v>104</v>
      </c>
      <c r="BL848" t="s">
        <v>355</v>
      </c>
      <c r="BM848" t="s">
        <v>16190</v>
      </c>
      <c r="BN848" t="s">
        <v>74</v>
      </c>
      <c r="BO848" t="s">
        <v>3181</v>
      </c>
      <c r="BP848" t="s">
        <v>74</v>
      </c>
      <c r="BQ848" t="s">
        <v>74</v>
      </c>
      <c r="BR848" t="s">
        <v>108</v>
      </c>
      <c r="BS848" t="s">
        <v>16191</v>
      </c>
      <c r="BT848" t="str">
        <f>HYPERLINK("https%3A%2F%2Fwww.webofscience.com%2Fwos%2Fwoscc%2Ffull-record%2FWOS:000869455400001","View Full Record in Web of Science")</f>
        <v>View Full Record in Web of Science</v>
      </c>
    </row>
    <row r="849" spans="1:72" x14ac:dyDescent="0.15">
      <c r="A849" t="s">
        <v>72</v>
      </c>
      <c r="B849" t="s">
        <v>16192</v>
      </c>
      <c r="C849" t="s">
        <v>74</v>
      </c>
      <c r="D849" t="s">
        <v>74</v>
      </c>
      <c r="E849" t="s">
        <v>74</v>
      </c>
      <c r="F849" t="s">
        <v>16193</v>
      </c>
      <c r="G849" t="s">
        <v>74</v>
      </c>
      <c r="H849" t="s">
        <v>74</v>
      </c>
      <c r="I849" t="s">
        <v>16194</v>
      </c>
      <c r="J849" t="s">
        <v>16195</v>
      </c>
      <c r="K849" t="s">
        <v>74</v>
      </c>
      <c r="L849" t="s">
        <v>74</v>
      </c>
      <c r="M849" t="s">
        <v>78</v>
      </c>
      <c r="N849" t="s">
        <v>256</v>
      </c>
      <c r="O849" t="s">
        <v>74</v>
      </c>
      <c r="P849" t="s">
        <v>74</v>
      </c>
      <c r="Q849" t="s">
        <v>74</v>
      </c>
      <c r="R849" t="s">
        <v>74</v>
      </c>
      <c r="S849" t="s">
        <v>74</v>
      </c>
      <c r="T849" t="s">
        <v>16196</v>
      </c>
      <c r="U849" t="s">
        <v>16197</v>
      </c>
      <c r="V849" t="s">
        <v>16198</v>
      </c>
      <c r="W849" t="s">
        <v>16199</v>
      </c>
      <c r="X849" t="s">
        <v>16200</v>
      </c>
      <c r="Y849" t="s">
        <v>16201</v>
      </c>
      <c r="Z849" t="s">
        <v>16202</v>
      </c>
      <c r="AA849" t="s">
        <v>74</v>
      </c>
      <c r="AB849" t="s">
        <v>74</v>
      </c>
      <c r="AC849" t="s">
        <v>16203</v>
      </c>
      <c r="AD849" t="s">
        <v>16204</v>
      </c>
      <c r="AE849" t="s">
        <v>16205</v>
      </c>
      <c r="AF849" t="s">
        <v>74</v>
      </c>
      <c r="AG849">
        <v>156</v>
      </c>
      <c r="AH849">
        <v>2</v>
      </c>
      <c r="AI849">
        <v>3</v>
      </c>
      <c r="AJ849">
        <v>22</v>
      </c>
      <c r="AK849">
        <v>68</v>
      </c>
      <c r="AL849" t="s">
        <v>5749</v>
      </c>
      <c r="AM849" t="s">
        <v>5750</v>
      </c>
      <c r="AN849" t="s">
        <v>5751</v>
      </c>
      <c r="AO849" t="s">
        <v>16206</v>
      </c>
      <c r="AP849" t="s">
        <v>16207</v>
      </c>
      <c r="AQ849" t="s">
        <v>74</v>
      </c>
      <c r="AR849" t="s">
        <v>16208</v>
      </c>
      <c r="AS849" t="s">
        <v>16209</v>
      </c>
      <c r="AT849" t="s">
        <v>15339</v>
      </c>
      <c r="AU849">
        <v>2022</v>
      </c>
      <c r="AV849">
        <v>23</v>
      </c>
      <c r="AW849">
        <v>4</v>
      </c>
      <c r="AX849" t="s">
        <v>74</v>
      </c>
      <c r="AY849" t="s">
        <v>74</v>
      </c>
      <c r="AZ849" t="s">
        <v>74</v>
      </c>
      <c r="BA849" t="s">
        <v>74</v>
      </c>
      <c r="BB849" t="s">
        <v>74</v>
      </c>
      <c r="BC849" t="s">
        <v>74</v>
      </c>
      <c r="BD849">
        <v>3122002</v>
      </c>
      <c r="BE849" t="s">
        <v>16210</v>
      </c>
      <c r="BF849" t="str">
        <f>HYPERLINK("http://dx.doi.org/10.1061/(ASCE)NH.1527-6996.0000584","http://dx.doi.org/10.1061/(ASCE)NH.1527-6996.0000584")</f>
        <v>http://dx.doi.org/10.1061/(ASCE)NH.1527-6996.0000584</v>
      </c>
      <c r="BG849" t="s">
        <v>74</v>
      </c>
      <c r="BH849" t="s">
        <v>74</v>
      </c>
      <c r="BI849">
        <v>12</v>
      </c>
      <c r="BJ849" t="s">
        <v>16211</v>
      </c>
      <c r="BK849" t="s">
        <v>354</v>
      </c>
      <c r="BL849" t="s">
        <v>16212</v>
      </c>
      <c r="BM849" t="s">
        <v>16213</v>
      </c>
      <c r="BN849" t="s">
        <v>74</v>
      </c>
      <c r="BO849" t="s">
        <v>219</v>
      </c>
      <c r="BP849" t="s">
        <v>74</v>
      </c>
      <c r="BQ849" t="s">
        <v>74</v>
      </c>
      <c r="BR849" t="s">
        <v>108</v>
      </c>
      <c r="BS849" t="s">
        <v>16214</v>
      </c>
      <c r="BT849" t="str">
        <f>HYPERLINK("https%3A%2F%2Fwww.webofscience.com%2Fwos%2Fwoscc%2Ffull-record%2FWOS:000853931000023","View Full Record in Web of Science")</f>
        <v>View Full Record in Web of Science</v>
      </c>
    </row>
    <row r="850" spans="1:72" x14ac:dyDescent="0.15">
      <c r="A850" t="s">
        <v>72</v>
      </c>
      <c r="B850" t="s">
        <v>16215</v>
      </c>
      <c r="C850" t="s">
        <v>74</v>
      </c>
      <c r="D850" t="s">
        <v>74</v>
      </c>
      <c r="E850" t="s">
        <v>74</v>
      </c>
      <c r="F850" t="s">
        <v>16216</v>
      </c>
      <c r="G850" t="s">
        <v>74</v>
      </c>
      <c r="H850" t="s">
        <v>74</v>
      </c>
      <c r="I850" t="s">
        <v>16217</v>
      </c>
      <c r="J850" t="s">
        <v>16218</v>
      </c>
      <c r="K850" t="s">
        <v>74</v>
      </c>
      <c r="L850" t="s">
        <v>74</v>
      </c>
      <c r="M850" t="s">
        <v>78</v>
      </c>
      <c r="N850" t="s">
        <v>79</v>
      </c>
      <c r="O850" t="s">
        <v>74</v>
      </c>
      <c r="P850" t="s">
        <v>74</v>
      </c>
      <c r="Q850" t="s">
        <v>74</v>
      </c>
      <c r="R850" t="s">
        <v>74</v>
      </c>
      <c r="S850" t="s">
        <v>74</v>
      </c>
      <c r="T850" t="s">
        <v>16219</v>
      </c>
      <c r="U850" t="s">
        <v>16220</v>
      </c>
      <c r="V850" t="s">
        <v>16221</v>
      </c>
      <c r="W850" t="s">
        <v>16222</v>
      </c>
      <c r="X850" t="s">
        <v>16223</v>
      </c>
      <c r="Y850" t="s">
        <v>16224</v>
      </c>
      <c r="Z850" t="s">
        <v>16225</v>
      </c>
      <c r="AA850" t="s">
        <v>16226</v>
      </c>
      <c r="AB850" t="s">
        <v>16227</v>
      </c>
      <c r="AC850" t="s">
        <v>16228</v>
      </c>
      <c r="AD850" t="s">
        <v>16229</v>
      </c>
      <c r="AE850" t="s">
        <v>16230</v>
      </c>
      <c r="AF850" t="s">
        <v>74</v>
      </c>
      <c r="AG850">
        <v>41</v>
      </c>
      <c r="AH850">
        <v>5</v>
      </c>
      <c r="AI850">
        <v>6</v>
      </c>
      <c r="AJ850">
        <v>0</v>
      </c>
      <c r="AK850">
        <v>3</v>
      </c>
      <c r="AL850" t="s">
        <v>603</v>
      </c>
      <c r="AM850" t="s">
        <v>208</v>
      </c>
      <c r="AN850" t="s">
        <v>604</v>
      </c>
      <c r="AO850" t="s">
        <v>16231</v>
      </c>
      <c r="AP850" t="s">
        <v>16232</v>
      </c>
      <c r="AQ850" t="s">
        <v>74</v>
      </c>
      <c r="AR850" t="s">
        <v>16233</v>
      </c>
      <c r="AS850" t="s">
        <v>16234</v>
      </c>
      <c r="AT850" t="s">
        <v>276</v>
      </c>
      <c r="AU850">
        <v>2023</v>
      </c>
      <c r="AV850">
        <v>294</v>
      </c>
      <c r="AW850" t="s">
        <v>74</v>
      </c>
      <c r="AX850" t="s">
        <v>74</v>
      </c>
      <c r="AY850" t="s">
        <v>74</v>
      </c>
      <c r="AZ850" t="s">
        <v>74</v>
      </c>
      <c r="BA850" t="s">
        <v>74</v>
      </c>
      <c r="BB850" t="s">
        <v>74</v>
      </c>
      <c r="BC850" t="s">
        <v>74</v>
      </c>
      <c r="BD850">
        <v>108406</v>
      </c>
      <c r="BE850" t="s">
        <v>16235</v>
      </c>
      <c r="BF850" t="str">
        <f>HYPERLINK("http://dx.doi.org/10.1016/j.jqsrt.2022.108406","http://dx.doi.org/10.1016/j.jqsrt.2022.108406")</f>
        <v>http://dx.doi.org/10.1016/j.jqsrt.2022.108406</v>
      </c>
      <c r="BG850" t="s">
        <v>74</v>
      </c>
      <c r="BH850" t="s">
        <v>16236</v>
      </c>
      <c r="BI850">
        <v>6</v>
      </c>
      <c r="BJ850" t="s">
        <v>16237</v>
      </c>
      <c r="BK850" t="s">
        <v>104</v>
      </c>
      <c r="BL850" t="s">
        <v>16237</v>
      </c>
      <c r="BM850" t="s">
        <v>16238</v>
      </c>
      <c r="BN850" t="s">
        <v>74</v>
      </c>
      <c r="BO850" t="s">
        <v>219</v>
      </c>
      <c r="BP850" t="s">
        <v>74</v>
      </c>
      <c r="BQ850" t="s">
        <v>74</v>
      </c>
      <c r="BR850" t="s">
        <v>108</v>
      </c>
      <c r="BS850" t="s">
        <v>16239</v>
      </c>
      <c r="BT850" t="str">
        <f>HYPERLINK("https%3A%2F%2Fwww.webofscience.com%2Fwos%2Fwoscc%2Ffull-record%2FWOS:000882204400001","View Full Record in Web of Science")</f>
        <v>View Full Record in Web of Science</v>
      </c>
    </row>
    <row r="851" spans="1:72" x14ac:dyDescent="0.15">
      <c r="A851" t="s">
        <v>72</v>
      </c>
      <c r="B851" t="s">
        <v>16240</v>
      </c>
      <c r="C851" t="s">
        <v>74</v>
      </c>
      <c r="D851" t="s">
        <v>74</v>
      </c>
      <c r="E851" t="s">
        <v>74</v>
      </c>
      <c r="F851" t="s">
        <v>16241</v>
      </c>
      <c r="G851" t="s">
        <v>74</v>
      </c>
      <c r="H851" t="s">
        <v>74</v>
      </c>
      <c r="I851" t="s">
        <v>16242</v>
      </c>
      <c r="J851" t="s">
        <v>16243</v>
      </c>
      <c r="K851" t="s">
        <v>74</v>
      </c>
      <c r="L851" t="s">
        <v>74</v>
      </c>
      <c r="M851" t="s">
        <v>78</v>
      </c>
      <c r="N851" t="s">
        <v>79</v>
      </c>
      <c r="O851" t="s">
        <v>74</v>
      </c>
      <c r="P851" t="s">
        <v>74</v>
      </c>
      <c r="Q851" t="s">
        <v>74</v>
      </c>
      <c r="R851" t="s">
        <v>74</v>
      </c>
      <c r="S851" t="s">
        <v>74</v>
      </c>
      <c r="T851" t="s">
        <v>16244</v>
      </c>
      <c r="U851" t="s">
        <v>16245</v>
      </c>
      <c r="V851" t="s">
        <v>16246</v>
      </c>
      <c r="W851" t="s">
        <v>16247</v>
      </c>
      <c r="X851" t="s">
        <v>16248</v>
      </c>
      <c r="Y851" t="s">
        <v>16249</v>
      </c>
      <c r="Z851" t="s">
        <v>16250</v>
      </c>
      <c r="AA851" t="s">
        <v>16251</v>
      </c>
      <c r="AB851" t="s">
        <v>16252</v>
      </c>
      <c r="AC851" t="s">
        <v>16253</v>
      </c>
      <c r="AD851" t="s">
        <v>16253</v>
      </c>
      <c r="AE851" t="s">
        <v>16254</v>
      </c>
      <c r="AF851" t="s">
        <v>74</v>
      </c>
      <c r="AG851">
        <v>64</v>
      </c>
      <c r="AH851">
        <v>0</v>
      </c>
      <c r="AI851">
        <v>0</v>
      </c>
      <c r="AJ851">
        <v>1</v>
      </c>
      <c r="AK851">
        <v>6</v>
      </c>
      <c r="AL851" t="s">
        <v>297</v>
      </c>
      <c r="AM851" t="s">
        <v>298</v>
      </c>
      <c r="AN851" t="s">
        <v>299</v>
      </c>
      <c r="AO851" t="s">
        <v>16255</v>
      </c>
      <c r="AP851" t="s">
        <v>16256</v>
      </c>
      <c r="AQ851" t="s">
        <v>74</v>
      </c>
      <c r="AR851" t="s">
        <v>16243</v>
      </c>
      <c r="AS851" t="s">
        <v>16257</v>
      </c>
      <c r="AT851" t="s">
        <v>244</v>
      </c>
      <c r="AU851">
        <v>2023</v>
      </c>
      <c r="AV851">
        <v>165</v>
      </c>
      <c r="AW851">
        <v>2</v>
      </c>
      <c r="AX851" t="s">
        <v>74</v>
      </c>
      <c r="AY851" t="s">
        <v>74</v>
      </c>
      <c r="AZ851" t="s">
        <v>74</v>
      </c>
      <c r="BA851" t="s">
        <v>74</v>
      </c>
      <c r="BB851">
        <v>618</v>
      </c>
      <c r="BC851">
        <v>628</v>
      </c>
      <c r="BD851" t="s">
        <v>74</v>
      </c>
      <c r="BE851" t="s">
        <v>16258</v>
      </c>
      <c r="BF851" t="str">
        <f>HYPERLINK("http://dx.doi.org/10.1111/ibi.13152","http://dx.doi.org/10.1111/ibi.13152")</f>
        <v>http://dx.doi.org/10.1111/ibi.13152</v>
      </c>
      <c r="BG851" t="s">
        <v>74</v>
      </c>
      <c r="BH851" t="s">
        <v>16236</v>
      </c>
      <c r="BI851">
        <v>11</v>
      </c>
      <c r="BJ851" t="s">
        <v>2467</v>
      </c>
      <c r="BK851" t="s">
        <v>104</v>
      </c>
      <c r="BL851" t="s">
        <v>2468</v>
      </c>
      <c r="BM851" t="s">
        <v>16259</v>
      </c>
      <c r="BN851" t="s">
        <v>74</v>
      </c>
      <c r="BO851" t="s">
        <v>248</v>
      </c>
      <c r="BP851" t="s">
        <v>74</v>
      </c>
      <c r="BQ851" t="s">
        <v>74</v>
      </c>
      <c r="BR851" t="s">
        <v>108</v>
      </c>
      <c r="BS851" t="s">
        <v>16260</v>
      </c>
      <c r="BT851" t="str">
        <f>HYPERLINK("https%3A%2F%2Fwww.webofscience.com%2Fwos%2Fwoscc%2Ffull-record%2FWOS:000876324700001","View Full Record in Web of Science")</f>
        <v>View Full Record in Web of Science</v>
      </c>
    </row>
    <row r="852" spans="1:72" x14ac:dyDescent="0.15">
      <c r="A852" t="s">
        <v>72</v>
      </c>
      <c r="B852" t="s">
        <v>16261</v>
      </c>
      <c r="C852" t="s">
        <v>74</v>
      </c>
      <c r="D852" t="s">
        <v>74</v>
      </c>
      <c r="E852" t="s">
        <v>74</v>
      </c>
      <c r="F852" t="s">
        <v>16262</v>
      </c>
      <c r="G852" t="s">
        <v>74</v>
      </c>
      <c r="H852" t="s">
        <v>74</v>
      </c>
      <c r="I852" t="s">
        <v>16263</v>
      </c>
      <c r="J852" t="s">
        <v>12970</v>
      </c>
      <c r="K852" t="s">
        <v>74</v>
      </c>
      <c r="L852" t="s">
        <v>74</v>
      </c>
      <c r="M852" t="s">
        <v>78</v>
      </c>
      <c r="N852" t="s">
        <v>79</v>
      </c>
      <c r="O852" t="s">
        <v>74</v>
      </c>
      <c r="P852" t="s">
        <v>74</v>
      </c>
      <c r="Q852" t="s">
        <v>74</v>
      </c>
      <c r="R852" t="s">
        <v>74</v>
      </c>
      <c r="S852" t="s">
        <v>74</v>
      </c>
      <c r="T852" t="s">
        <v>16264</v>
      </c>
      <c r="U852" t="s">
        <v>16265</v>
      </c>
      <c r="V852" t="s">
        <v>16266</v>
      </c>
      <c r="W852" t="s">
        <v>16267</v>
      </c>
      <c r="X852" t="s">
        <v>16268</v>
      </c>
      <c r="Y852" t="s">
        <v>16269</v>
      </c>
      <c r="Z852" t="s">
        <v>74</v>
      </c>
      <c r="AA852" t="s">
        <v>16270</v>
      </c>
      <c r="AB852" t="s">
        <v>16271</v>
      </c>
      <c r="AC852" t="s">
        <v>74</v>
      </c>
      <c r="AD852" t="s">
        <v>74</v>
      </c>
      <c r="AE852" t="s">
        <v>74</v>
      </c>
      <c r="AF852" t="s">
        <v>74</v>
      </c>
      <c r="AG852">
        <v>60</v>
      </c>
      <c r="AH852">
        <v>2</v>
      </c>
      <c r="AI852">
        <v>3</v>
      </c>
      <c r="AJ852">
        <v>4</v>
      </c>
      <c r="AK852">
        <v>12</v>
      </c>
      <c r="AL852" t="s">
        <v>297</v>
      </c>
      <c r="AM852" t="s">
        <v>298</v>
      </c>
      <c r="AN852" t="s">
        <v>299</v>
      </c>
      <c r="AO852" t="s">
        <v>12982</v>
      </c>
      <c r="AP852" t="s">
        <v>12983</v>
      </c>
      <c r="AQ852" t="s">
        <v>74</v>
      </c>
      <c r="AR852" t="s">
        <v>12984</v>
      </c>
      <c r="AS852" t="s">
        <v>12985</v>
      </c>
      <c r="AT852" t="s">
        <v>214</v>
      </c>
      <c r="AU852">
        <v>2023</v>
      </c>
      <c r="AV852">
        <v>18</v>
      </c>
      <c r="AW852">
        <v>2</v>
      </c>
      <c r="AX852" t="s">
        <v>74</v>
      </c>
      <c r="AY852" t="s">
        <v>74</v>
      </c>
      <c r="AZ852" t="s">
        <v>74</v>
      </c>
      <c r="BA852" t="s">
        <v>74</v>
      </c>
      <c r="BB852">
        <v>237</v>
      </c>
      <c r="BC852">
        <v>253</v>
      </c>
      <c r="BD852" t="s">
        <v>74</v>
      </c>
      <c r="BE852" t="s">
        <v>16272</v>
      </c>
      <c r="BF852" t="str">
        <f>HYPERLINK("http://dx.doi.org/10.1111/1749-4877.12689","http://dx.doi.org/10.1111/1749-4877.12689")</f>
        <v>http://dx.doi.org/10.1111/1749-4877.12689</v>
      </c>
      <c r="BG852" t="s">
        <v>74</v>
      </c>
      <c r="BH852" t="s">
        <v>16236</v>
      </c>
      <c r="BI852">
        <v>17</v>
      </c>
      <c r="BJ852" t="s">
        <v>2468</v>
      </c>
      <c r="BK852" t="s">
        <v>104</v>
      </c>
      <c r="BL852" t="s">
        <v>2468</v>
      </c>
      <c r="BM852" t="s">
        <v>12987</v>
      </c>
      <c r="BN852">
        <v>36239550</v>
      </c>
      <c r="BO852" t="s">
        <v>219</v>
      </c>
      <c r="BP852" t="s">
        <v>74</v>
      </c>
      <c r="BQ852" t="s">
        <v>74</v>
      </c>
      <c r="BR852" t="s">
        <v>108</v>
      </c>
      <c r="BS852" t="s">
        <v>16273</v>
      </c>
      <c r="BT852" t="str">
        <f>HYPERLINK("https%3A%2F%2Fwww.webofscience.com%2Fwos%2Fwoscc%2Ffull-record%2FWOS:000876555100001","View Full Record in Web of Science")</f>
        <v>View Full Record in Web of Science</v>
      </c>
    </row>
    <row r="853" spans="1:72" x14ac:dyDescent="0.15">
      <c r="A853" t="s">
        <v>72</v>
      </c>
      <c r="B853" t="s">
        <v>16274</v>
      </c>
      <c r="C853" t="s">
        <v>74</v>
      </c>
      <c r="D853" t="s">
        <v>74</v>
      </c>
      <c r="E853" t="s">
        <v>74</v>
      </c>
      <c r="F853" t="s">
        <v>16275</v>
      </c>
      <c r="G853" t="s">
        <v>74</v>
      </c>
      <c r="H853" t="s">
        <v>74</v>
      </c>
      <c r="I853" t="s">
        <v>16276</v>
      </c>
      <c r="J853" t="s">
        <v>16277</v>
      </c>
      <c r="K853" t="s">
        <v>74</v>
      </c>
      <c r="L853" t="s">
        <v>74</v>
      </c>
      <c r="M853" t="s">
        <v>78</v>
      </c>
      <c r="N853" t="s">
        <v>79</v>
      </c>
      <c r="O853" t="s">
        <v>74</v>
      </c>
      <c r="P853" t="s">
        <v>74</v>
      </c>
      <c r="Q853" t="s">
        <v>74</v>
      </c>
      <c r="R853" t="s">
        <v>74</v>
      </c>
      <c r="S853" t="s">
        <v>74</v>
      </c>
      <c r="T853" t="s">
        <v>16278</v>
      </c>
      <c r="U853" t="s">
        <v>16279</v>
      </c>
      <c r="V853" t="s">
        <v>16280</v>
      </c>
      <c r="W853" t="s">
        <v>16281</v>
      </c>
      <c r="X853" t="s">
        <v>16282</v>
      </c>
      <c r="Y853" t="s">
        <v>16283</v>
      </c>
      <c r="Z853" t="s">
        <v>16284</v>
      </c>
      <c r="AA853" t="s">
        <v>74</v>
      </c>
      <c r="AB853" t="s">
        <v>16285</v>
      </c>
      <c r="AC853" t="s">
        <v>16286</v>
      </c>
      <c r="AD853" t="s">
        <v>16287</v>
      </c>
      <c r="AE853" t="s">
        <v>16288</v>
      </c>
      <c r="AF853" t="s">
        <v>74</v>
      </c>
      <c r="AG853">
        <v>37</v>
      </c>
      <c r="AH853">
        <v>2</v>
      </c>
      <c r="AI853">
        <v>3</v>
      </c>
      <c r="AJ853">
        <v>15</v>
      </c>
      <c r="AK853">
        <v>40</v>
      </c>
      <c r="AL853" t="s">
        <v>297</v>
      </c>
      <c r="AM853" t="s">
        <v>298</v>
      </c>
      <c r="AN853" t="s">
        <v>299</v>
      </c>
      <c r="AO853" t="s">
        <v>16289</v>
      </c>
      <c r="AP853" t="s">
        <v>16290</v>
      </c>
      <c r="AQ853" t="s">
        <v>74</v>
      </c>
      <c r="AR853" t="s">
        <v>16291</v>
      </c>
      <c r="AS853" t="s">
        <v>16292</v>
      </c>
      <c r="AT853" t="s">
        <v>9001</v>
      </c>
      <c r="AU853">
        <v>2022</v>
      </c>
      <c r="AV853">
        <v>57</v>
      </c>
      <c r="AW853">
        <v>12</v>
      </c>
      <c r="AX853" t="s">
        <v>74</v>
      </c>
      <c r="AY853" t="s">
        <v>74</v>
      </c>
      <c r="AZ853" t="s">
        <v>74</v>
      </c>
      <c r="BA853" t="s">
        <v>74</v>
      </c>
      <c r="BB853">
        <v>7829</v>
      </c>
      <c r="BC853">
        <v>7839</v>
      </c>
      <c r="BD853" t="s">
        <v>74</v>
      </c>
      <c r="BE853" t="s">
        <v>16293</v>
      </c>
      <c r="BF853" t="str">
        <f>HYPERLINK("http://dx.doi.org/10.1111/ijfs.16133","http://dx.doi.org/10.1111/ijfs.16133")</f>
        <v>http://dx.doi.org/10.1111/ijfs.16133</v>
      </c>
      <c r="BG853" t="s">
        <v>74</v>
      </c>
      <c r="BH853" t="s">
        <v>16236</v>
      </c>
      <c r="BI853">
        <v>11</v>
      </c>
      <c r="BJ853" t="s">
        <v>8056</v>
      </c>
      <c r="BK853" t="s">
        <v>104</v>
      </c>
      <c r="BL853" t="s">
        <v>8056</v>
      </c>
      <c r="BM853" t="s">
        <v>16294</v>
      </c>
      <c r="BN853" t="s">
        <v>74</v>
      </c>
      <c r="BO853" t="s">
        <v>74</v>
      </c>
      <c r="BP853" t="s">
        <v>74</v>
      </c>
      <c r="BQ853" t="s">
        <v>74</v>
      </c>
      <c r="BR853" t="s">
        <v>108</v>
      </c>
      <c r="BS853" t="s">
        <v>16295</v>
      </c>
      <c r="BT853" t="str">
        <f>HYPERLINK("https%3A%2F%2Fwww.webofscience.com%2Fwos%2Fwoscc%2Ffull-record%2FWOS:000878246700001","View Full Record in Web of Science")</f>
        <v>View Full Record in Web of Science</v>
      </c>
    </row>
    <row r="854" spans="1:72" x14ac:dyDescent="0.15">
      <c r="A854" t="s">
        <v>72</v>
      </c>
      <c r="B854" t="s">
        <v>16296</v>
      </c>
      <c r="C854" t="s">
        <v>74</v>
      </c>
      <c r="D854" t="s">
        <v>74</v>
      </c>
      <c r="E854" t="s">
        <v>74</v>
      </c>
      <c r="F854" t="s">
        <v>16297</v>
      </c>
      <c r="G854" t="s">
        <v>74</v>
      </c>
      <c r="H854" t="s">
        <v>74</v>
      </c>
      <c r="I854" t="s">
        <v>16298</v>
      </c>
      <c r="J854" t="s">
        <v>16299</v>
      </c>
      <c r="K854" t="s">
        <v>74</v>
      </c>
      <c r="L854" t="s">
        <v>74</v>
      </c>
      <c r="M854" t="s">
        <v>78</v>
      </c>
      <c r="N854" t="s">
        <v>79</v>
      </c>
      <c r="O854" t="s">
        <v>74</v>
      </c>
      <c r="P854" t="s">
        <v>74</v>
      </c>
      <c r="Q854" t="s">
        <v>74</v>
      </c>
      <c r="R854" t="s">
        <v>74</v>
      </c>
      <c r="S854" t="s">
        <v>74</v>
      </c>
      <c r="T854" t="s">
        <v>16300</v>
      </c>
      <c r="U854" t="s">
        <v>16301</v>
      </c>
      <c r="V854" t="s">
        <v>16302</v>
      </c>
      <c r="W854" t="s">
        <v>16303</v>
      </c>
      <c r="X854" t="s">
        <v>16304</v>
      </c>
      <c r="Y854" t="s">
        <v>16305</v>
      </c>
      <c r="Z854" t="s">
        <v>16306</v>
      </c>
      <c r="AA854" t="s">
        <v>16307</v>
      </c>
      <c r="AB854" t="s">
        <v>16308</v>
      </c>
      <c r="AC854" t="s">
        <v>74</v>
      </c>
      <c r="AD854" t="s">
        <v>74</v>
      </c>
      <c r="AE854" t="s">
        <v>74</v>
      </c>
      <c r="AF854" t="s">
        <v>74</v>
      </c>
      <c r="AG854">
        <v>73</v>
      </c>
      <c r="AH854">
        <v>3</v>
      </c>
      <c r="AI854">
        <v>3</v>
      </c>
      <c r="AJ854">
        <v>2</v>
      </c>
      <c r="AK854">
        <v>8</v>
      </c>
      <c r="AL854" t="s">
        <v>297</v>
      </c>
      <c r="AM854" t="s">
        <v>298</v>
      </c>
      <c r="AN854" t="s">
        <v>299</v>
      </c>
      <c r="AO854" t="s">
        <v>16309</v>
      </c>
      <c r="AP854" t="s">
        <v>16310</v>
      </c>
      <c r="AQ854" t="s">
        <v>74</v>
      </c>
      <c r="AR854" t="s">
        <v>16299</v>
      </c>
      <c r="AS854" t="s">
        <v>16311</v>
      </c>
      <c r="AT854" t="s">
        <v>244</v>
      </c>
      <c r="AU854">
        <v>2023</v>
      </c>
      <c r="AV854">
        <v>70</v>
      </c>
      <c r="AW854">
        <v>3</v>
      </c>
      <c r="AX854" t="s">
        <v>74</v>
      </c>
      <c r="AY854" t="s">
        <v>74</v>
      </c>
      <c r="AZ854" t="s">
        <v>74</v>
      </c>
      <c r="BA854" t="s">
        <v>74</v>
      </c>
      <c r="BB854">
        <v>728</v>
      </c>
      <c r="BC854">
        <v>758</v>
      </c>
      <c r="BD854" t="s">
        <v>74</v>
      </c>
      <c r="BE854" t="s">
        <v>16312</v>
      </c>
      <c r="BF854" t="str">
        <f>HYPERLINK("http://dx.doi.org/10.1111/sed.13045","http://dx.doi.org/10.1111/sed.13045")</f>
        <v>http://dx.doi.org/10.1111/sed.13045</v>
      </c>
      <c r="BG854" t="s">
        <v>74</v>
      </c>
      <c r="BH854" t="s">
        <v>16236</v>
      </c>
      <c r="BI854">
        <v>31</v>
      </c>
      <c r="BJ854" t="s">
        <v>456</v>
      </c>
      <c r="BK854" t="s">
        <v>104</v>
      </c>
      <c r="BL854" t="s">
        <v>456</v>
      </c>
      <c r="BM854" t="s">
        <v>16313</v>
      </c>
      <c r="BN854" t="s">
        <v>74</v>
      </c>
      <c r="BO854" t="s">
        <v>16314</v>
      </c>
      <c r="BP854" t="s">
        <v>74</v>
      </c>
      <c r="BQ854" t="s">
        <v>74</v>
      </c>
      <c r="BR854" t="s">
        <v>108</v>
      </c>
      <c r="BS854" t="s">
        <v>16315</v>
      </c>
      <c r="BT854" t="str">
        <f>HYPERLINK("https%3A%2F%2Fwww.webofscience.com%2Fwos%2Fwoscc%2Ffull-record%2FWOS:000876331600001","View Full Record in Web of Science")</f>
        <v>View Full Record in Web of Science</v>
      </c>
    </row>
    <row r="855" spans="1:72" x14ac:dyDescent="0.15">
      <c r="A855" t="s">
        <v>72</v>
      </c>
      <c r="B855" t="s">
        <v>16316</v>
      </c>
      <c r="C855" t="s">
        <v>74</v>
      </c>
      <c r="D855" t="s">
        <v>74</v>
      </c>
      <c r="E855" t="s">
        <v>74</v>
      </c>
      <c r="F855" t="s">
        <v>16317</v>
      </c>
      <c r="G855" t="s">
        <v>74</v>
      </c>
      <c r="H855" t="s">
        <v>74</v>
      </c>
      <c r="I855" t="s">
        <v>16318</v>
      </c>
      <c r="J855" t="s">
        <v>16319</v>
      </c>
      <c r="K855" t="s">
        <v>74</v>
      </c>
      <c r="L855" t="s">
        <v>74</v>
      </c>
      <c r="M855" t="s">
        <v>78</v>
      </c>
      <c r="N855" t="s">
        <v>79</v>
      </c>
      <c r="O855" t="s">
        <v>74</v>
      </c>
      <c r="P855" t="s">
        <v>74</v>
      </c>
      <c r="Q855" t="s">
        <v>74</v>
      </c>
      <c r="R855" t="s">
        <v>74</v>
      </c>
      <c r="S855" t="s">
        <v>74</v>
      </c>
      <c r="T855" t="s">
        <v>74</v>
      </c>
      <c r="U855" t="s">
        <v>16320</v>
      </c>
      <c r="V855" t="s">
        <v>16321</v>
      </c>
      <c r="W855" t="s">
        <v>16322</v>
      </c>
      <c r="X855" t="s">
        <v>16323</v>
      </c>
      <c r="Y855" t="s">
        <v>16324</v>
      </c>
      <c r="Z855" t="s">
        <v>16325</v>
      </c>
      <c r="AA855" t="s">
        <v>74</v>
      </c>
      <c r="AB855" t="s">
        <v>16326</v>
      </c>
      <c r="AC855" t="s">
        <v>16327</v>
      </c>
      <c r="AD855" t="s">
        <v>16328</v>
      </c>
      <c r="AE855" t="s">
        <v>16329</v>
      </c>
      <c r="AF855" t="s">
        <v>74</v>
      </c>
      <c r="AG855">
        <v>63</v>
      </c>
      <c r="AH855">
        <v>3</v>
      </c>
      <c r="AI855">
        <v>3</v>
      </c>
      <c r="AJ855">
        <v>1</v>
      </c>
      <c r="AK855">
        <v>6</v>
      </c>
      <c r="AL855" t="s">
        <v>297</v>
      </c>
      <c r="AM855" t="s">
        <v>298</v>
      </c>
      <c r="AN855" t="s">
        <v>299</v>
      </c>
      <c r="AO855" t="s">
        <v>16330</v>
      </c>
      <c r="AP855" t="s">
        <v>16331</v>
      </c>
      <c r="AQ855" t="s">
        <v>74</v>
      </c>
      <c r="AR855" t="s">
        <v>16319</v>
      </c>
      <c r="AS855" t="s">
        <v>16332</v>
      </c>
      <c r="AT855" t="s">
        <v>99</v>
      </c>
      <c r="AU855">
        <v>2023</v>
      </c>
      <c r="AV855">
        <v>35</v>
      </c>
      <c r="AW855">
        <v>1</v>
      </c>
      <c r="AX855" t="s">
        <v>74</v>
      </c>
      <c r="AY855" t="s">
        <v>74</v>
      </c>
      <c r="AZ855" t="s">
        <v>74</v>
      </c>
      <c r="BA855" t="s">
        <v>74</v>
      </c>
      <c r="BB855">
        <v>32</v>
      </c>
      <c r="BC855">
        <v>40</v>
      </c>
      <c r="BD855" t="s">
        <v>74</v>
      </c>
      <c r="BE855" t="s">
        <v>16333</v>
      </c>
      <c r="BF855" t="str">
        <f>HYPERLINK("http://dx.doi.org/10.1111/ter.12626","http://dx.doi.org/10.1111/ter.12626")</f>
        <v>http://dx.doi.org/10.1111/ter.12626</v>
      </c>
      <c r="BG855" t="s">
        <v>74</v>
      </c>
      <c r="BH855" t="s">
        <v>16236</v>
      </c>
      <c r="BI855">
        <v>9</v>
      </c>
      <c r="BJ855" t="s">
        <v>455</v>
      </c>
      <c r="BK855" t="s">
        <v>104</v>
      </c>
      <c r="BL855" t="s">
        <v>456</v>
      </c>
      <c r="BM855" t="s">
        <v>16334</v>
      </c>
      <c r="BN855" t="s">
        <v>74</v>
      </c>
      <c r="BO855" t="s">
        <v>74</v>
      </c>
      <c r="BP855" t="s">
        <v>74</v>
      </c>
      <c r="BQ855" t="s">
        <v>74</v>
      </c>
      <c r="BR855" t="s">
        <v>108</v>
      </c>
      <c r="BS855" t="s">
        <v>16335</v>
      </c>
      <c r="BT855" t="str">
        <f>HYPERLINK("https%3A%2F%2Fwww.webofscience.com%2Fwos%2Fwoscc%2Ffull-record%2FWOS:000876784800001","View Full Record in Web of Science")</f>
        <v>View Full Record in Web of Science</v>
      </c>
    </row>
    <row r="856" spans="1:72" x14ac:dyDescent="0.15">
      <c r="A856" t="s">
        <v>72</v>
      </c>
      <c r="B856" t="s">
        <v>16336</v>
      </c>
      <c r="C856" t="s">
        <v>74</v>
      </c>
      <c r="D856" t="s">
        <v>74</v>
      </c>
      <c r="E856" t="s">
        <v>74</v>
      </c>
      <c r="F856" t="s">
        <v>16337</v>
      </c>
      <c r="G856" t="s">
        <v>74</v>
      </c>
      <c r="H856" t="s">
        <v>74</v>
      </c>
      <c r="I856" t="s">
        <v>16338</v>
      </c>
      <c r="J856" t="s">
        <v>16339</v>
      </c>
      <c r="K856" t="s">
        <v>74</v>
      </c>
      <c r="L856" t="s">
        <v>74</v>
      </c>
      <c r="M856" t="s">
        <v>78</v>
      </c>
      <c r="N856" t="s">
        <v>79</v>
      </c>
      <c r="O856" t="s">
        <v>74</v>
      </c>
      <c r="P856" t="s">
        <v>74</v>
      </c>
      <c r="Q856" t="s">
        <v>74</v>
      </c>
      <c r="R856" t="s">
        <v>74</v>
      </c>
      <c r="S856" t="s">
        <v>74</v>
      </c>
      <c r="T856" t="s">
        <v>16340</v>
      </c>
      <c r="U856" t="s">
        <v>16341</v>
      </c>
      <c r="V856" t="s">
        <v>16342</v>
      </c>
      <c r="W856" t="s">
        <v>16343</v>
      </c>
      <c r="X856" t="s">
        <v>16344</v>
      </c>
      <c r="Y856" t="s">
        <v>16345</v>
      </c>
      <c r="Z856" t="s">
        <v>16346</v>
      </c>
      <c r="AA856" t="s">
        <v>16347</v>
      </c>
      <c r="AB856" t="s">
        <v>16348</v>
      </c>
      <c r="AC856" t="s">
        <v>16349</v>
      </c>
      <c r="AD856" t="s">
        <v>74</v>
      </c>
      <c r="AE856" t="s">
        <v>16350</v>
      </c>
      <c r="AF856" t="s">
        <v>74</v>
      </c>
      <c r="AG856">
        <v>53</v>
      </c>
      <c r="AH856">
        <v>4</v>
      </c>
      <c r="AI856">
        <v>5</v>
      </c>
      <c r="AJ856">
        <v>3</v>
      </c>
      <c r="AK856">
        <v>7</v>
      </c>
      <c r="AL856" t="s">
        <v>297</v>
      </c>
      <c r="AM856" t="s">
        <v>298</v>
      </c>
      <c r="AN856" t="s">
        <v>299</v>
      </c>
      <c r="AO856" t="s">
        <v>16351</v>
      </c>
      <c r="AP856" t="s">
        <v>16352</v>
      </c>
      <c r="AQ856" t="s">
        <v>74</v>
      </c>
      <c r="AR856" t="s">
        <v>16353</v>
      </c>
      <c r="AS856" t="s">
        <v>16354</v>
      </c>
      <c r="AT856" t="s">
        <v>9001</v>
      </c>
      <c r="AU856">
        <v>2022</v>
      </c>
      <c r="AV856">
        <v>91</v>
      </c>
      <c r="AW856">
        <v>12</v>
      </c>
      <c r="AX856" t="s">
        <v>74</v>
      </c>
      <c r="AY856" t="s">
        <v>74</v>
      </c>
      <c r="AZ856" t="s">
        <v>74</v>
      </c>
      <c r="BA856" t="s">
        <v>74</v>
      </c>
      <c r="BB856">
        <v>2437</v>
      </c>
      <c r="BC856">
        <v>2450</v>
      </c>
      <c r="BD856" t="s">
        <v>74</v>
      </c>
      <c r="BE856" t="s">
        <v>16355</v>
      </c>
      <c r="BF856" t="str">
        <f>HYPERLINK("http://dx.doi.org/10.1111/1365-2656.13827","http://dx.doi.org/10.1111/1365-2656.13827")</f>
        <v>http://dx.doi.org/10.1111/1365-2656.13827</v>
      </c>
      <c r="BG856" t="s">
        <v>74</v>
      </c>
      <c r="BH856" t="s">
        <v>16236</v>
      </c>
      <c r="BI856">
        <v>14</v>
      </c>
      <c r="BJ856" t="s">
        <v>16356</v>
      </c>
      <c r="BK856" t="s">
        <v>104</v>
      </c>
      <c r="BL856" t="s">
        <v>16357</v>
      </c>
      <c r="BM856" t="s">
        <v>16358</v>
      </c>
      <c r="BN856">
        <v>36266757</v>
      </c>
      <c r="BO856" t="s">
        <v>74</v>
      </c>
      <c r="BP856" t="s">
        <v>74</v>
      </c>
      <c r="BQ856" t="s">
        <v>74</v>
      </c>
      <c r="BR856" t="s">
        <v>108</v>
      </c>
      <c r="BS856" t="s">
        <v>16359</v>
      </c>
      <c r="BT856" t="str">
        <f>HYPERLINK("https%3A%2F%2Fwww.webofscience.com%2Fwos%2Fwoscc%2Ffull-record%2FWOS:000876771100001","View Full Record in Web of Science")</f>
        <v>View Full Record in Web of Science</v>
      </c>
    </row>
    <row r="857" spans="1:72" x14ac:dyDescent="0.15">
      <c r="A857" t="s">
        <v>72</v>
      </c>
      <c r="B857" t="s">
        <v>16360</v>
      </c>
      <c r="C857" t="s">
        <v>74</v>
      </c>
      <c r="D857" t="s">
        <v>74</v>
      </c>
      <c r="E857" t="s">
        <v>74</v>
      </c>
      <c r="F857" t="s">
        <v>16361</v>
      </c>
      <c r="G857" t="s">
        <v>74</v>
      </c>
      <c r="H857" t="s">
        <v>74</v>
      </c>
      <c r="I857" t="s">
        <v>16362</v>
      </c>
      <c r="J857" t="s">
        <v>16363</v>
      </c>
      <c r="K857" t="s">
        <v>74</v>
      </c>
      <c r="L857" t="s">
        <v>74</v>
      </c>
      <c r="M857" t="s">
        <v>78</v>
      </c>
      <c r="N857" t="s">
        <v>79</v>
      </c>
      <c r="O857" t="s">
        <v>74</v>
      </c>
      <c r="P857" t="s">
        <v>74</v>
      </c>
      <c r="Q857" t="s">
        <v>74</v>
      </c>
      <c r="R857" t="s">
        <v>74</v>
      </c>
      <c r="S857" t="s">
        <v>74</v>
      </c>
      <c r="T857" t="s">
        <v>74</v>
      </c>
      <c r="U857" t="s">
        <v>74</v>
      </c>
      <c r="V857" t="s">
        <v>16364</v>
      </c>
      <c r="W857" t="s">
        <v>16365</v>
      </c>
      <c r="X857" t="s">
        <v>16366</v>
      </c>
      <c r="Y857" t="s">
        <v>16367</v>
      </c>
      <c r="Z857" t="s">
        <v>16368</v>
      </c>
      <c r="AA857" t="s">
        <v>16369</v>
      </c>
      <c r="AB857" t="s">
        <v>16370</v>
      </c>
      <c r="AC857" t="s">
        <v>16371</v>
      </c>
      <c r="AD857" t="s">
        <v>16372</v>
      </c>
      <c r="AE857" t="s">
        <v>16373</v>
      </c>
      <c r="AF857" t="s">
        <v>74</v>
      </c>
      <c r="AG857">
        <v>14</v>
      </c>
      <c r="AH857">
        <v>0</v>
      </c>
      <c r="AI857">
        <v>0</v>
      </c>
      <c r="AJ857">
        <v>3</v>
      </c>
      <c r="AK857">
        <v>4</v>
      </c>
      <c r="AL857" t="s">
        <v>297</v>
      </c>
      <c r="AM857" t="s">
        <v>298</v>
      </c>
      <c r="AN857" t="s">
        <v>299</v>
      </c>
      <c r="AO857" t="s">
        <v>16374</v>
      </c>
      <c r="AP857" t="s">
        <v>16375</v>
      </c>
      <c r="AQ857" t="s">
        <v>74</v>
      </c>
      <c r="AR857" t="s">
        <v>16376</v>
      </c>
      <c r="AS857" t="s">
        <v>16377</v>
      </c>
      <c r="AT857" t="s">
        <v>13002</v>
      </c>
      <c r="AU857">
        <v>2023</v>
      </c>
      <c r="AV857">
        <v>99</v>
      </c>
      <c r="AW857">
        <v>4</v>
      </c>
      <c r="AX857" t="s">
        <v>74</v>
      </c>
      <c r="AY857" t="s">
        <v>74</v>
      </c>
      <c r="AZ857" t="s">
        <v>74</v>
      </c>
      <c r="BA857" t="s">
        <v>74</v>
      </c>
      <c r="BB857">
        <v>1208</v>
      </c>
      <c r="BC857">
        <v>1211</v>
      </c>
      <c r="BD857" t="s">
        <v>74</v>
      </c>
      <c r="BE857" t="s">
        <v>16378</v>
      </c>
      <c r="BF857" t="str">
        <f>HYPERLINK("http://dx.doi.org/10.1111/php.13733","http://dx.doi.org/10.1111/php.13733")</f>
        <v>http://dx.doi.org/10.1111/php.13733</v>
      </c>
      <c r="BG857" t="s">
        <v>74</v>
      </c>
      <c r="BH857" t="s">
        <v>16236</v>
      </c>
      <c r="BI857">
        <v>4</v>
      </c>
      <c r="BJ857" t="s">
        <v>6647</v>
      </c>
      <c r="BK857" t="s">
        <v>104</v>
      </c>
      <c r="BL857" t="s">
        <v>6647</v>
      </c>
      <c r="BM857" t="s">
        <v>16379</v>
      </c>
      <c r="BN857">
        <v>36200321</v>
      </c>
      <c r="BO857" t="s">
        <v>74</v>
      </c>
      <c r="BP857" t="s">
        <v>74</v>
      </c>
      <c r="BQ857" t="s">
        <v>74</v>
      </c>
      <c r="BR857" t="s">
        <v>108</v>
      </c>
      <c r="BS857" t="s">
        <v>16380</v>
      </c>
      <c r="BT857" t="str">
        <f>HYPERLINK("https%3A%2F%2Fwww.webofscience.com%2Fwos%2Fwoscc%2Ffull-record%2FWOS:000876806700001","View Full Record in Web of Science")</f>
        <v>View Full Record in Web of Science</v>
      </c>
    </row>
    <row r="858" spans="1:72" x14ac:dyDescent="0.15">
      <c r="A858" t="s">
        <v>72</v>
      </c>
      <c r="B858" t="s">
        <v>16381</v>
      </c>
      <c r="C858" t="s">
        <v>74</v>
      </c>
      <c r="D858" t="s">
        <v>74</v>
      </c>
      <c r="E858" t="s">
        <v>74</v>
      </c>
      <c r="F858" t="s">
        <v>16382</v>
      </c>
      <c r="G858" t="s">
        <v>74</v>
      </c>
      <c r="H858" t="s">
        <v>74</v>
      </c>
      <c r="I858" t="s">
        <v>16383</v>
      </c>
      <c r="J858" t="s">
        <v>16384</v>
      </c>
      <c r="K858" t="s">
        <v>74</v>
      </c>
      <c r="L858" t="s">
        <v>74</v>
      </c>
      <c r="M858" t="s">
        <v>78</v>
      </c>
      <c r="N858" t="s">
        <v>79</v>
      </c>
      <c r="O858" t="s">
        <v>74</v>
      </c>
      <c r="P858" t="s">
        <v>74</v>
      </c>
      <c r="Q858" t="s">
        <v>74</v>
      </c>
      <c r="R858" t="s">
        <v>74</v>
      </c>
      <c r="S858" t="s">
        <v>74</v>
      </c>
      <c r="T858" t="s">
        <v>16385</v>
      </c>
      <c r="U858" t="s">
        <v>16386</v>
      </c>
      <c r="V858" t="s">
        <v>16387</v>
      </c>
      <c r="W858" t="s">
        <v>16388</v>
      </c>
      <c r="X858" t="s">
        <v>16389</v>
      </c>
      <c r="Y858" t="s">
        <v>16390</v>
      </c>
      <c r="Z858" t="s">
        <v>16391</v>
      </c>
      <c r="AA858" t="s">
        <v>16392</v>
      </c>
      <c r="AB858" t="s">
        <v>16393</v>
      </c>
      <c r="AC858" t="s">
        <v>74</v>
      </c>
      <c r="AD858" t="s">
        <v>74</v>
      </c>
      <c r="AE858" t="s">
        <v>74</v>
      </c>
      <c r="AF858" t="s">
        <v>74</v>
      </c>
      <c r="AG858">
        <v>35</v>
      </c>
      <c r="AH858">
        <v>6</v>
      </c>
      <c r="AI858">
        <v>6</v>
      </c>
      <c r="AJ858">
        <v>8</v>
      </c>
      <c r="AK858">
        <v>21</v>
      </c>
      <c r="AL858" t="s">
        <v>7504</v>
      </c>
      <c r="AM858" t="s">
        <v>375</v>
      </c>
      <c r="AN858" t="s">
        <v>7505</v>
      </c>
      <c r="AO858" t="s">
        <v>16394</v>
      </c>
      <c r="AP858" t="s">
        <v>16395</v>
      </c>
      <c r="AQ858" t="s">
        <v>74</v>
      </c>
      <c r="AR858" t="s">
        <v>16396</v>
      </c>
      <c r="AS858" t="s">
        <v>16397</v>
      </c>
      <c r="AT858" t="s">
        <v>16398</v>
      </c>
      <c r="AU858">
        <v>2022</v>
      </c>
      <c r="AV858">
        <v>380</v>
      </c>
      <c r="AW858">
        <v>2235</v>
      </c>
      <c r="AX858" t="s">
        <v>74</v>
      </c>
      <c r="AY858" t="s">
        <v>74</v>
      </c>
      <c r="AZ858" t="s">
        <v>74</v>
      </c>
      <c r="BA858" t="s">
        <v>74</v>
      </c>
      <c r="BB858" t="s">
        <v>74</v>
      </c>
      <c r="BC858" t="s">
        <v>74</v>
      </c>
      <c r="BD858">
        <v>20210267</v>
      </c>
      <c r="BE858" t="s">
        <v>16399</v>
      </c>
      <c r="BF858" t="str">
        <f>HYPERLINK("http://dx.doi.org/10.1098/rsta.2021.0267","http://dx.doi.org/10.1098/rsta.2021.0267")</f>
        <v>http://dx.doi.org/10.1098/rsta.2021.0267</v>
      </c>
      <c r="BG858" t="s">
        <v>74</v>
      </c>
      <c r="BH858" t="s">
        <v>74</v>
      </c>
      <c r="BI858">
        <v>6</v>
      </c>
      <c r="BJ858" t="s">
        <v>189</v>
      </c>
      <c r="BK858" t="s">
        <v>104</v>
      </c>
      <c r="BL858" t="s">
        <v>190</v>
      </c>
      <c r="BM858" t="s">
        <v>16400</v>
      </c>
      <c r="BN858">
        <v>36088930</v>
      </c>
      <c r="BO858" t="s">
        <v>16063</v>
      </c>
      <c r="BP858" t="s">
        <v>74</v>
      </c>
      <c r="BQ858" t="s">
        <v>74</v>
      </c>
      <c r="BR858" t="s">
        <v>108</v>
      </c>
      <c r="BS858" t="s">
        <v>16401</v>
      </c>
      <c r="BT858" t="str">
        <f>HYPERLINK("https%3A%2F%2Fwww.webofscience.com%2Fwos%2Fwoscc%2Ffull-record%2FWOS:000862925000004","View Full Record in Web of Science")</f>
        <v>View Full Record in Web of Science</v>
      </c>
    </row>
    <row r="859" spans="1:72" x14ac:dyDescent="0.15">
      <c r="A859" t="s">
        <v>72</v>
      </c>
      <c r="B859" t="s">
        <v>16381</v>
      </c>
      <c r="C859" t="s">
        <v>74</v>
      </c>
      <c r="D859" t="s">
        <v>74</v>
      </c>
      <c r="E859" t="s">
        <v>74</v>
      </c>
      <c r="F859" t="s">
        <v>16402</v>
      </c>
      <c r="G859" t="s">
        <v>74</v>
      </c>
      <c r="H859" t="s">
        <v>74</v>
      </c>
      <c r="I859" t="s">
        <v>16403</v>
      </c>
      <c r="J859" t="s">
        <v>16384</v>
      </c>
      <c r="K859" t="s">
        <v>74</v>
      </c>
      <c r="L859" t="s">
        <v>74</v>
      </c>
      <c r="M859" t="s">
        <v>78</v>
      </c>
      <c r="N859" t="s">
        <v>743</v>
      </c>
      <c r="O859" t="s">
        <v>74</v>
      </c>
      <c r="P859" t="s">
        <v>74</v>
      </c>
      <c r="Q859" t="s">
        <v>74</v>
      </c>
      <c r="R859" t="s">
        <v>74</v>
      </c>
      <c r="S859" t="s">
        <v>74</v>
      </c>
      <c r="T859" t="s">
        <v>16404</v>
      </c>
      <c r="U859" t="s">
        <v>16405</v>
      </c>
      <c r="V859" t="s">
        <v>16406</v>
      </c>
      <c r="W859" t="s">
        <v>16407</v>
      </c>
      <c r="X859" t="s">
        <v>16389</v>
      </c>
      <c r="Y859" t="s">
        <v>16390</v>
      </c>
      <c r="Z859" t="s">
        <v>16391</v>
      </c>
      <c r="AA859" t="s">
        <v>16408</v>
      </c>
      <c r="AB859" t="s">
        <v>16409</v>
      </c>
      <c r="AC859" t="s">
        <v>16410</v>
      </c>
      <c r="AD859" t="s">
        <v>16411</v>
      </c>
      <c r="AE859" t="s">
        <v>16412</v>
      </c>
      <c r="AF859" t="s">
        <v>74</v>
      </c>
      <c r="AG859">
        <v>35</v>
      </c>
      <c r="AH859">
        <v>4</v>
      </c>
      <c r="AI859">
        <v>4</v>
      </c>
      <c r="AJ859">
        <v>3</v>
      </c>
      <c r="AK859">
        <v>7</v>
      </c>
      <c r="AL859" t="s">
        <v>7504</v>
      </c>
      <c r="AM859" t="s">
        <v>375</v>
      </c>
      <c r="AN859" t="s">
        <v>7505</v>
      </c>
      <c r="AO859" t="s">
        <v>16394</v>
      </c>
      <c r="AP859" t="s">
        <v>16395</v>
      </c>
      <c r="AQ859" t="s">
        <v>74</v>
      </c>
      <c r="AR859" t="s">
        <v>16396</v>
      </c>
      <c r="AS859" t="s">
        <v>16397</v>
      </c>
      <c r="AT859" t="s">
        <v>16398</v>
      </c>
      <c r="AU859">
        <v>2022</v>
      </c>
      <c r="AV859">
        <v>380</v>
      </c>
      <c r="AW859">
        <v>2235</v>
      </c>
      <c r="AX859" t="s">
        <v>74</v>
      </c>
      <c r="AY859" t="s">
        <v>74</v>
      </c>
      <c r="AZ859" t="s">
        <v>74</v>
      </c>
      <c r="BA859" t="s">
        <v>74</v>
      </c>
      <c r="BB859" t="s">
        <v>74</v>
      </c>
      <c r="BC859" t="s">
        <v>74</v>
      </c>
      <c r="BD859">
        <v>20210265</v>
      </c>
      <c r="BE859" t="s">
        <v>16413</v>
      </c>
      <c r="BF859" t="str">
        <f>HYPERLINK("http://dx.doi.org/10.1098/rsta.2021.0265","http://dx.doi.org/10.1098/rsta.2021.0265")</f>
        <v>http://dx.doi.org/10.1098/rsta.2021.0265</v>
      </c>
      <c r="BG859" t="s">
        <v>74</v>
      </c>
      <c r="BH859" t="s">
        <v>74</v>
      </c>
      <c r="BI859">
        <v>5</v>
      </c>
      <c r="BJ859" t="s">
        <v>189</v>
      </c>
      <c r="BK859" t="s">
        <v>104</v>
      </c>
      <c r="BL859" t="s">
        <v>190</v>
      </c>
      <c r="BM859" t="s">
        <v>16400</v>
      </c>
      <c r="BN859">
        <v>36088926</v>
      </c>
      <c r="BO859" t="s">
        <v>1800</v>
      </c>
      <c r="BP859" t="s">
        <v>74</v>
      </c>
      <c r="BQ859" t="s">
        <v>74</v>
      </c>
      <c r="BR859" t="s">
        <v>108</v>
      </c>
      <c r="BS859" t="s">
        <v>16414</v>
      </c>
      <c r="BT859" t="str">
        <f>HYPERLINK("https%3A%2F%2Fwww.webofscience.com%2Fwos%2Fwoscc%2Ffull-record%2FWOS:000862925000006","View Full Record in Web of Science")</f>
        <v>View Full Record in Web of Science</v>
      </c>
    </row>
    <row r="860" spans="1:72" x14ac:dyDescent="0.15">
      <c r="A860" t="s">
        <v>72</v>
      </c>
      <c r="B860" t="s">
        <v>16415</v>
      </c>
      <c r="C860" t="s">
        <v>74</v>
      </c>
      <c r="D860" t="s">
        <v>74</v>
      </c>
      <c r="E860" t="s">
        <v>74</v>
      </c>
      <c r="F860" t="s">
        <v>16416</v>
      </c>
      <c r="G860" t="s">
        <v>74</v>
      </c>
      <c r="H860" t="s">
        <v>74</v>
      </c>
      <c r="I860" t="s">
        <v>16417</v>
      </c>
      <c r="J860" t="s">
        <v>16384</v>
      </c>
      <c r="K860" t="s">
        <v>74</v>
      </c>
      <c r="L860" t="s">
        <v>74</v>
      </c>
      <c r="M860" t="s">
        <v>78</v>
      </c>
      <c r="N860" t="s">
        <v>79</v>
      </c>
      <c r="O860" t="s">
        <v>74</v>
      </c>
      <c r="P860" t="s">
        <v>74</v>
      </c>
      <c r="Q860" t="s">
        <v>74</v>
      </c>
      <c r="R860" t="s">
        <v>74</v>
      </c>
      <c r="S860" t="s">
        <v>74</v>
      </c>
      <c r="T860" t="s">
        <v>16418</v>
      </c>
      <c r="U860" t="s">
        <v>16419</v>
      </c>
      <c r="V860" t="s">
        <v>16420</v>
      </c>
      <c r="W860" t="s">
        <v>16421</v>
      </c>
      <c r="X860" t="s">
        <v>16422</v>
      </c>
      <c r="Y860" t="s">
        <v>16423</v>
      </c>
      <c r="Z860" t="s">
        <v>16424</v>
      </c>
      <c r="AA860" t="s">
        <v>16425</v>
      </c>
      <c r="AB860" t="s">
        <v>16426</v>
      </c>
      <c r="AC860" t="s">
        <v>16427</v>
      </c>
      <c r="AD860" t="s">
        <v>16428</v>
      </c>
      <c r="AE860" t="s">
        <v>16429</v>
      </c>
      <c r="AF860" t="s">
        <v>74</v>
      </c>
      <c r="AG860">
        <v>73</v>
      </c>
      <c r="AH860">
        <v>14</v>
      </c>
      <c r="AI860">
        <v>14</v>
      </c>
      <c r="AJ860">
        <v>1</v>
      </c>
      <c r="AK860">
        <v>7</v>
      </c>
      <c r="AL860" t="s">
        <v>7504</v>
      </c>
      <c r="AM860" t="s">
        <v>375</v>
      </c>
      <c r="AN860" t="s">
        <v>7505</v>
      </c>
      <c r="AO860" t="s">
        <v>16394</v>
      </c>
      <c r="AP860" t="s">
        <v>16395</v>
      </c>
      <c r="AQ860" t="s">
        <v>74</v>
      </c>
      <c r="AR860" t="s">
        <v>16396</v>
      </c>
      <c r="AS860" t="s">
        <v>16397</v>
      </c>
      <c r="AT860" t="s">
        <v>16398</v>
      </c>
      <c r="AU860">
        <v>2022</v>
      </c>
      <c r="AV860">
        <v>380</v>
      </c>
      <c r="AW860">
        <v>2235</v>
      </c>
      <c r="AX860" t="s">
        <v>74</v>
      </c>
      <c r="AY860" t="s">
        <v>74</v>
      </c>
      <c r="AZ860" t="s">
        <v>74</v>
      </c>
      <c r="BA860" t="s">
        <v>74</v>
      </c>
      <c r="BB860" t="s">
        <v>74</v>
      </c>
      <c r="BC860" t="s">
        <v>74</v>
      </c>
      <c r="BD860">
        <v>20210258</v>
      </c>
      <c r="BE860" t="s">
        <v>16430</v>
      </c>
      <c r="BF860" t="str">
        <f>HYPERLINK("http://dx.doi.org/10.1098/rsta.2021.0258","http://dx.doi.org/10.1098/rsta.2021.0258")</f>
        <v>http://dx.doi.org/10.1098/rsta.2021.0258</v>
      </c>
      <c r="BG860" t="s">
        <v>74</v>
      </c>
      <c r="BH860" t="s">
        <v>74</v>
      </c>
      <c r="BI860">
        <v>19</v>
      </c>
      <c r="BJ860" t="s">
        <v>189</v>
      </c>
      <c r="BK860" t="s">
        <v>104</v>
      </c>
      <c r="BL860" t="s">
        <v>190</v>
      </c>
      <c r="BM860" t="s">
        <v>16400</v>
      </c>
      <c r="BN860">
        <v>36088918</v>
      </c>
      <c r="BO860" t="s">
        <v>74</v>
      </c>
      <c r="BP860" t="s">
        <v>74</v>
      </c>
      <c r="BQ860" t="s">
        <v>74</v>
      </c>
      <c r="BR860" t="s">
        <v>108</v>
      </c>
      <c r="BS860" t="s">
        <v>16431</v>
      </c>
      <c r="BT860" t="str">
        <f>HYPERLINK("https%3A%2F%2Fwww.webofscience.com%2Fwos%2Fwoscc%2Ffull-record%2FWOS:000862925000017","View Full Record in Web of Science")</f>
        <v>View Full Record in Web of Science</v>
      </c>
    </row>
    <row r="861" spans="1:72" x14ac:dyDescent="0.15">
      <c r="A861" t="s">
        <v>72</v>
      </c>
      <c r="B861" t="s">
        <v>16432</v>
      </c>
      <c r="C861" t="s">
        <v>74</v>
      </c>
      <c r="D861" t="s">
        <v>74</v>
      </c>
      <c r="E861" t="s">
        <v>74</v>
      </c>
      <c r="F861" t="s">
        <v>16433</v>
      </c>
      <c r="G861" t="s">
        <v>74</v>
      </c>
      <c r="H861" t="s">
        <v>74</v>
      </c>
      <c r="I861" t="s">
        <v>16434</v>
      </c>
      <c r="J861" t="s">
        <v>16384</v>
      </c>
      <c r="K861" t="s">
        <v>74</v>
      </c>
      <c r="L861" t="s">
        <v>74</v>
      </c>
      <c r="M861" t="s">
        <v>78</v>
      </c>
      <c r="N861" t="s">
        <v>743</v>
      </c>
      <c r="O861" t="s">
        <v>74</v>
      </c>
      <c r="P861" t="s">
        <v>74</v>
      </c>
      <c r="Q861" t="s">
        <v>74</v>
      </c>
      <c r="R861" t="s">
        <v>74</v>
      </c>
      <c r="S861" t="s">
        <v>74</v>
      </c>
      <c r="T861" t="s">
        <v>16435</v>
      </c>
      <c r="U861" t="s">
        <v>16436</v>
      </c>
      <c r="V861" t="s">
        <v>16437</v>
      </c>
      <c r="W861" t="s">
        <v>16438</v>
      </c>
      <c r="X861" t="s">
        <v>16439</v>
      </c>
      <c r="Y861" t="s">
        <v>16440</v>
      </c>
      <c r="Z861" t="s">
        <v>16441</v>
      </c>
      <c r="AA861" t="s">
        <v>74</v>
      </c>
      <c r="AB861" t="s">
        <v>74</v>
      </c>
      <c r="AC861" t="s">
        <v>16439</v>
      </c>
      <c r="AD861" t="s">
        <v>16439</v>
      </c>
      <c r="AE861" t="s">
        <v>16442</v>
      </c>
      <c r="AF861" t="s">
        <v>74</v>
      </c>
      <c r="AG861">
        <v>45</v>
      </c>
      <c r="AH861">
        <v>5</v>
      </c>
      <c r="AI861">
        <v>5</v>
      </c>
      <c r="AJ861">
        <v>2</v>
      </c>
      <c r="AK861">
        <v>9</v>
      </c>
      <c r="AL861" t="s">
        <v>7504</v>
      </c>
      <c r="AM861" t="s">
        <v>375</v>
      </c>
      <c r="AN861" t="s">
        <v>7505</v>
      </c>
      <c r="AO861" t="s">
        <v>16394</v>
      </c>
      <c r="AP861" t="s">
        <v>16395</v>
      </c>
      <c r="AQ861" t="s">
        <v>74</v>
      </c>
      <c r="AR861" t="s">
        <v>16396</v>
      </c>
      <c r="AS861" t="s">
        <v>16397</v>
      </c>
      <c r="AT861" t="s">
        <v>16398</v>
      </c>
      <c r="AU861">
        <v>2022</v>
      </c>
      <c r="AV861">
        <v>380</v>
      </c>
      <c r="AW861">
        <v>2235</v>
      </c>
      <c r="AX861" t="s">
        <v>74</v>
      </c>
      <c r="AY861" t="s">
        <v>74</v>
      </c>
      <c r="AZ861" t="s">
        <v>74</v>
      </c>
      <c r="BA861" t="s">
        <v>74</v>
      </c>
      <c r="BB861" t="s">
        <v>74</v>
      </c>
      <c r="BC861" t="s">
        <v>74</v>
      </c>
      <c r="BD861">
        <v>20220094</v>
      </c>
      <c r="BE861" t="s">
        <v>16443</v>
      </c>
      <c r="BF861" t="str">
        <f>HYPERLINK("http://dx.doi.org/10.1098/rsta.2022.0094","http://dx.doi.org/10.1098/rsta.2022.0094")</f>
        <v>http://dx.doi.org/10.1098/rsta.2022.0094</v>
      </c>
      <c r="BG861" t="s">
        <v>74</v>
      </c>
      <c r="BH861" t="s">
        <v>74</v>
      </c>
      <c r="BI861">
        <v>8</v>
      </c>
      <c r="BJ861" t="s">
        <v>189</v>
      </c>
      <c r="BK861" t="s">
        <v>104</v>
      </c>
      <c r="BL861" t="s">
        <v>190</v>
      </c>
      <c r="BM861" t="s">
        <v>16400</v>
      </c>
      <c r="BN861">
        <v>36088917</v>
      </c>
      <c r="BO861" t="s">
        <v>74</v>
      </c>
      <c r="BP861" t="s">
        <v>74</v>
      </c>
      <c r="BQ861" t="s">
        <v>74</v>
      </c>
      <c r="BR861" t="s">
        <v>108</v>
      </c>
      <c r="BS861" t="s">
        <v>16444</v>
      </c>
      <c r="BT861" t="str">
        <f>HYPERLINK("https%3A%2F%2Fwww.webofscience.com%2Fwos%2Fwoscc%2Ffull-record%2FWOS:000862925000013","View Full Record in Web of Science")</f>
        <v>View Full Record in Web of Science</v>
      </c>
    </row>
    <row r="862" spans="1:72" x14ac:dyDescent="0.15">
      <c r="A862" t="s">
        <v>72</v>
      </c>
      <c r="B862" t="s">
        <v>16432</v>
      </c>
      <c r="C862" t="s">
        <v>74</v>
      </c>
      <c r="D862" t="s">
        <v>74</v>
      </c>
      <c r="E862" t="s">
        <v>74</v>
      </c>
      <c r="F862" t="s">
        <v>16433</v>
      </c>
      <c r="G862" t="s">
        <v>74</v>
      </c>
      <c r="H862" t="s">
        <v>74</v>
      </c>
      <c r="I862" t="s">
        <v>16445</v>
      </c>
      <c r="J862" t="s">
        <v>16384</v>
      </c>
      <c r="K862" t="s">
        <v>74</v>
      </c>
      <c r="L862" t="s">
        <v>74</v>
      </c>
      <c r="M862" t="s">
        <v>78</v>
      </c>
      <c r="N862" t="s">
        <v>743</v>
      </c>
      <c r="O862" t="s">
        <v>74</v>
      </c>
      <c r="P862" t="s">
        <v>74</v>
      </c>
      <c r="Q862" t="s">
        <v>74</v>
      </c>
      <c r="R862" t="s">
        <v>74</v>
      </c>
      <c r="S862" t="s">
        <v>74</v>
      </c>
      <c r="T862" t="s">
        <v>16446</v>
      </c>
      <c r="U862" t="s">
        <v>16447</v>
      </c>
      <c r="V862" t="s">
        <v>16448</v>
      </c>
      <c r="W862" t="s">
        <v>16449</v>
      </c>
      <c r="X862" t="s">
        <v>16439</v>
      </c>
      <c r="Y862" t="s">
        <v>16450</v>
      </c>
      <c r="Z862" t="s">
        <v>16441</v>
      </c>
      <c r="AA862" t="s">
        <v>74</v>
      </c>
      <c r="AB862" t="s">
        <v>74</v>
      </c>
      <c r="AC862" t="s">
        <v>74</v>
      </c>
      <c r="AD862" t="s">
        <v>74</v>
      </c>
      <c r="AE862" t="s">
        <v>74</v>
      </c>
      <c r="AF862" t="s">
        <v>74</v>
      </c>
      <c r="AG862">
        <v>12</v>
      </c>
      <c r="AH862">
        <v>6</v>
      </c>
      <c r="AI862">
        <v>6</v>
      </c>
      <c r="AJ862">
        <v>3</v>
      </c>
      <c r="AK862">
        <v>11</v>
      </c>
      <c r="AL862" t="s">
        <v>7504</v>
      </c>
      <c r="AM862" t="s">
        <v>375</v>
      </c>
      <c r="AN862" t="s">
        <v>7505</v>
      </c>
      <c r="AO862" t="s">
        <v>16394</v>
      </c>
      <c r="AP862" t="s">
        <v>16395</v>
      </c>
      <c r="AQ862" t="s">
        <v>74</v>
      </c>
      <c r="AR862" t="s">
        <v>16396</v>
      </c>
      <c r="AS862" t="s">
        <v>16397</v>
      </c>
      <c r="AT862" t="s">
        <v>16398</v>
      </c>
      <c r="AU862">
        <v>2022</v>
      </c>
      <c r="AV862">
        <v>380</v>
      </c>
      <c r="AW862">
        <v>2235</v>
      </c>
      <c r="AX862" t="s">
        <v>74</v>
      </c>
      <c r="AY862" t="s">
        <v>74</v>
      </c>
      <c r="AZ862" t="s">
        <v>74</v>
      </c>
      <c r="BA862" t="s">
        <v>74</v>
      </c>
      <c r="BB862" t="s">
        <v>74</v>
      </c>
      <c r="BC862" t="s">
        <v>74</v>
      </c>
      <c r="BD862">
        <v>20210266</v>
      </c>
      <c r="BE862" t="s">
        <v>16451</v>
      </c>
      <c r="BF862" t="str">
        <f>HYPERLINK("http://dx.doi.org/10.1098/rsta.2021.0266","http://dx.doi.org/10.1098/rsta.2021.0266")</f>
        <v>http://dx.doi.org/10.1098/rsta.2021.0266</v>
      </c>
      <c r="BG862" t="s">
        <v>74</v>
      </c>
      <c r="BH862" t="s">
        <v>74</v>
      </c>
      <c r="BI862">
        <v>4</v>
      </c>
      <c r="BJ862" t="s">
        <v>189</v>
      </c>
      <c r="BK862" t="s">
        <v>104</v>
      </c>
      <c r="BL862" t="s">
        <v>190</v>
      </c>
      <c r="BM862" t="s">
        <v>16400</v>
      </c>
      <c r="BN862">
        <v>36088928</v>
      </c>
      <c r="BO862" t="s">
        <v>248</v>
      </c>
      <c r="BP862" t="s">
        <v>74</v>
      </c>
      <c r="BQ862" t="s">
        <v>74</v>
      </c>
      <c r="BR862" t="s">
        <v>108</v>
      </c>
      <c r="BS862" t="s">
        <v>16452</v>
      </c>
      <c r="BT862" t="str">
        <f>HYPERLINK("https%3A%2F%2Fwww.webofscience.com%2Fwos%2Fwoscc%2Ffull-record%2FWOS:000862925000015","View Full Record in Web of Science")</f>
        <v>View Full Record in Web of Science</v>
      </c>
    </row>
    <row r="863" spans="1:72" x14ac:dyDescent="0.15">
      <c r="A863" t="s">
        <v>72</v>
      </c>
      <c r="B863" t="s">
        <v>16453</v>
      </c>
      <c r="C863" t="s">
        <v>74</v>
      </c>
      <c r="D863" t="s">
        <v>74</v>
      </c>
      <c r="E863" t="s">
        <v>74</v>
      </c>
      <c r="F863" t="s">
        <v>16454</v>
      </c>
      <c r="G863" t="s">
        <v>74</v>
      </c>
      <c r="H863" t="s">
        <v>74</v>
      </c>
      <c r="I863" t="s">
        <v>16455</v>
      </c>
      <c r="J863" t="s">
        <v>16384</v>
      </c>
      <c r="K863" t="s">
        <v>74</v>
      </c>
      <c r="L863" t="s">
        <v>74</v>
      </c>
      <c r="M863" t="s">
        <v>78</v>
      </c>
      <c r="N863" t="s">
        <v>79</v>
      </c>
      <c r="O863" t="s">
        <v>74</v>
      </c>
      <c r="P863" t="s">
        <v>74</v>
      </c>
      <c r="Q863" t="s">
        <v>74</v>
      </c>
      <c r="R863" t="s">
        <v>74</v>
      </c>
      <c r="S863" t="s">
        <v>74</v>
      </c>
      <c r="T863" t="s">
        <v>16456</v>
      </c>
      <c r="U863" t="s">
        <v>16457</v>
      </c>
      <c r="V863" t="s">
        <v>16458</v>
      </c>
      <c r="W863" t="s">
        <v>16459</v>
      </c>
      <c r="X863" t="s">
        <v>16460</v>
      </c>
      <c r="Y863" t="s">
        <v>16461</v>
      </c>
      <c r="Z863" t="s">
        <v>16462</v>
      </c>
      <c r="AA863" t="s">
        <v>16463</v>
      </c>
      <c r="AB863" t="s">
        <v>16464</v>
      </c>
      <c r="AC863" t="s">
        <v>16465</v>
      </c>
      <c r="AD863" t="s">
        <v>16466</v>
      </c>
      <c r="AE863" t="s">
        <v>16467</v>
      </c>
      <c r="AF863" t="s">
        <v>74</v>
      </c>
      <c r="AG863">
        <v>64</v>
      </c>
      <c r="AH863">
        <v>9</v>
      </c>
      <c r="AI863">
        <v>9</v>
      </c>
      <c r="AJ863">
        <v>1</v>
      </c>
      <c r="AK863">
        <v>4</v>
      </c>
      <c r="AL863" t="s">
        <v>7504</v>
      </c>
      <c r="AM863" t="s">
        <v>375</v>
      </c>
      <c r="AN863" t="s">
        <v>7505</v>
      </c>
      <c r="AO863" t="s">
        <v>16394</v>
      </c>
      <c r="AP863" t="s">
        <v>16395</v>
      </c>
      <c r="AQ863" t="s">
        <v>74</v>
      </c>
      <c r="AR863" t="s">
        <v>16396</v>
      </c>
      <c r="AS863" t="s">
        <v>16397</v>
      </c>
      <c r="AT863" t="s">
        <v>16398</v>
      </c>
      <c r="AU863">
        <v>2022</v>
      </c>
      <c r="AV863">
        <v>380</v>
      </c>
      <c r="AW863">
        <v>2235</v>
      </c>
      <c r="AX863" t="s">
        <v>74</v>
      </c>
      <c r="AY863" t="s">
        <v>74</v>
      </c>
      <c r="AZ863" t="s">
        <v>74</v>
      </c>
      <c r="BA863" t="s">
        <v>74</v>
      </c>
      <c r="BB863" t="s">
        <v>74</v>
      </c>
      <c r="BC863" t="s">
        <v>74</v>
      </c>
      <c r="BD863">
        <v>20210256</v>
      </c>
      <c r="BE863" t="s">
        <v>16468</v>
      </c>
      <c r="BF863" t="str">
        <f>HYPERLINK("http://dx.doi.org/10.1098/rsta.2021.0256","http://dx.doi.org/10.1098/rsta.2021.0256")</f>
        <v>http://dx.doi.org/10.1098/rsta.2021.0256</v>
      </c>
      <c r="BG863" t="s">
        <v>74</v>
      </c>
      <c r="BH863" t="s">
        <v>74</v>
      </c>
      <c r="BI863">
        <v>18</v>
      </c>
      <c r="BJ863" t="s">
        <v>189</v>
      </c>
      <c r="BK863" t="s">
        <v>104</v>
      </c>
      <c r="BL863" t="s">
        <v>190</v>
      </c>
      <c r="BM863" t="s">
        <v>16400</v>
      </c>
      <c r="BN863">
        <v>36088931</v>
      </c>
      <c r="BO863" t="s">
        <v>1727</v>
      </c>
      <c r="BP863" t="s">
        <v>74</v>
      </c>
      <c r="BQ863" t="s">
        <v>74</v>
      </c>
      <c r="BR863" t="s">
        <v>108</v>
      </c>
      <c r="BS863" t="s">
        <v>16469</v>
      </c>
      <c r="BT863" t="str">
        <f>HYPERLINK("https%3A%2F%2Fwww.webofscience.com%2Fwos%2Fwoscc%2Ffull-record%2FWOS:000862925000001","View Full Record in Web of Science")</f>
        <v>View Full Record in Web of Science</v>
      </c>
    </row>
    <row r="864" spans="1:72" x14ac:dyDescent="0.15">
      <c r="A864" t="s">
        <v>72</v>
      </c>
      <c r="B864" t="s">
        <v>16470</v>
      </c>
      <c r="C864" t="s">
        <v>74</v>
      </c>
      <c r="D864" t="s">
        <v>74</v>
      </c>
      <c r="E864" t="s">
        <v>74</v>
      </c>
      <c r="F864" t="s">
        <v>16471</v>
      </c>
      <c r="G864" t="s">
        <v>74</v>
      </c>
      <c r="H864" t="s">
        <v>74</v>
      </c>
      <c r="I864" t="s">
        <v>16472</v>
      </c>
      <c r="J864" t="s">
        <v>16473</v>
      </c>
      <c r="K864" t="s">
        <v>74</v>
      </c>
      <c r="L864" t="s">
        <v>74</v>
      </c>
      <c r="M864" t="s">
        <v>78</v>
      </c>
      <c r="N864" t="s">
        <v>79</v>
      </c>
      <c r="O864" t="s">
        <v>74</v>
      </c>
      <c r="P864" t="s">
        <v>74</v>
      </c>
      <c r="Q864" t="s">
        <v>74</v>
      </c>
      <c r="R864" t="s">
        <v>74</v>
      </c>
      <c r="S864" t="s">
        <v>74</v>
      </c>
      <c r="T864" t="s">
        <v>16474</v>
      </c>
      <c r="U864" t="s">
        <v>16475</v>
      </c>
      <c r="V864" t="s">
        <v>16476</v>
      </c>
      <c r="W864" t="s">
        <v>16477</v>
      </c>
      <c r="X864" t="s">
        <v>16478</v>
      </c>
      <c r="Y864" t="s">
        <v>16479</v>
      </c>
      <c r="Z864" t="s">
        <v>16480</v>
      </c>
      <c r="AA864" t="s">
        <v>16481</v>
      </c>
      <c r="AB864" t="s">
        <v>16482</v>
      </c>
      <c r="AC864" t="s">
        <v>74</v>
      </c>
      <c r="AD864" t="s">
        <v>74</v>
      </c>
      <c r="AE864" t="s">
        <v>74</v>
      </c>
      <c r="AF864" t="s">
        <v>74</v>
      </c>
      <c r="AG864">
        <v>47</v>
      </c>
      <c r="AH864">
        <v>5</v>
      </c>
      <c r="AI864">
        <v>5</v>
      </c>
      <c r="AJ864">
        <v>6</v>
      </c>
      <c r="AK864">
        <v>22</v>
      </c>
      <c r="AL864" t="s">
        <v>422</v>
      </c>
      <c r="AM864" t="s">
        <v>208</v>
      </c>
      <c r="AN864" t="s">
        <v>423</v>
      </c>
      <c r="AO864" t="s">
        <v>16483</v>
      </c>
      <c r="AP864" t="s">
        <v>16484</v>
      </c>
      <c r="AQ864" t="s">
        <v>74</v>
      </c>
      <c r="AR864" t="s">
        <v>16485</v>
      </c>
      <c r="AS864" t="s">
        <v>16486</v>
      </c>
      <c r="AT864" t="s">
        <v>14975</v>
      </c>
      <c r="AU864">
        <v>2022</v>
      </c>
      <c r="AV864">
        <v>23</v>
      </c>
      <c r="AW864">
        <v>6</v>
      </c>
      <c r="AX864" t="s">
        <v>74</v>
      </c>
      <c r="AY864" t="s">
        <v>74</v>
      </c>
      <c r="AZ864" t="s">
        <v>74</v>
      </c>
      <c r="BA864" t="s">
        <v>74</v>
      </c>
      <c r="BB864" t="s">
        <v>74</v>
      </c>
      <c r="BC864" t="s">
        <v>74</v>
      </c>
      <c r="BD864" t="s">
        <v>74</v>
      </c>
      <c r="BE864" t="s">
        <v>16487</v>
      </c>
      <c r="BF864" t="str">
        <f>HYPERLINK("http://dx.doi.org/10.1093/bib/bbac443","http://dx.doi.org/10.1093/bib/bbac443")</f>
        <v>http://dx.doi.org/10.1093/bib/bbac443</v>
      </c>
      <c r="BG864" t="s">
        <v>74</v>
      </c>
      <c r="BH864" t="s">
        <v>16236</v>
      </c>
      <c r="BI864">
        <v>16</v>
      </c>
      <c r="BJ864" t="s">
        <v>16488</v>
      </c>
      <c r="BK864" t="s">
        <v>104</v>
      </c>
      <c r="BL864" t="s">
        <v>16489</v>
      </c>
      <c r="BM864" t="s">
        <v>16490</v>
      </c>
      <c r="BN864">
        <v>36352504</v>
      </c>
      <c r="BO864" t="s">
        <v>1279</v>
      </c>
      <c r="BP864" t="s">
        <v>74</v>
      </c>
      <c r="BQ864" t="s">
        <v>74</v>
      </c>
      <c r="BR864" t="s">
        <v>108</v>
      </c>
      <c r="BS864" t="s">
        <v>16491</v>
      </c>
      <c r="BT864" t="str">
        <f>HYPERLINK("https%3A%2F%2Fwww.webofscience.com%2Fwos%2Fwoscc%2Ffull-record%2FWOS:000880555900001","View Full Record in Web of Science")</f>
        <v>View Full Record in Web of Science</v>
      </c>
    </row>
    <row r="865" spans="1:72" x14ac:dyDescent="0.15">
      <c r="A865" t="s">
        <v>72</v>
      </c>
      <c r="B865" t="s">
        <v>16492</v>
      </c>
      <c r="C865" t="s">
        <v>74</v>
      </c>
      <c r="D865" t="s">
        <v>74</v>
      </c>
      <c r="E865" t="s">
        <v>74</v>
      </c>
      <c r="F865" t="s">
        <v>16493</v>
      </c>
      <c r="G865" t="s">
        <v>74</v>
      </c>
      <c r="H865" t="s">
        <v>74</v>
      </c>
      <c r="I865" t="s">
        <v>16494</v>
      </c>
      <c r="J865" t="s">
        <v>6711</v>
      </c>
      <c r="K865" t="s">
        <v>74</v>
      </c>
      <c r="L865" t="s">
        <v>74</v>
      </c>
      <c r="M865" t="s">
        <v>78</v>
      </c>
      <c r="N865" t="s">
        <v>79</v>
      </c>
      <c r="O865" t="s">
        <v>74</v>
      </c>
      <c r="P865" t="s">
        <v>74</v>
      </c>
      <c r="Q865" t="s">
        <v>74</v>
      </c>
      <c r="R865" t="s">
        <v>74</v>
      </c>
      <c r="S865" t="s">
        <v>74</v>
      </c>
      <c r="T865" t="s">
        <v>16495</v>
      </c>
      <c r="U865" t="s">
        <v>16496</v>
      </c>
      <c r="V865" t="s">
        <v>16497</v>
      </c>
      <c r="W865" t="s">
        <v>16498</v>
      </c>
      <c r="X865" t="s">
        <v>16499</v>
      </c>
      <c r="Y865" t="s">
        <v>16500</v>
      </c>
      <c r="Z865" t="s">
        <v>16501</v>
      </c>
      <c r="AA865" t="s">
        <v>16502</v>
      </c>
      <c r="AB865" t="s">
        <v>74</v>
      </c>
      <c r="AC865" t="s">
        <v>16503</v>
      </c>
      <c r="AD865" t="s">
        <v>10258</v>
      </c>
      <c r="AE865" t="s">
        <v>16504</v>
      </c>
      <c r="AF865" t="s">
        <v>74</v>
      </c>
      <c r="AG865">
        <v>50</v>
      </c>
      <c r="AH865">
        <v>4</v>
      </c>
      <c r="AI865">
        <v>4</v>
      </c>
      <c r="AJ865">
        <v>1</v>
      </c>
      <c r="AK865">
        <v>14</v>
      </c>
      <c r="AL865" t="s">
        <v>603</v>
      </c>
      <c r="AM865" t="s">
        <v>208</v>
      </c>
      <c r="AN865" t="s">
        <v>604</v>
      </c>
      <c r="AO865" t="s">
        <v>6723</v>
      </c>
      <c r="AP865" t="s">
        <v>6724</v>
      </c>
      <c r="AQ865" t="s">
        <v>74</v>
      </c>
      <c r="AR865" t="s">
        <v>6725</v>
      </c>
      <c r="AS865" t="s">
        <v>6726</v>
      </c>
      <c r="AT865" t="s">
        <v>9001</v>
      </c>
      <c r="AU865">
        <v>2022</v>
      </c>
      <c r="AV865">
        <v>185</v>
      </c>
      <c r="AW865" t="s">
        <v>74</v>
      </c>
      <c r="AX865" t="s">
        <v>12005</v>
      </c>
      <c r="AY865" t="s">
        <v>74</v>
      </c>
      <c r="AZ865" t="s">
        <v>74</v>
      </c>
      <c r="BA865" t="s">
        <v>74</v>
      </c>
      <c r="BB865" t="s">
        <v>74</v>
      </c>
      <c r="BC865" t="s">
        <v>74</v>
      </c>
      <c r="BD865">
        <v>114286</v>
      </c>
      <c r="BE865" t="s">
        <v>16505</v>
      </c>
      <c r="BF865" t="str">
        <f>HYPERLINK("http://dx.doi.org/10.1016/j.marpolbul.2022.114286","http://dx.doi.org/10.1016/j.marpolbul.2022.114286")</f>
        <v>http://dx.doi.org/10.1016/j.marpolbul.2022.114286</v>
      </c>
      <c r="BG865" t="s">
        <v>74</v>
      </c>
      <c r="BH865" t="s">
        <v>16236</v>
      </c>
      <c r="BI865">
        <v>8</v>
      </c>
      <c r="BJ865" t="s">
        <v>6728</v>
      </c>
      <c r="BK865" t="s">
        <v>104</v>
      </c>
      <c r="BL865" t="s">
        <v>6729</v>
      </c>
      <c r="BM865" t="s">
        <v>16506</v>
      </c>
      <c r="BN865">
        <v>36330941</v>
      </c>
      <c r="BO865" t="s">
        <v>14302</v>
      </c>
      <c r="BP865" t="s">
        <v>74</v>
      </c>
      <c r="BQ865" t="s">
        <v>74</v>
      </c>
      <c r="BR865" t="s">
        <v>108</v>
      </c>
      <c r="BS865" t="s">
        <v>16507</v>
      </c>
      <c r="BT865" t="str">
        <f>HYPERLINK("https%3A%2F%2Fwww.webofscience.com%2Fwos%2Fwoscc%2Ffull-record%2FWOS:000882318900003","View Full Record in Web of Science")</f>
        <v>View Full Record in Web of Science</v>
      </c>
    </row>
    <row r="866" spans="1:72" x14ac:dyDescent="0.15">
      <c r="A866" t="s">
        <v>72</v>
      </c>
      <c r="B866" t="s">
        <v>16508</v>
      </c>
      <c r="C866" t="s">
        <v>74</v>
      </c>
      <c r="D866" t="s">
        <v>74</v>
      </c>
      <c r="E866" t="s">
        <v>74</v>
      </c>
      <c r="F866" t="s">
        <v>16509</v>
      </c>
      <c r="G866" t="s">
        <v>74</v>
      </c>
      <c r="H866" t="s">
        <v>74</v>
      </c>
      <c r="I866" t="s">
        <v>16510</v>
      </c>
      <c r="J866" t="s">
        <v>16511</v>
      </c>
      <c r="K866" t="s">
        <v>74</v>
      </c>
      <c r="L866" t="s">
        <v>74</v>
      </c>
      <c r="M866" t="s">
        <v>78</v>
      </c>
      <c r="N866" t="s">
        <v>79</v>
      </c>
      <c r="O866" t="s">
        <v>74</v>
      </c>
      <c r="P866" t="s">
        <v>74</v>
      </c>
      <c r="Q866" t="s">
        <v>74</v>
      </c>
      <c r="R866" t="s">
        <v>74</v>
      </c>
      <c r="S866" t="s">
        <v>74</v>
      </c>
      <c r="T866" t="s">
        <v>16512</v>
      </c>
      <c r="U866" t="s">
        <v>16513</v>
      </c>
      <c r="V866" t="s">
        <v>16514</v>
      </c>
      <c r="W866" t="s">
        <v>16515</v>
      </c>
      <c r="X866" t="s">
        <v>16516</v>
      </c>
      <c r="Y866" t="s">
        <v>16517</v>
      </c>
      <c r="Z866" t="s">
        <v>16518</v>
      </c>
      <c r="AA866" t="s">
        <v>74</v>
      </c>
      <c r="AB866" t="s">
        <v>16519</v>
      </c>
      <c r="AC866" t="s">
        <v>16520</v>
      </c>
      <c r="AD866" t="s">
        <v>16521</v>
      </c>
      <c r="AE866" t="s">
        <v>16522</v>
      </c>
      <c r="AF866" t="s">
        <v>74</v>
      </c>
      <c r="AG866">
        <v>60</v>
      </c>
      <c r="AH866">
        <v>3</v>
      </c>
      <c r="AI866">
        <v>3</v>
      </c>
      <c r="AJ866">
        <v>0</v>
      </c>
      <c r="AK866">
        <v>4</v>
      </c>
      <c r="AL866" t="s">
        <v>676</v>
      </c>
      <c r="AM866" t="s">
        <v>375</v>
      </c>
      <c r="AN866" t="s">
        <v>677</v>
      </c>
      <c r="AO866" t="s">
        <v>16523</v>
      </c>
      <c r="AP866" t="s">
        <v>16524</v>
      </c>
      <c r="AQ866" t="s">
        <v>74</v>
      </c>
      <c r="AR866" t="s">
        <v>16525</v>
      </c>
      <c r="AS866" t="s">
        <v>16526</v>
      </c>
      <c r="AT866" t="s">
        <v>14570</v>
      </c>
      <c r="AU866">
        <v>2022</v>
      </c>
      <c r="AV866">
        <v>278</v>
      </c>
      <c r="AW866" t="s">
        <v>74</v>
      </c>
      <c r="AX866" t="s">
        <v>74</v>
      </c>
      <c r="AY866" t="s">
        <v>74</v>
      </c>
      <c r="AZ866" t="s">
        <v>74</v>
      </c>
      <c r="BA866" t="s">
        <v>74</v>
      </c>
      <c r="BB866" t="s">
        <v>74</v>
      </c>
      <c r="BC866" t="s">
        <v>74</v>
      </c>
      <c r="BD866">
        <v>108114</v>
      </c>
      <c r="BE866" t="s">
        <v>16527</v>
      </c>
      <c r="BF866" t="str">
        <f>HYPERLINK("http://dx.doi.org/10.1016/j.ecss.2022.108114","http://dx.doi.org/10.1016/j.ecss.2022.108114")</f>
        <v>http://dx.doi.org/10.1016/j.ecss.2022.108114</v>
      </c>
      <c r="BG866" t="s">
        <v>74</v>
      </c>
      <c r="BH866" t="s">
        <v>16236</v>
      </c>
      <c r="BI866">
        <v>11</v>
      </c>
      <c r="BJ866" t="s">
        <v>556</v>
      </c>
      <c r="BK866" t="s">
        <v>104</v>
      </c>
      <c r="BL866" t="s">
        <v>556</v>
      </c>
      <c r="BM866" t="s">
        <v>16528</v>
      </c>
      <c r="BN866" t="s">
        <v>74</v>
      </c>
      <c r="BO866" t="s">
        <v>107</v>
      </c>
      <c r="BP866" t="s">
        <v>74</v>
      </c>
      <c r="BQ866" t="s">
        <v>74</v>
      </c>
      <c r="BR866" t="s">
        <v>108</v>
      </c>
      <c r="BS866" t="s">
        <v>16529</v>
      </c>
      <c r="BT866" t="str">
        <f>HYPERLINK("https%3A%2F%2Fwww.webofscience.com%2Fwos%2Fwoscc%2Ffull-record%2FWOS:000880382200001","View Full Record in Web of Science")</f>
        <v>View Full Record in Web of Science</v>
      </c>
    </row>
    <row r="867" spans="1:72" x14ac:dyDescent="0.15">
      <c r="A867" t="s">
        <v>72</v>
      </c>
      <c r="B867" t="s">
        <v>16530</v>
      </c>
      <c r="C867" t="s">
        <v>74</v>
      </c>
      <c r="D867" t="s">
        <v>74</v>
      </c>
      <c r="E867" t="s">
        <v>74</v>
      </c>
      <c r="F867" t="s">
        <v>16531</v>
      </c>
      <c r="G867" t="s">
        <v>74</v>
      </c>
      <c r="H867" t="s">
        <v>74</v>
      </c>
      <c r="I867" t="s">
        <v>16532</v>
      </c>
      <c r="J867" t="s">
        <v>16533</v>
      </c>
      <c r="K867" t="s">
        <v>74</v>
      </c>
      <c r="L867" t="s">
        <v>74</v>
      </c>
      <c r="M867" t="s">
        <v>78</v>
      </c>
      <c r="N867" t="s">
        <v>79</v>
      </c>
      <c r="O867" t="s">
        <v>74</v>
      </c>
      <c r="P867" t="s">
        <v>74</v>
      </c>
      <c r="Q867" t="s">
        <v>74</v>
      </c>
      <c r="R867" t="s">
        <v>74</v>
      </c>
      <c r="S867" t="s">
        <v>74</v>
      </c>
      <c r="T867" t="s">
        <v>16534</v>
      </c>
      <c r="U867" t="s">
        <v>16535</v>
      </c>
      <c r="V867" t="s">
        <v>16536</v>
      </c>
      <c r="W867" t="s">
        <v>16537</v>
      </c>
      <c r="X867" t="s">
        <v>16538</v>
      </c>
      <c r="Y867" t="s">
        <v>16539</v>
      </c>
      <c r="Z867" t="s">
        <v>16540</v>
      </c>
      <c r="AA867" t="s">
        <v>16541</v>
      </c>
      <c r="AB867" t="s">
        <v>16542</v>
      </c>
      <c r="AC867" t="s">
        <v>16543</v>
      </c>
      <c r="AD867" t="s">
        <v>16543</v>
      </c>
      <c r="AE867" t="s">
        <v>16544</v>
      </c>
      <c r="AF867" t="s">
        <v>74</v>
      </c>
      <c r="AG867">
        <v>81</v>
      </c>
      <c r="AH867">
        <v>3</v>
      </c>
      <c r="AI867">
        <v>3</v>
      </c>
      <c r="AJ867">
        <v>0</v>
      </c>
      <c r="AK867">
        <v>4</v>
      </c>
      <c r="AL867" t="s">
        <v>297</v>
      </c>
      <c r="AM867" t="s">
        <v>298</v>
      </c>
      <c r="AN867" t="s">
        <v>299</v>
      </c>
      <c r="AO867" t="s">
        <v>16545</v>
      </c>
      <c r="AP867" t="s">
        <v>16546</v>
      </c>
      <c r="AQ867" t="s">
        <v>74</v>
      </c>
      <c r="AR867" t="s">
        <v>16547</v>
      </c>
      <c r="AS867" t="s">
        <v>16548</v>
      </c>
      <c r="AT867" t="s">
        <v>16549</v>
      </c>
      <c r="AU867">
        <v>2023</v>
      </c>
      <c r="AV867">
        <v>290</v>
      </c>
      <c r="AW867">
        <v>9</v>
      </c>
      <c r="AX867" t="s">
        <v>74</v>
      </c>
      <c r="AY867" t="s">
        <v>74</v>
      </c>
      <c r="AZ867" t="s">
        <v>74</v>
      </c>
      <c r="BA867" t="s">
        <v>74</v>
      </c>
      <c r="BB867">
        <v>2394</v>
      </c>
      <c r="BC867">
        <v>2411</v>
      </c>
      <c r="BD867" t="s">
        <v>74</v>
      </c>
      <c r="BE867" t="s">
        <v>16550</v>
      </c>
      <c r="BF867" t="str">
        <f>HYPERLINK("http://dx.doi.org/10.1111/febs.16661","http://dx.doi.org/10.1111/febs.16661")</f>
        <v>http://dx.doi.org/10.1111/febs.16661</v>
      </c>
      <c r="BG867" t="s">
        <v>74</v>
      </c>
      <c r="BH867" t="s">
        <v>16236</v>
      </c>
      <c r="BI867">
        <v>18</v>
      </c>
      <c r="BJ867" t="s">
        <v>16551</v>
      </c>
      <c r="BK867" t="s">
        <v>104</v>
      </c>
      <c r="BL867" t="s">
        <v>16551</v>
      </c>
      <c r="BM867" t="s">
        <v>16552</v>
      </c>
      <c r="BN867">
        <v>36266734</v>
      </c>
      <c r="BO867" t="s">
        <v>74</v>
      </c>
      <c r="BP867" t="s">
        <v>74</v>
      </c>
      <c r="BQ867" t="s">
        <v>74</v>
      </c>
      <c r="BR867" t="s">
        <v>108</v>
      </c>
      <c r="BS867" t="s">
        <v>16553</v>
      </c>
      <c r="BT867" t="str">
        <f>HYPERLINK("https%3A%2F%2Fwww.webofscience.com%2Fwos%2Fwoscc%2Ffull-record%2FWOS:000875857800001","View Full Record in Web of Science")</f>
        <v>View Full Record in Web of Science</v>
      </c>
    </row>
    <row r="868" spans="1:72" x14ac:dyDescent="0.15">
      <c r="A868" t="s">
        <v>72</v>
      </c>
      <c r="B868" t="s">
        <v>16554</v>
      </c>
      <c r="C868" t="s">
        <v>74</v>
      </c>
      <c r="D868" t="s">
        <v>74</v>
      </c>
      <c r="E868" t="s">
        <v>74</v>
      </c>
      <c r="F868" t="s">
        <v>16555</v>
      </c>
      <c r="G868" t="s">
        <v>74</v>
      </c>
      <c r="H868" t="s">
        <v>74</v>
      </c>
      <c r="I868" t="s">
        <v>16556</v>
      </c>
      <c r="J868" t="s">
        <v>6711</v>
      </c>
      <c r="K868" t="s">
        <v>74</v>
      </c>
      <c r="L868" t="s">
        <v>74</v>
      </c>
      <c r="M868" t="s">
        <v>78</v>
      </c>
      <c r="N868" t="s">
        <v>79</v>
      </c>
      <c r="O868" t="s">
        <v>74</v>
      </c>
      <c r="P868" t="s">
        <v>74</v>
      </c>
      <c r="Q868" t="s">
        <v>74</v>
      </c>
      <c r="R868" t="s">
        <v>74</v>
      </c>
      <c r="S868" t="s">
        <v>74</v>
      </c>
      <c r="T868" t="s">
        <v>16557</v>
      </c>
      <c r="U868" t="s">
        <v>16558</v>
      </c>
      <c r="V868" t="s">
        <v>16559</v>
      </c>
      <c r="W868" t="s">
        <v>16560</v>
      </c>
      <c r="X868" t="s">
        <v>16561</v>
      </c>
      <c r="Y868" t="s">
        <v>16562</v>
      </c>
      <c r="Z868" t="s">
        <v>16563</v>
      </c>
      <c r="AA868" t="s">
        <v>16564</v>
      </c>
      <c r="AB868" t="s">
        <v>16565</v>
      </c>
      <c r="AC868" t="s">
        <v>16566</v>
      </c>
      <c r="AD868" t="s">
        <v>16567</v>
      </c>
      <c r="AE868" t="s">
        <v>16568</v>
      </c>
      <c r="AF868" t="s">
        <v>74</v>
      </c>
      <c r="AG868">
        <v>39</v>
      </c>
      <c r="AH868">
        <v>7</v>
      </c>
      <c r="AI868">
        <v>7</v>
      </c>
      <c r="AJ868">
        <v>14</v>
      </c>
      <c r="AK868">
        <v>64</v>
      </c>
      <c r="AL868" t="s">
        <v>603</v>
      </c>
      <c r="AM868" t="s">
        <v>208</v>
      </c>
      <c r="AN868" t="s">
        <v>604</v>
      </c>
      <c r="AO868" t="s">
        <v>6723</v>
      </c>
      <c r="AP868" t="s">
        <v>6724</v>
      </c>
      <c r="AQ868" t="s">
        <v>74</v>
      </c>
      <c r="AR868" t="s">
        <v>6725</v>
      </c>
      <c r="AS868" t="s">
        <v>6726</v>
      </c>
      <c r="AT868" t="s">
        <v>9001</v>
      </c>
      <c r="AU868">
        <v>2022</v>
      </c>
      <c r="AV868">
        <v>185</v>
      </c>
      <c r="AW868" t="s">
        <v>74</v>
      </c>
      <c r="AX868" t="s">
        <v>12005</v>
      </c>
      <c r="AY868" t="s">
        <v>74</v>
      </c>
      <c r="AZ868" t="s">
        <v>74</v>
      </c>
      <c r="BA868" t="s">
        <v>74</v>
      </c>
      <c r="BB868" t="s">
        <v>74</v>
      </c>
      <c r="BC868" t="s">
        <v>74</v>
      </c>
      <c r="BD868">
        <v>114300</v>
      </c>
      <c r="BE868" t="s">
        <v>16569</v>
      </c>
      <c r="BF868" t="str">
        <f>HYPERLINK("http://dx.doi.org/10.1016/j.marpolbul.2022.114300","http://dx.doi.org/10.1016/j.marpolbul.2022.114300")</f>
        <v>http://dx.doi.org/10.1016/j.marpolbul.2022.114300</v>
      </c>
      <c r="BG868" t="s">
        <v>74</v>
      </c>
      <c r="BH868" t="s">
        <v>16236</v>
      </c>
      <c r="BI868">
        <v>8</v>
      </c>
      <c r="BJ868" t="s">
        <v>6728</v>
      </c>
      <c r="BK868" t="s">
        <v>104</v>
      </c>
      <c r="BL868" t="s">
        <v>6729</v>
      </c>
      <c r="BM868" t="s">
        <v>16570</v>
      </c>
      <c r="BN868">
        <v>36330943</v>
      </c>
      <c r="BO868" t="s">
        <v>74</v>
      </c>
      <c r="BP868" t="s">
        <v>74</v>
      </c>
      <c r="BQ868" t="s">
        <v>74</v>
      </c>
      <c r="BR868" t="s">
        <v>108</v>
      </c>
      <c r="BS868" t="s">
        <v>16571</v>
      </c>
      <c r="BT868" t="str">
        <f>HYPERLINK("https%3A%2F%2Fwww.webofscience.com%2Fwos%2Fwoscc%2Ffull-record%2FWOS:000882202800001","View Full Record in Web of Science")</f>
        <v>View Full Record in Web of Science</v>
      </c>
    </row>
    <row r="869" spans="1:72" x14ac:dyDescent="0.15">
      <c r="A869" t="s">
        <v>72</v>
      </c>
      <c r="B869" t="s">
        <v>16572</v>
      </c>
      <c r="C869" t="s">
        <v>74</v>
      </c>
      <c r="D869" t="s">
        <v>74</v>
      </c>
      <c r="E869" t="s">
        <v>74</v>
      </c>
      <c r="F869" t="s">
        <v>16573</v>
      </c>
      <c r="G869" t="s">
        <v>74</v>
      </c>
      <c r="H869" t="s">
        <v>74</v>
      </c>
      <c r="I869" t="s">
        <v>16574</v>
      </c>
      <c r="J869" t="s">
        <v>14843</v>
      </c>
      <c r="K869" t="s">
        <v>74</v>
      </c>
      <c r="L869" t="s">
        <v>74</v>
      </c>
      <c r="M869" t="s">
        <v>78</v>
      </c>
      <c r="N869" t="s">
        <v>256</v>
      </c>
      <c r="O869" t="s">
        <v>74</v>
      </c>
      <c r="P869" t="s">
        <v>74</v>
      </c>
      <c r="Q869" t="s">
        <v>74</v>
      </c>
      <c r="R869" t="s">
        <v>74</v>
      </c>
      <c r="S869" t="s">
        <v>74</v>
      </c>
      <c r="T869" t="s">
        <v>16575</v>
      </c>
      <c r="U869" t="s">
        <v>16576</v>
      </c>
      <c r="V869" t="s">
        <v>16577</v>
      </c>
      <c r="W869" t="s">
        <v>16578</v>
      </c>
      <c r="X869" t="s">
        <v>16579</v>
      </c>
      <c r="Y869" t="s">
        <v>16580</v>
      </c>
      <c r="Z869" t="s">
        <v>16581</v>
      </c>
      <c r="AA869" t="s">
        <v>16582</v>
      </c>
      <c r="AB869" t="s">
        <v>16583</v>
      </c>
      <c r="AC869" t="s">
        <v>16584</v>
      </c>
      <c r="AD869" t="s">
        <v>16585</v>
      </c>
      <c r="AE869" t="s">
        <v>16586</v>
      </c>
      <c r="AF869" t="s">
        <v>74</v>
      </c>
      <c r="AG869">
        <v>265</v>
      </c>
      <c r="AH869">
        <v>7</v>
      </c>
      <c r="AI869">
        <v>7</v>
      </c>
      <c r="AJ869">
        <v>11</v>
      </c>
      <c r="AK869">
        <v>48</v>
      </c>
      <c r="AL869" t="s">
        <v>207</v>
      </c>
      <c r="AM869" t="s">
        <v>208</v>
      </c>
      <c r="AN869" t="s">
        <v>209</v>
      </c>
      <c r="AO869" t="s">
        <v>14851</v>
      </c>
      <c r="AP869" t="s">
        <v>14852</v>
      </c>
      <c r="AQ869" t="s">
        <v>74</v>
      </c>
      <c r="AR869" t="s">
        <v>14853</v>
      </c>
      <c r="AS869" t="s">
        <v>14854</v>
      </c>
      <c r="AT869" t="s">
        <v>2592</v>
      </c>
      <c r="AU869">
        <v>2023</v>
      </c>
      <c r="AV869">
        <v>231</v>
      </c>
      <c r="AW869" t="s">
        <v>74</v>
      </c>
      <c r="AX869" t="s">
        <v>74</v>
      </c>
      <c r="AY869" t="s">
        <v>74</v>
      </c>
      <c r="AZ869" t="s">
        <v>74</v>
      </c>
      <c r="BA869" t="s">
        <v>74</v>
      </c>
      <c r="BB869" t="s">
        <v>74</v>
      </c>
      <c r="BC869" t="s">
        <v>74</v>
      </c>
      <c r="BD869">
        <v>106331</v>
      </c>
      <c r="BE869" t="s">
        <v>16587</v>
      </c>
      <c r="BF869" t="str">
        <f>HYPERLINK("http://dx.doi.org/10.1016/j.ocecoaman.2022.106331","http://dx.doi.org/10.1016/j.ocecoaman.2022.106331")</f>
        <v>http://dx.doi.org/10.1016/j.ocecoaman.2022.106331</v>
      </c>
      <c r="BG869" t="s">
        <v>74</v>
      </c>
      <c r="BH869" t="s">
        <v>16236</v>
      </c>
      <c r="BI869">
        <v>16</v>
      </c>
      <c r="BJ869" t="s">
        <v>14856</v>
      </c>
      <c r="BK869" t="s">
        <v>104</v>
      </c>
      <c r="BL869" t="s">
        <v>14856</v>
      </c>
      <c r="BM869" t="s">
        <v>16588</v>
      </c>
      <c r="BN869" t="s">
        <v>74</v>
      </c>
      <c r="BO869" t="s">
        <v>74</v>
      </c>
      <c r="BP869" t="s">
        <v>74</v>
      </c>
      <c r="BQ869" t="s">
        <v>74</v>
      </c>
      <c r="BR869" t="s">
        <v>108</v>
      </c>
      <c r="BS869" t="s">
        <v>16589</v>
      </c>
      <c r="BT869" t="str">
        <f>HYPERLINK("https%3A%2F%2Fwww.webofscience.com%2Fwos%2Fwoscc%2Ffull-record%2FWOS:000882333000004","View Full Record in Web of Science")</f>
        <v>View Full Record in Web of Science</v>
      </c>
    </row>
    <row r="870" spans="1:72" x14ac:dyDescent="0.15">
      <c r="A870" t="s">
        <v>72</v>
      </c>
      <c r="B870" t="s">
        <v>16590</v>
      </c>
      <c r="C870" t="s">
        <v>74</v>
      </c>
      <c r="D870" t="s">
        <v>74</v>
      </c>
      <c r="E870" t="s">
        <v>74</v>
      </c>
      <c r="F870" t="s">
        <v>16591</v>
      </c>
      <c r="G870" t="s">
        <v>74</v>
      </c>
      <c r="H870" t="s">
        <v>74</v>
      </c>
      <c r="I870" t="s">
        <v>16592</v>
      </c>
      <c r="J870" t="s">
        <v>170</v>
      </c>
      <c r="K870" t="s">
        <v>74</v>
      </c>
      <c r="L870" t="s">
        <v>74</v>
      </c>
      <c r="M870" t="s">
        <v>78</v>
      </c>
      <c r="N870" t="s">
        <v>79</v>
      </c>
      <c r="O870" t="s">
        <v>74</v>
      </c>
      <c r="P870" t="s">
        <v>74</v>
      </c>
      <c r="Q870" t="s">
        <v>74</v>
      </c>
      <c r="R870" t="s">
        <v>74</v>
      </c>
      <c r="S870" t="s">
        <v>74</v>
      </c>
      <c r="T870" t="s">
        <v>74</v>
      </c>
      <c r="U870" t="s">
        <v>16593</v>
      </c>
      <c r="V870" t="s">
        <v>16594</v>
      </c>
      <c r="W870" t="s">
        <v>16595</v>
      </c>
      <c r="X870" t="s">
        <v>16596</v>
      </c>
      <c r="Y870" t="s">
        <v>16597</v>
      </c>
      <c r="Z870" t="s">
        <v>16598</v>
      </c>
      <c r="AA870" t="s">
        <v>74</v>
      </c>
      <c r="AB870" t="s">
        <v>74</v>
      </c>
      <c r="AC870" t="s">
        <v>16599</v>
      </c>
      <c r="AD870" t="s">
        <v>16600</v>
      </c>
      <c r="AE870" t="s">
        <v>16601</v>
      </c>
      <c r="AF870" t="s">
        <v>74</v>
      </c>
      <c r="AG870">
        <v>66</v>
      </c>
      <c r="AH870">
        <v>1</v>
      </c>
      <c r="AI870">
        <v>1</v>
      </c>
      <c r="AJ870">
        <v>2</v>
      </c>
      <c r="AK870">
        <v>6</v>
      </c>
      <c r="AL870" t="s">
        <v>182</v>
      </c>
      <c r="AM870" t="s">
        <v>183</v>
      </c>
      <c r="AN870" t="s">
        <v>184</v>
      </c>
      <c r="AO870" t="s">
        <v>185</v>
      </c>
      <c r="AP870" t="s">
        <v>74</v>
      </c>
      <c r="AQ870" t="s">
        <v>74</v>
      </c>
      <c r="AR870" t="s">
        <v>186</v>
      </c>
      <c r="AS870" t="s">
        <v>187</v>
      </c>
      <c r="AT870" t="s">
        <v>16602</v>
      </c>
      <c r="AU870">
        <v>2022</v>
      </c>
      <c r="AV870">
        <v>12</v>
      </c>
      <c r="AW870">
        <v>1</v>
      </c>
      <c r="AX870" t="s">
        <v>74</v>
      </c>
      <c r="AY870" t="s">
        <v>74</v>
      </c>
      <c r="AZ870" t="s">
        <v>74</v>
      </c>
      <c r="BA870" t="s">
        <v>74</v>
      </c>
      <c r="BB870" t="s">
        <v>74</v>
      </c>
      <c r="BC870" t="s">
        <v>74</v>
      </c>
      <c r="BD870">
        <v>18263</v>
      </c>
      <c r="BE870" t="s">
        <v>16603</v>
      </c>
      <c r="BF870" t="str">
        <f>HYPERLINK("http://dx.doi.org/10.1038/s41598-022-23268-9","http://dx.doi.org/10.1038/s41598-022-23268-9")</f>
        <v>http://dx.doi.org/10.1038/s41598-022-23268-9</v>
      </c>
      <c r="BG870" t="s">
        <v>74</v>
      </c>
      <c r="BH870" t="s">
        <v>74</v>
      </c>
      <c r="BI870">
        <v>13</v>
      </c>
      <c r="BJ870" t="s">
        <v>189</v>
      </c>
      <c r="BK870" t="s">
        <v>104</v>
      </c>
      <c r="BL870" t="s">
        <v>190</v>
      </c>
      <c r="BM870" t="s">
        <v>16604</v>
      </c>
      <c r="BN870">
        <v>36309574</v>
      </c>
      <c r="BO870" t="s">
        <v>3181</v>
      </c>
      <c r="BP870" t="s">
        <v>74</v>
      </c>
      <c r="BQ870" t="s">
        <v>74</v>
      </c>
      <c r="BR870" t="s">
        <v>108</v>
      </c>
      <c r="BS870" t="s">
        <v>16605</v>
      </c>
      <c r="BT870" t="str">
        <f>HYPERLINK("https%3A%2F%2Fwww.webofscience.com%2Fwos%2Fwoscc%2Ffull-record%2FWOS:000876608900039","View Full Record in Web of Science")</f>
        <v>View Full Record in Web of Science</v>
      </c>
    </row>
    <row r="871" spans="1:72" x14ac:dyDescent="0.15">
      <c r="A871" t="s">
        <v>72</v>
      </c>
      <c r="B871" t="s">
        <v>16606</v>
      </c>
      <c r="C871" t="s">
        <v>74</v>
      </c>
      <c r="D871" t="s">
        <v>74</v>
      </c>
      <c r="E871" t="s">
        <v>74</v>
      </c>
      <c r="F871" t="s">
        <v>16607</v>
      </c>
      <c r="G871" t="s">
        <v>74</v>
      </c>
      <c r="H871" t="s">
        <v>74</v>
      </c>
      <c r="I871" t="s">
        <v>16608</v>
      </c>
      <c r="J871" t="s">
        <v>513</v>
      </c>
      <c r="K871" t="s">
        <v>74</v>
      </c>
      <c r="L871" t="s">
        <v>74</v>
      </c>
      <c r="M871" t="s">
        <v>78</v>
      </c>
      <c r="N871" t="s">
        <v>79</v>
      </c>
      <c r="O871" t="s">
        <v>74</v>
      </c>
      <c r="P871" t="s">
        <v>74</v>
      </c>
      <c r="Q871" t="s">
        <v>74</v>
      </c>
      <c r="R871" t="s">
        <v>74</v>
      </c>
      <c r="S871" t="s">
        <v>74</v>
      </c>
      <c r="T871" t="s">
        <v>16609</v>
      </c>
      <c r="U871" t="s">
        <v>16610</v>
      </c>
      <c r="V871" t="s">
        <v>16611</v>
      </c>
      <c r="W871" t="s">
        <v>16612</v>
      </c>
      <c r="X871" t="s">
        <v>16613</v>
      </c>
      <c r="Y871" t="s">
        <v>16614</v>
      </c>
      <c r="Z871" t="s">
        <v>16615</v>
      </c>
      <c r="AA871" t="s">
        <v>16616</v>
      </c>
      <c r="AB871" t="s">
        <v>16617</v>
      </c>
      <c r="AC871" t="s">
        <v>16618</v>
      </c>
      <c r="AD871" t="s">
        <v>16619</v>
      </c>
      <c r="AE871" t="s">
        <v>16620</v>
      </c>
      <c r="AF871" t="s">
        <v>74</v>
      </c>
      <c r="AG871">
        <v>53</v>
      </c>
      <c r="AH871">
        <v>0</v>
      </c>
      <c r="AI871">
        <v>0</v>
      </c>
      <c r="AJ871">
        <v>2</v>
      </c>
      <c r="AK871">
        <v>4</v>
      </c>
      <c r="AL871" t="s">
        <v>297</v>
      </c>
      <c r="AM871" t="s">
        <v>298</v>
      </c>
      <c r="AN871" t="s">
        <v>299</v>
      </c>
      <c r="AO871" t="s">
        <v>526</v>
      </c>
      <c r="AP871" t="s">
        <v>527</v>
      </c>
      <c r="AQ871" t="s">
        <v>74</v>
      </c>
      <c r="AR871" t="s">
        <v>528</v>
      </c>
      <c r="AS871" t="s">
        <v>529</v>
      </c>
      <c r="AT871" t="s">
        <v>6616</v>
      </c>
      <c r="AU871">
        <v>2022</v>
      </c>
      <c r="AV871">
        <v>42</v>
      </c>
      <c r="AW871">
        <v>16</v>
      </c>
      <c r="AX871" t="s">
        <v>74</v>
      </c>
      <c r="AY871" t="s">
        <v>74</v>
      </c>
      <c r="AZ871" t="s">
        <v>74</v>
      </c>
      <c r="BA871" t="s">
        <v>74</v>
      </c>
      <c r="BB871">
        <v>10238</v>
      </c>
      <c r="BC871">
        <v>10252</v>
      </c>
      <c r="BD871" t="s">
        <v>74</v>
      </c>
      <c r="BE871" t="s">
        <v>16621</v>
      </c>
      <c r="BF871" t="str">
        <f>HYPERLINK("http://dx.doi.org/10.1002/joc.7895","http://dx.doi.org/10.1002/joc.7895")</f>
        <v>http://dx.doi.org/10.1002/joc.7895</v>
      </c>
      <c r="BG871" t="s">
        <v>74</v>
      </c>
      <c r="BH871" t="s">
        <v>16236</v>
      </c>
      <c r="BI871">
        <v>15</v>
      </c>
      <c r="BJ871" t="s">
        <v>532</v>
      </c>
      <c r="BK871" t="s">
        <v>104</v>
      </c>
      <c r="BL871" t="s">
        <v>532</v>
      </c>
      <c r="BM871" t="s">
        <v>16622</v>
      </c>
      <c r="BN871" t="s">
        <v>74</v>
      </c>
      <c r="BO871" t="s">
        <v>74</v>
      </c>
      <c r="BP871" t="s">
        <v>74</v>
      </c>
      <c r="BQ871" t="s">
        <v>74</v>
      </c>
      <c r="BR871" t="s">
        <v>108</v>
      </c>
      <c r="BS871" t="s">
        <v>16623</v>
      </c>
      <c r="BT871" t="str">
        <f>HYPERLINK("https%3A%2F%2Fwww.webofscience.com%2Fwos%2Fwoscc%2Ffull-record%2FWOS:000875574500001","View Full Record in Web of Science")</f>
        <v>View Full Record in Web of Science</v>
      </c>
    </row>
    <row r="872" spans="1:72" x14ac:dyDescent="0.15">
      <c r="A872" t="s">
        <v>72</v>
      </c>
      <c r="B872" t="s">
        <v>16624</v>
      </c>
      <c r="C872" t="s">
        <v>74</v>
      </c>
      <c r="D872" t="s">
        <v>74</v>
      </c>
      <c r="E872" t="s">
        <v>74</v>
      </c>
      <c r="F872" t="s">
        <v>16625</v>
      </c>
      <c r="G872" t="s">
        <v>74</v>
      </c>
      <c r="H872" t="s">
        <v>74</v>
      </c>
      <c r="I872" t="s">
        <v>16626</v>
      </c>
      <c r="J872" t="s">
        <v>170</v>
      </c>
      <c r="K872" t="s">
        <v>74</v>
      </c>
      <c r="L872" t="s">
        <v>74</v>
      </c>
      <c r="M872" t="s">
        <v>78</v>
      </c>
      <c r="N872" t="s">
        <v>79</v>
      </c>
      <c r="O872" t="s">
        <v>74</v>
      </c>
      <c r="P872" t="s">
        <v>74</v>
      </c>
      <c r="Q872" t="s">
        <v>74</v>
      </c>
      <c r="R872" t="s">
        <v>74</v>
      </c>
      <c r="S872" t="s">
        <v>74</v>
      </c>
      <c r="T872" t="s">
        <v>74</v>
      </c>
      <c r="U872" t="s">
        <v>16627</v>
      </c>
      <c r="V872" t="s">
        <v>16628</v>
      </c>
      <c r="W872" t="s">
        <v>16629</v>
      </c>
      <c r="X872" t="s">
        <v>16630</v>
      </c>
      <c r="Y872" t="s">
        <v>16631</v>
      </c>
      <c r="Z872" t="s">
        <v>16632</v>
      </c>
      <c r="AA872" t="s">
        <v>16633</v>
      </c>
      <c r="AB872" t="s">
        <v>16634</v>
      </c>
      <c r="AC872" t="s">
        <v>16635</v>
      </c>
      <c r="AD872" t="s">
        <v>16636</v>
      </c>
      <c r="AE872" t="s">
        <v>16637</v>
      </c>
      <c r="AF872" t="s">
        <v>74</v>
      </c>
      <c r="AG872">
        <v>61</v>
      </c>
      <c r="AH872">
        <v>1</v>
      </c>
      <c r="AI872">
        <v>1</v>
      </c>
      <c r="AJ872">
        <v>2</v>
      </c>
      <c r="AK872">
        <v>6</v>
      </c>
      <c r="AL872" t="s">
        <v>182</v>
      </c>
      <c r="AM872" t="s">
        <v>183</v>
      </c>
      <c r="AN872" t="s">
        <v>184</v>
      </c>
      <c r="AO872" t="s">
        <v>185</v>
      </c>
      <c r="AP872" t="s">
        <v>74</v>
      </c>
      <c r="AQ872" t="s">
        <v>74</v>
      </c>
      <c r="AR872" t="s">
        <v>186</v>
      </c>
      <c r="AS872" t="s">
        <v>187</v>
      </c>
      <c r="AT872" t="s">
        <v>16638</v>
      </c>
      <c r="AU872">
        <v>2022</v>
      </c>
      <c r="AV872">
        <v>12</v>
      </c>
      <c r="AW872">
        <v>1</v>
      </c>
      <c r="AX872" t="s">
        <v>74</v>
      </c>
      <c r="AY872" t="s">
        <v>74</v>
      </c>
      <c r="AZ872" t="s">
        <v>74</v>
      </c>
      <c r="BA872" t="s">
        <v>74</v>
      </c>
      <c r="BB872" t="s">
        <v>74</v>
      </c>
      <c r="BC872" t="s">
        <v>74</v>
      </c>
      <c r="BD872">
        <v>18207</v>
      </c>
      <c r="BE872" t="s">
        <v>16639</v>
      </c>
      <c r="BF872" t="str">
        <f>HYPERLINK("http://dx.doi.org/10.1038/s41598-022-23114-y","http://dx.doi.org/10.1038/s41598-022-23114-y")</f>
        <v>http://dx.doi.org/10.1038/s41598-022-23114-y</v>
      </c>
      <c r="BG872" t="s">
        <v>74</v>
      </c>
      <c r="BH872" t="s">
        <v>74</v>
      </c>
      <c r="BI872">
        <v>11</v>
      </c>
      <c r="BJ872" t="s">
        <v>189</v>
      </c>
      <c r="BK872" t="s">
        <v>104</v>
      </c>
      <c r="BL872" t="s">
        <v>190</v>
      </c>
      <c r="BM872" t="s">
        <v>16640</v>
      </c>
      <c r="BN872">
        <v>36307519</v>
      </c>
      <c r="BO872" t="s">
        <v>192</v>
      </c>
      <c r="BP872" t="s">
        <v>74</v>
      </c>
      <c r="BQ872" t="s">
        <v>74</v>
      </c>
      <c r="BR872" t="s">
        <v>108</v>
      </c>
      <c r="BS872" t="s">
        <v>16641</v>
      </c>
      <c r="BT872" t="str">
        <f>HYPERLINK("https%3A%2F%2Fwww.webofscience.com%2Fwos%2Fwoscc%2Ffull-record%2FWOS:000878106700083","View Full Record in Web of Science")</f>
        <v>View Full Record in Web of Science</v>
      </c>
    </row>
    <row r="873" spans="1:72" x14ac:dyDescent="0.15">
      <c r="A873" t="s">
        <v>72</v>
      </c>
      <c r="B873" t="s">
        <v>16642</v>
      </c>
      <c r="C873" t="s">
        <v>74</v>
      </c>
      <c r="D873" t="s">
        <v>74</v>
      </c>
      <c r="E873" t="s">
        <v>74</v>
      </c>
      <c r="F873" t="s">
        <v>16643</v>
      </c>
      <c r="G873" t="s">
        <v>74</v>
      </c>
      <c r="H873" t="s">
        <v>74</v>
      </c>
      <c r="I873" t="s">
        <v>16644</v>
      </c>
      <c r="J873" t="s">
        <v>8403</v>
      </c>
      <c r="K873" t="s">
        <v>74</v>
      </c>
      <c r="L873" t="s">
        <v>74</v>
      </c>
      <c r="M873" t="s">
        <v>78</v>
      </c>
      <c r="N873" t="s">
        <v>79</v>
      </c>
      <c r="O873" t="s">
        <v>74</v>
      </c>
      <c r="P873" t="s">
        <v>74</v>
      </c>
      <c r="Q873" t="s">
        <v>74</v>
      </c>
      <c r="R873" t="s">
        <v>74</v>
      </c>
      <c r="S873" t="s">
        <v>74</v>
      </c>
      <c r="T873" t="s">
        <v>16645</v>
      </c>
      <c r="U873" t="s">
        <v>16646</v>
      </c>
      <c r="V873" t="s">
        <v>16647</v>
      </c>
      <c r="W873" t="s">
        <v>16648</v>
      </c>
      <c r="X873" t="s">
        <v>16649</v>
      </c>
      <c r="Y873" t="s">
        <v>16650</v>
      </c>
      <c r="Z873" t="s">
        <v>16651</v>
      </c>
      <c r="AA873" t="s">
        <v>16652</v>
      </c>
      <c r="AB873" t="s">
        <v>16653</v>
      </c>
      <c r="AC873" t="s">
        <v>16654</v>
      </c>
      <c r="AD873" t="s">
        <v>16655</v>
      </c>
      <c r="AE873" t="s">
        <v>16656</v>
      </c>
      <c r="AF873" t="s">
        <v>74</v>
      </c>
      <c r="AG873">
        <v>82</v>
      </c>
      <c r="AH873">
        <v>1</v>
      </c>
      <c r="AI873">
        <v>1</v>
      </c>
      <c r="AJ873">
        <v>10</v>
      </c>
      <c r="AK873">
        <v>30</v>
      </c>
      <c r="AL873" t="s">
        <v>422</v>
      </c>
      <c r="AM873" t="s">
        <v>208</v>
      </c>
      <c r="AN873" t="s">
        <v>423</v>
      </c>
      <c r="AO873" t="s">
        <v>8416</v>
      </c>
      <c r="AP873" t="s">
        <v>8417</v>
      </c>
      <c r="AQ873" t="s">
        <v>74</v>
      </c>
      <c r="AR873" t="s">
        <v>8418</v>
      </c>
      <c r="AS873" t="s">
        <v>8419</v>
      </c>
      <c r="AT873" t="s">
        <v>16638</v>
      </c>
      <c r="AU873">
        <v>2022</v>
      </c>
      <c r="AV873">
        <v>98</v>
      </c>
      <c r="AW873">
        <v>11</v>
      </c>
      <c r="AX873" t="s">
        <v>74</v>
      </c>
      <c r="AY873" t="s">
        <v>74</v>
      </c>
      <c r="AZ873" t="s">
        <v>74</v>
      </c>
      <c r="BA873" t="s">
        <v>74</v>
      </c>
      <c r="BB873" t="s">
        <v>74</v>
      </c>
      <c r="BC873" t="s">
        <v>74</v>
      </c>
      <c r="BD873" t="s">
        <v>16657</v>
      </c>
      <c r="BE873" t="s">
        <v>16658</v>
      </c>
      <c r="BF873" t="str">
        <f>HYPERLINK("http://dx.doi.org/10.1093/femsec/fiac099","http://dx.doi.org/10.1093/femsec/fiac099")</f>
        <v>http://dx.doi.org/10.1093/femsec/fiac099</v>
      </c>
      <c r="BG873" t="s">
        <v>74</v>
      </c>
      <c r="BH873" t="s">
        <v>74</v>
      </c>
      <c r="BI873">
        <v>12</v>
      </c>
      <c r="BJ873" t="s">
        <v>1699</v>
      </c>
      <c r="BK873" t="s">
        <v>104</v>
      </c>
      <c r="BL873" t="s">
        <v>1699</v>
      </c>
      <c r="BM873" t="s">
        <v>16659</v>
      </c>
      <c r="BN873">
        <v>36040342</v>
      </c>
      <c r="BO873" t="s">
        <v>74</v>
      </c>
      <c r="BP873" t="s">
        <v>74</v>
      </c>
      <c r="BQ873" t="s">
        <v>74</v>
      </c>
      <c r="BR873" t="s">
        <v>108</v>
      </c>
      <c r="BS873" t="s">
        <v>16660</v>
      </c>
      <c r="BT873" t="str">
        <f>HYPERLINK("https%3A%2F%2Fwww.webofscience.com%2Fwos%2Fwoscc%2Ffull-record%2FWOS:000875750100001","View Full Record in Web of Science")</f>
        <v>View Full Record in Web of Science</v>
      </c>
    </row>
    <row r="874" spans="1:72" x14ac:dyDescent="0.15">
      <c r="A874" t="s">
        <v>72</v>
      </c>
      <c r="B874" t="s">
        <v>16661</v>
      </c>
      <c r="C874" t="s">
        <v>74</v>
      </c>
      <c r="D874" t="s">
        <v>74</v>
      </c>
      <c r="E874" t="s">
        <v>74</v>
      </c>
      <c r="F874" t="s">
        <v>16662</v>
      </c>
      <c r="G874" t="s">
        <v>74</v>
      </c>
      <c r="H874" t="s">
        <v>74</v>
      </c>
      <c r="I874" t="s">
        <v>16663</v>
      </c>
      <c r="J874" t="s">
        <v>6736</v>
      </c>
      <c r="K874" t="s">
        <v>74</v>
      </c>
      <c r="L874" t="s">
        <v>74</v>
      </c>
      <c r="M874" t="s">
        <v>78</v>
      </c>
      <c r="N874" t="s">
        <v>79</v>
      </c>
      <c r="O874" t="s">
        <v>74</v>
      </c>
      <c r="P874" t="s">
        <v>74</v>
      </c>
      <c r="Q874" t="s">
        <v>74</v>
      </c>
      <c r="R874" t="s">
        <v>74</v>
      </c>
      <c r="S874" t="s">
        <v>74</v>
      </c>
      <c r="T874" t="s">
        <v>16664</v>
      </c>
      <c r="U874" t="s">
        <v>16665</v>
      </c>
      <c r="V874" t="s">
        <v>16666</v>
      </c>
      <c r="W874" t="s">
        <v>16667</v>
      </c>
      <c r="X874" t="s">
        <v>16668</v>
      </c>
      <c r="Y874" t="s">
        <v>16669</v>
      </c>
      <c r="Z874" t="s">
        <v>16670</v>
      </c>
      <c r="AA874" t="s">
        <v>74</v>
      </c>
      <c r="AB874" t="s">
        <v>16671</v>
      </c>
      <c r="AC874" t="s">
        <v>16672</v>
      </c>
      <c r="AD874" t="s">
        <v>16673</v>
      </c>
      <c r="AE874" t="s">
        <v>16674</v>
      </c>
      <c r="AF874" t="s">
        <v>74</v>
      </c>
      <c r="AG874">
        <v>49</v>
      </c>
      <c r="AH874">
        <v>0</v>
      </c>
      <c r="AI874">
        <v>0</v>
      </c>
      <c r="AJ874">
        <v>6</v>
      </c>
      <c r="AK874">
        <v>11</v>
      </c>
      <c r="AL874" t="s">
        <v>1791</v>
      </c>
      <c r="AM874" t="s">
        <v>576</v>
      </c>
      <c r="AN874" t="s">
        <v>1792</v>
      </c>
      <c r="AO874" t="s">
        <v>6747</v>
      </c>
      <c r="AP874" t="s">
        <v>6748</v>
      </c>
      <c r="AQ874" t="s">
        <v>74</v>
      </c>
      <c r="AR874" t="s">
        <v>6749</v>
      </c>
      <c r="AS874" t="s">
        <v>6750</v>
      </c>
      <c r="AT874" t="s">
        <v>16638</v>
      </c>
      <c r="AU874">
        <v>2022</v>
      </c>
      <c r="AV874">
        <v>49</v>
      </c>
      <c r="AW874">
        <v>20</v>
      </c>
      <c r="AX874" t="s">
        <v>74</v>
      </c>
      <c r="AY874" t="s">
        <v>74</v>
      </c>
      <c r="AZ874" t="s">
        <v>74</v>
      </c>
      <c r="BA874" t="s">
        <v>74</v>
      </c>
      <c r="BB874" t="s">
        <v>74</v>
      </c>
      <c r="BC874" t="s">
        <v>74</v>
      </c>
      <c r="BD874" t="s">
        <v>16675</v>
      </c>
      <c r="BE874" t="s">
        <v>16676</v>
      </c>
      <c r="BF874" t="str">
        <f>HYPERLINK("http://dx.doi.org/10.1029/2022GL100304","http://dx.doi.org/10.1029/2022GL100304")</f>
        <v>http://dx.doi.org/10.1029/2022GL100304</v>
      </c>
      <c r="BG874" t="s">
        <v>74</v>
      </c>
      <c r="BH874" t="s">
        <v>74</v>
      </c>
      <c r="BI874">
        <v>10</v>
      </c>
      <c r="BJ874" t="s">
        <v>455</v>
      </c>
      <c r="BK874" t="s">
        <v>104</v>
      </c>
      <c r="BL874" t="s">
        <v>456</v>
      </c>
      <c r="BM874" t="s">
        <v>16677</v>
      </c>
      <c r="BN874" t="s">
        <v>74</v>
      </c>
      <c r="BO874" t="s">
        <v>16678</v>
      </c>
      <c r="BP874" t="s">
        <v>74</v>
      </c>
      <c r="BQ874" t="s">
        <v>74</v>
      </c>
      <c r="BR874" t="s">
        <v>108</v>
      </c>
      <c r="BS874" t="s">
        <v>16679</v>
      </c>
      <c r="BT874" t="str">
        <f>HYPERLINK("https%3A%2F%2Fwww.webofscience.com%2Fwos%2Fwoscc%2Ffull-record%2FWOS:000871717000001","View Full Record in Web of Science")</f>
        <v>View Full Record in Web of Science</v>
      </c>
    </row>
    <row r="875" spans="1:72" x14ac:dyDescent="0.15">
      <c r="A875" t="s">
        <v>72</v>
      </c>
      <c r="B875" t="s">
        <v>16680</v>
      </c>
      <c r="C875" t="s">
        <v>74</v>
      </c>
      <c r="D875" t="s">
        <v>74</v>
      </c>
      <c r="E875" t="s">
        <v>74</v>
      </c>
      <c r="F875" t="s">
        <v>16681</v>
      </c>
      <c r="G875" t="s">
        <v>74</v>
      </c>
      <c r="H875" t="s">
        <v>74</v>
      </c>
      <c r="I875" t="s">
        <v>16682</v>
      </c>
      <c r="J875" t="s">
        <v>6736</v>
      </c>
      <c r="K875" t="s">
        <v>74</v>
      </c>
      <c r="L875" t="s">
        <v>74</v>
      </c>
      <c r="M875" t="s">
        <v>78</v>
      </c>
      <c r="N875" t="s">
        <v>79</v>
      </c>
      <c r="O875" t="s">
        <v>74</v>
      </c>
      <c r="P875" t="s">
        <v>74</v>
      </c>
      <c r="Q875" t="s">
        <v>74</v>
      </c>
      <c r="R875" t="s">
        <v>74</v>
      </c>
      <c r="S875" t="s">
        <v>74</v>
      </c>
      <c r="T875" t="s">
        <v>16683</v>
      </c>
      <c r="U875" t="s">
        <v>16684</v>
      </c>
      <c r="V875" t="s">
        <v>16685</v>
      </c>
      <c r="W875" t="s">
        <v>16686</v>
      </c>
      <c r="X875" t="s">
        <v>16687</v>
      </c>
      <c r="Y875" t="s">
        <v>16688</v>
      </c>
      <c r="Z875" t="s">
        <v>16689</v>
      </c>
      <c r="AA875" t="s">
        <v>16690</v>
      </c>
      <c r="AB875" t="s">
        <v>16691</v>
      </c>
      <c r="AC875" t="s">
        <v>16692</v>
      </c>
      <c r="AD875" t="s">
        <v>16693</v>
      </c>
      <c r="AE875" t="s">
        <v>16694</v>
      </c>
      <c r="AF875" t="s">
        <v>74</v>
      </c>
      <c r="AG875">
        <v>34</v>
      </c>
      <c r="AH875">
        <v>4</v>
      </c>
      <c r="AI875">
        <v>4</v>
      </c>
      <c r="AJ875">
        <v>0</v>
      </c>
      <c r="AK875">
        <v>4</v>
      </c>
      <c r="AL875" t="s">
        <v>1791</v>
      </c>
      <c r="AM875" t="s">
        <v>576</v>
      </c>
      <c r="AN875" t="s">
        <v>1792</v>
      </c>
      <c r="AO875" t="s">
        <v>6747</v>
      </c>
      <c r="AP875" t="s">
        <v>6748</v>
      </c>
      <c r="AQ875" t="s">
        <v>74</v>
      </c>
      <c r="AR875" t="s">
        <v>6749</v>
      </c>
      <c r="AS875" t="s">
        <v>6750</v>
      </c>
      <c r="AT875" t="s">
        <v>16638</v>
      </c>
      <c r="AU875">
        <v>2022</v>
      </c>
      <c r="AV875">
        <v>49</v>
      </c>
      <c r="AW875">
        <v>20</v>
      </c>
      <c r="AX875" t="s">
        <v>74</v>
      </c>
      <c r="AY875" t="s">
        <v>74</v>
      </c>
      <c r="AZ875" t="s">
        <v>74</v>
      </c>
      <c r="BA875" t="s">
        <v>74</v>
      </c>
      <c r="BB875" t="s">
        <v>74</v>
      </c>
      <c r="BC875" t="s">
        <v>74</v>
      </c>
      <c r="BD875" t="s">
        <v>16695</v>
      </c>
      <c r="BE875" t="s">
        <v>16696</v>
      </c>
      <c r="BF875" t="str">
        <f>HYPERLINK("http://dx.doi.org/10.1029/2022GL099330","http://dx.doi.org/10.1029/2022GL099330")</f>
        <v>http://dx.doi.org/10.1029/2022GL099330</v>
      </c>
      <c r="BG875" t="s">
        <v>74</v>
      </c>
      <c r="BH875" t="s">
        <v>74</v>
      </c>
      <c r="BI875">
        <v>10</v>
      </c>
      <c r="BJ875" t="s">
        <v>455</v>
      </c>
      <c r="BK875" t="s">
        <v>104</v>
      </c>
      <c r="BL875" t="s">
        <v>456</v>
      </c>
      <c r="BM875" t="s">
        <v>16697</v>
      </c>
      <c r="BN875">
        <v>36589269</v>
      </c>
      <c r="BO875" t="s">
        <v>248</v>
      </c>
      <c r="BP875" t="s">
        <v>74</v>
      </c>
      <c r="BQ875" t="s">
        <v>74</v>
      </c>
      <c r="BR875" t="s">
        <v>108</v>
      </c>
      <c r="BS875" t="s">
        <v>16698</v>
      </c>
      <c r="BT875" t="str">
        <f>HYPERLINK("https%3A%2F%2Fwww.webofscience.com%2Fwos%2Fwoscc%2Ffull-record%2FWOS:000870512700001","View Full Record in Web of Science")</f>
        <v>View Full Record in Web of Science</v>
      </c>
    </row>
    <row r="876" spans="1:72" x14ac:dyDescent="0.15">
      <c r="A876" t="s">
        <v>72</v>
      </c>
      <c r="B876" t="s">
        <v>16699</v>
      </c>
      <c r="C876" t="s">
        <v>74</v>
      </c>
      <c r="D876" t="s">
        <v>74</v>
      </c>
      <c r="E876" t="s">
        <v>74</v>
      </c>
      <c r="F876" t="s">
        <v>16700</v>
      </c>
      <c r="G876" t="s">
        <v>74</v>
      </c>
      <c r="H876" t="s">
        <v>74</v>
      </c>
      <c r="I876" t="s">
        <v>16701</v>
      </c>
      <c r="J876" t="s">
        <v>16702</v>
      </c>
      <c r="K876" t="s">
        <v>74</v>
      </c>
      <c r="L876" t="s">
        <v>74</v>
      </c>
      <c r="M876" t="s">
        <v>78</v>
      </c>
      <c r="N876" t="s">
        <v>79</v>
      </c>
      <c r="O876" t="s">
        <v>74</v>
      </c>
      <c r="P876" t="s">
        <v>74</v>
      </c>
      <c r="Q876" t="s">
        <v>74</v>
      </c>
      <c r="R876" t="s">
        <v>74</v>
      </c>
      <c r="S876" t="s">
        <v>74</v>
      </c>
      <c r="T876" t="s">
        <v>16703</v>
      </c>
      <c r="U876" t="s">
        <v>16704</v>
      </c>
      <c r="V876" t="s">
        <v>16705</v>
      </c>
      <c r="W876" t="s">
        <v>16706</v>
      </c>
      <c r="X876" t="s">
        <v>16707</v>
      </c>
      <c r="Y876" t="s">
        <v>16708</v>
      </c>
      <c r="Z876" t="s">
        <v>16709</v>
      </c>
      <c r="AA876" t="s">
        <v>74</v>
      </c>
      <c r="AB876" t="s">
        <v>16710</v>
      </c>
      <c r="AC876" t="s">
        <v>16711</v>
      </c>
      <c r="AD876" t="s">
        <v>16711</v>
      </c>
      <c r="AE876" t="s">
        <v>16712</v>
      </c>
      <c r="AF876" t="s">
        <v>74</v>
      </c>
      <c r="AG876">
        <v>35</v>
      </c>
      <c r="AH876">
        <v>4</v>
      </c>
      <c r="AI876">
        <v>4</v>
      </c>
      <c r="AJ876">
        <v>3</v>
      </c>
      <c r="AK876">
        <v>9</v>
      </c>
      <c r="AL876" t="s">
        <v>237</v>
      </c>
      <c r="AM876" t="s">
        <v>238</v>
      </c>
      <c r="AN876" t="s">
        <v>239</v>
      </c>
      <c r="AO876" t="s">
        <v>16713</v>
      </c>
      <c r="AP876" t="s">
        <v>16714</v>
      </c>
      <c r="AQ876" t="s">
        <v>74</v>
      </c>
      <c r="AR876" t="s">
        <v>16715</v>
      </c>
      <c r="AS876" t="s">
        <v>16716</v>
      </c>
      <c r="AT876" t="s">
        <v>9001</v>
      </c>
      <c r="AU876">
        <v>2022</v>
      </c>
      <c r="AV876">
        <v>183</v>
      </c>
      <c r="AW876" t="s">
        <v>74</v>
      </c>
      <c r="AX876" t="s">
        <v>74</v>
      </c>
      <c r="AY876" t="s">
        <v>74</v>
      </c>
      <c r="AZ876" t="s">
        <v>74</v>
      </c>
      <c r="BA876" t="s">
        <v>74</v>
      </c>
      <c r="BB876" t="s">
        <v>74</v>
      </c>
      <c r="BC876" t="s">
        <v>74</v>
      </c>
      <c r="BD876">
        <v>108060</v>
      </c>
      <c r="BE876" t="s">
        <v>16717</v>
      </c>
      <c r="BF876" t="str">
        <f>HYPERLINK("http://dx.doi.org/10.1016/j.microc.2022.108060","http://dx.doi.org/10.1016/j.microc.2022.108060")</f>
        <v>http://dx.doi.org/10.1016/j.microc.2022.108060</v>
      </c>
      <c r="BG876" t="s">
        <v>74</v>
      </c>
      <c r="BH876" t="s">
        <v>16236</v>
      </c>
      <c r="BI876">
        <v>6</v>
      </c>
      <c r="BJ876" t="s">
        <v>7534</v>
      </c>
      <c r="BK876" t="s">
        <v>104</v>
      </c>
      <c r="BL876" t="s">
        <v>7535</v>
      </c>
      <c r="BM876" t="s">
        <v>16718</v>
      </c>
      <c r="BN876" t="s">
        <v>74</v>
      </c>
      <c r="BO876" t="s">
        <v>1279</v>
      </c>
      <c r="BP876" t="s">
        <v>74</v>
      </c>
      <c r="BQ876" t="s">
        <v>74</v>
      </c>
      <c r="BR876" t="s">
        <v>108</v>
      </c>
      <c r="BS876" t="s">
        <v>16719</v>
      </c>
      <c r="BT876" t="str">
        <f>HYPERLINK("https%3A%2F%2Fwww.webofscience.com%2Fwos%2Fwoscc%2Ffull-record%2FWOS:000878654600003","View Full Record in Web of Science")</f>
        <v>View Full Record in Web of Science</v>
      </c>
    </row>
    <row r="877" spans="1:72" x14ac:dyDescent="0.15">
      <c r="A877" t="s">
        <v>72</v>
      </c>
      <c r="B877" t="s">
        <v>16720</v>
      </c>
      <c r="C877" t="s">
        <v>74</v>
      </c>
      <c r="D877" t="s">
        <v>74</v>
      </c>
      <c r="E877" t="s">
        <v>74</v>
      </c>
      <c r="F877" t="s">
        <v>16721</v>
      </c>
      <c r="G877" t="s">
        <v>74</v>
      </c>
      <c r="H877" t="s">
        <v>74</v>
      </c>
      <c r="I877" t="s">
        <v>16722</v>
      </c>
      <c r="J877" t="s">
        <v>7392</v>
      </c>
      <c r="K877" t="s">
        <v>74</v>
      </c>
      <c r="L877" t="s">
        <v>74</v>
      </c>
      <c r="M877" t="s">
        <v>78</v>
      </c>
      <c r="N877" t="s">
        <v>79</v>
      </c>
      <c r="O877" t="s">
        <v>74</v>
      </c>
      <c r="P877" t="s">
        <v>74</v>
      </c>
      <c r="Q877" t="s">
        <v>74</v>
      </c>
      <c r="R877" t="s">
        <v>74</v>
      </c>
      <c r="S877" t="s">
        <v>74</v>
      </c>
      <c r="T877" t="s">
        <v>74</v>
      </c>
      <c r="U877" t="s">
        <v>16723</v>
      </c>
      <c r="V877" t="s">
        <v>16724</v>
      </c>
      <c r="W877" t="s">
        <v>16725</v>
      </c>
      <c r="X877" t="s">
        <v>16726</v>
      </c>
      <c r="Y877" t="s">
        <v>16727</v>
      </c>
      <c r="Z877" t="s">
        <v>16728</v>
      </c>
      <c r="AA877" t="s">
        <v>16729</v>
      </c>
      <c r="AB877" t="s">
        <v>16730</v>
      </c>
      <c r="AC877" t="s">
        <v>16731</v>
      </c>
      <c r="AD877" t="s">
        <v>16732</v>
      </c>
      <c r="AE877" t="s">
        <v>16733</v>
      </c>
      <c r="AF877" t="s">
        <v>74</v>
      </c>
      <c r="AG877">
        <v>96</v>
      </c>
      <c r="AH877">
        <v>4</v>
      </c>
      <c r="AI877">
        <v>4</v>
      </c>
      <c r="AJ877">
        <v>3</v>
      </c>
      <c r="AK877">
        <v>12</v>
      </c>
      <c r="AL877" t="s">
        <v>126</v>
      </c>
      <c r="AM877" t="s">
        <v>127</v>
      </c>
      <c r="AN877" t="s">
        <v>128</v>
      </c>
      <c r="AO877" t="s">
        <v>7401</v>
      </c>
      <c r="AP877" t="s">
        <v>7402</v>
      </c>
      <c r="AQ877" t="s">
        <v>74</v>
      </c>
      <c r="AR877" t="s">
        <v>7392</v>
      </c>
      <c r="AS877" t="s">
        <v>7403</v>
      </c>
      <c r="AT877" t="s">
        <v>16734</v>
      </c>
      <c r="AU877">
        <v>2022</v>
      </c>
      <c r="AV877">
        <v>16</v>
      </c>
      <c r="AW877">
        <v>10</v>
      </c>
      <c r="AX877" t="s">
        <v>74</v>
      </c>
      <c r="AY877" t="s">
        <v>74</v>
      </c>
      <c r="AZ877" t="s">
        <v>74</v>
      </c>
      <c r="BA877" t="s">
        <v>74</v>
      </c>
      <c r="BB877">
        <v>4553</v>
      </c>
      <c r="BC877">
        <v>4569</v>
      </c>
      <c r="BD877" t="s">
        <v>74</v>
      </c>
      <c r="BE877" t="s">
        <v>16735</v>
      </c>
      <c r="BF877" t="str">
        <f>HYPERLINK("http://dx.doi.org/10.5194/tc-16-4553-2022","http://dx.doi.org/10.5194/tc-16-4553-2022")</f>
        <v>http://dx.doi.org/10.5194/tc-16-4553-2022</v>
      </c>
      <c r="BG877" t="s">
        <v>74</v>
      </c>
      <c r="BH877" t="s">
        <v>74</v>
      </c>
      <c r="BI877">
        <v>17</v>
      </c>
      <c r="BJ877" t="s">
        <v>611</v>
      </c>
      <c r="BK877" t="s">
        <v>104</v>
      </c>
      <c r="BL877" t="s">
        <v>612</v>
      </c>
      <c r="BM877" t="s">
        <v>16736</v>
      </c>
      <c r="BN877" t="s">
        <v>74</v>
      </c>
      <c r="BO877" t="s">
        <v>737</v>
      </c>
      <c r="BP877" t="s">
        <v>74</v>
      </c>
      <c r="BQ877" t="s">
        <v>74</v>
      </c>
      <c r="BR877" t="s">
        <v>108</v>
      </c>
      <c r="BS877" t="s">
        <v>16737</v>
      </c>
      <c r="BT877" t="str">
        <f>HYPERLINK("https%3A%2F%2Fwww.webofscience.com%2Fwos%2Fwoscc%2Ffull-record%2FWOS:000873874800001","View Full Record in Web of Science")</f>
        <v>View Full Record in Web of Science</v>
      </c>
    </row>
    <row r="878" spans="1:72" x14ac:dyDescent="0.15">
      <c r="A878" t="s">
        <v>72</v>
      </c>
      <c r="B878" t="s">
        <v>16738</v>
      </c>
      <c r="C878" t="s">
        <v>74</v>
      </c>
      <c r="D878" t="s">
        <v>74</v>
      </c>
      <c r="E878" t="s">
        <v>74</v>
      </c>
      <c r="F878" t="s">
        <v>16739</v>
      </c>
      <c r="G878" t="s">
        <v>74</v>
      </c>
      <c r="H878" t="s">
        <v>74</v>
      </c>
      <c r="I878" t="s">
        <v>16740</v>
      </c>
      <c r="J878" t="s">
        <v>7370</v>
      </c>
      <c r="K878" t="s">
        <v>74</v>
      </c>
      <c r="L878" t="s">
        <v>74</v>
      </c>
      <c r="M878" t="s">
        <v>78</v>
      </c>
      <c r="N878" t="s">
        <v>79</v>
      </c>
      <c r="O878" t="s">
        <v>74</v>
      </c>
      <c r="P878" t="s">
        <v>74</v>
      </c>
      <c r="Q878" t="s">
        <v>74</v>
      </c>
      <c r="R878" t="s">
        <v>74</v>
      </c>
      <c r="S878" t="s">
        <v>74</v>
      </c>
      <c r="T878" t="s">
        <v>74</v>
      </c>
      <c r="U878" t="s">
        <v>16741</v>
      </c>
      <c r="V878" t="s">
        <v>16742</v>
      </c>
      <c r="W878" t="s">
        <v>16743</v>
      </c>
      <c r="X878" t="s">
        <v>16744</v>
      </c>
      <c r="Y878" t="s">
        <v>16745</v>
      </c>
      <c r="Z878" t="s">
        <v>16746</v>
      </c>
      <c r="AA878" t="s">
        <v>16747</v>
      </c>
      <c r="AB878" t="s">
        <v>16748</v>
      </c>
      <c r="AC878" t="s">
        <v>16749</v>
      </c>
      <c r="AD878" t="s">
        <v>16750</v>
      </c>
      <c r="AE878" t="s">
        <v>16751</v>
      </c>
      <c r="AF878" t="s">
        <v>74</v>
      </c>
      <c r="AG878">
        <v>51</v>
      </c>
      <c r="AH878">
        <v>12</v>
      </c>
      <c r="AI878">
        <v>13</v>
      </c>
      <c r="AJ878">
        <v>2</v>
      </c>
      <c r="AK878">
        <v>8</v>
      </c>
      <c r="AL878" t="s">
        <v>182</v>
      </c>
      <c r="AM878" t="s">
        <v>183</v>
      </c>
      <c r="AN878" t="s">
        <v>184</v>
      </c>
      <c r="AO878" t="s">
        <v>7382</v>
      </c>
      <c r="AP878" t="s">
        <v>7383</v>
      </c>
      <c r="AQ878" t="s">
        <v>74</v>
      </c>
      <c r="AR878" t="s">
        <v>7384</v>
      </c>
      <c r="AS878" t="s">
        <v>7385</v>
      </c>
      <c r="AT878" t="s">
        <v>14975</v>
      </c>
      <c r="AU878">
        <v>2022</v>
      </c>
      <c r="AV878">
        <v>15</v>
      </c>
      <c r="AW878">
        <v>11</v>
      </c>
      <c r="AX878" t="s">
        <v>74</v>
      </c>
      <c r="AY878" t="s">
        <v>74</v>
      </c>
      <c r="AZ878" t="s">
        <v>74</v>
      </c>
      <c r="BA878" t="s">
        <v>74</v>
      </c>
      <c r="BB878">
        <v>892</v>
      </c>
      <c r="BC878" t="s">
        <v>351</v>
      </c>
      <c r="BD878" t="s">
        <v>74</v>
      </c>
      <c r="BE878" t="s">
        <v>16752</v>
      </c>
      <c r="BF878" t="str">
        <f>HYPERLINK("http://dx.doi.org/10.1038/s41561-022-01059-1","http://dx.doi.org/10.1038/s41561-022-01059-1")</f>
        <v>http://dx.doi.org/10.1038/s41561-022-01059-1</v>
      </c>
      <c r="BG878" t="s">
        <v>74</v>
      </c>
      <c r="BH878" t="s">
        <v>16236</v>
      </c>
      <c r="BI878">
        <v>16</v>
      </c>
      <c r="BJ878" t="s">
        <v>455</v>
      </c>
      <c r="BK878" t="s">
        <v>104</v>
      </c>
      <c r="BL878" t="s">
        <v>456</v>
      </c>
      <c r="BM878" t="s">
        <v>16753</v>
      </c>
      <c r="BN878" t="s">
        <v>74</v>
      </c>
      <c r="BO878" t="s">
        <v>74</v>
      </c>
      <c r="BP878" t="s">
        <v>74</v>
      </c>
      <c r="BQ878" t="s">
        <v>74</v>
      </c>
      <c r="BR878" t="s">
        <v>108</v>
      </c>
      <c r="BS878" t="s">
        <v>16754</v>
      </c>
      <c r="BT878" t="str">
        <f>HYPERLINK("https%3A%2F%2Fwww.webofscience.com%2Fwos%2Fwoscc%2Ffull-record%2FWOS:000874422500002","View Full Record in Web of Science")</f>
        <v>View Full Record in Web of Science</v>
      </c>
    </row>
    <row r="879" spans="1:72" x14ac:dyDescent="0.15">
      <c r="A879" t="s">
        <v>72</v>
      </c>
      <c r="B879" t="s">
        <v>16755</v>
      </c>
      <c r="C879" t="s">
        <v>74</v>
      </c>
      <c r="D879" t="s">
        <v>74</v>
      </c>
      <c r="E879" t="s">
        <v>74</v>
      </c>
      <c r="F879" t="s">
        <v>16756</v>
      </c>
      <c r="G879" t="s">
        <v>74</v>
      </c>
      <c r="H879" t="s">
        <v>74</v>
      </c>
      <c r="I879" t="s">
        <v>16757</v>
      </c>
      <c r="J879" t="s">
        <v>7392</v>
      </c>
      <c r="K879" t="s">
        <v>74</v>
      </c>
      <c r="L879" t="s">
        <v>74</v>
      </c>
      <c r="M879" t="s">
        <v>78</v>
      </c>
      <c r="N879" t="s">
        <v>79</v>
      </c>
      <c r="O879" t="s">
        <v>74</v>
      </c>
      <c r="P879" t="s">
        <v>74</v>
      </c>
      <c r="Q879" t="s">
        <v>74</v>
      </c>
      <c r="R879" t="s">
        <v>74</v>
      </c>
      <c r="S879" t="s">
        <v>74</v>
      </c>
      <c r="T879" t="s">
        <v>74</v>
      </c>
      <c r="U879" t="s">
        <v>16758</v>
      </c>
      <c r="V879" t="s">
        <v>16759</v>
      </c>
      <c r="W879" t="s">
        <v>16760</v>
      </c>
      <c r="X879" t="s">
        <v>16761</v>
      </c>
      <c r="Y879" t="s">
        <v>16762</v>
      </c>
      <c r="Z879" t="s">
        <v>16763</v>
      </c>
      <c r="AA879" t="s">
        <v>16764</v>
      </c>
      <c r="AB879" t="s">
        <v>16765</v>
      </c>
      <c r="AC879" t="s">
        <v>16766</v>
      </c>
      <c r="AD879" t="s">
        <v>16767</v>
      </c>
      <c r="AE879" t="s">
        <v>16768</v>
      </c>
      <c r="AF879" t="s">
        <v>74</v>
      </c>
      <c r="AG879">
        <v>82</v>
      </c>
      <c r="AH879">
        <v>10</v>
      </c>
      <c r="AI879">
        <v>10</v>
      </c>
      <c r="AJ879">
        <v>0</v>
      </c>
      <c r="AK879">
        <v>3</v>
      </c>
      <c r="AL879" t="s">
        <v>126</v>
      </c>
      <c r="AM879" t="s">
        <v>127</v>
      </c>
      <c r="AN879" t="s">
        <v>128</v>
      </c>
      <c r="AO879" t="s">
        <v>7401</v>
      </c>
      <c r="AP879" t="s">
        <v>7402</v>
      </c>
      <c r="AQ879" t="s">
        <v>74</v>
      </c>
      <c r="AR879" t="s">
        <v>7392</v>
      </c>
      <c r="AS879" t="s">
        <v>7403</v>
      </c>
      <c r="AT879" t="s">
        <v>16734</v>
      </c>
      <c r="AU879">
        <v>2022</v>
      </c>
      <c r="AV879">
        <v>16</v>
      </c>
      <c r="AW879">
        <v>10</v>
      </c>
      <c r="AX879" t="s">
        <v>74</v>
      </c>
      <c r="AY879" t="s">
        <v>74</v>
      </c>
      <c r="AZ879" t="s">
        <v>74</v>
      </c>
      <c r="BA879" t="s">
        <v>74</v>
      </c>
      <c r="BB879">
        <v>4537</v>
      </c>
      <c r="BC879">
        <v>4552</v>
      </c>
      <c r="BD879" t="s">
        <v>74</v>
      </c>
      <c r="BE879" t="s">
        <v>16769</v>
      </c>
      <c r="BF879" t="str">
        <f>HYPERLINK("http://dx.doi.org/10.5194/tc-16-4537-2022","http://dx.doi.org/10.5194/tc-16-4537-2022")</f>
        <v>http://dx.doi.org/10.5194/tc-16-4537-2022</v>
      </c>
      <c r="BG879" t="s">
        <v>74</v>
      </c>
      <c r="BH879" t="s">
        <v>74</v>
      </c>
      <c r="BI879">
        <v>16</v>
      </c>
      <c r="BJ879" t="s">
        <v>611</v>
      </c>
      <c r="BK879" t="s">
        <v>104</v>
      </c>
      <c r="BL879" t="s">
        <v>612</v>
      </c>
      <c r="BM879" t="s">
        <v>16770</v>
      </c>
      <c r="BN879" t="s">
        <v>74</v>
      </c>
      <c r="BO879" t="s">
        <v>5407</v>
      </c>
      <c r="BP879" t="s">
        <v>74</v>
      </c>
      <c r="BQ879" t="s">
        <v>74</v>
      </c>
      <c r="BR879" t="s">
        <v>108</v>
      </c>
      <c r="BS879" t="s">
        <v>16771</v>
      </c>
      <c r="BT879" t="str">
        <f>HYPERLINK("https%3A%2F%2Fwww.webofscience.com%2Fwos%2Fwoscc%2Ffull-record%2FWOS:000873877300001","View Full Record in Web of Science")</f>
        <v>View Full Record in Web of Science</v>
      </c>
    </row>
    <row r="880" spans="1:72" x14ac:dyDescent="0.15">
      <c r="A880" t="s">
        <v>72</v>
      </c>
      <c r="B880" t="s">
        <v>16772</v>
      </c>
      <c r="C880" t="s">
        <v>74</v>
      </c>
      <c r="D880" t="s">
        <v>74</v>
      </c>
      <c r="E880" t="s">
        <v>74</v>
      </c>
      <c r="F880" t="s">
        <v>16773</v>
      </c>
      <c r="G880" t="s">
        <v>74</v>
      </c>
      <c r="H880" t="s">
        <v>74</v>
      </c>
      <c r="I880" t="s">
        <v>16774</v>
      </c>
      <c r="J880" t="s">
        <v>11790</v>
      </c>
      <c r="K880" t="s">
        <v>74</v>
      </c>
      <c r="L880" t="s">
        <v>74</v>
      </c>
      <c r="M880" t="s">
        <v>78</v>
      </c>
      <c r="N880" t="s">
        <v>79</v>
      </c>
      <c r="O880" t="s">
        <v>74</v>
      </c>
      <c r="P880" t="s">
        <v>74</v>
      </c>
      <c r="Q880" t="s">
        <v>74</v>
      </c>
      <c r="R880" t="s">
        <v>74</v>
      </c>
      <c r="S880" t="s">
        <v>74</v>
      </c>
      <c r="T880" t="s">
        <v>16775</v>
      </c>
      <c r="U880" t="s">
        <v>16776</v>
      </c>
      <c r="V880" t="s">
        <v>16777</v>
      </c>
      <c r="W880" t="s">
        <v>16778</v>
      </c>
      <c r="X880" t="s">
        <v>16779</v>
      </c>
      <c r="Y880" t="s">
        <v>16780</v>
      </c>
      <c r="Z880" t="s">
        <v>16781</v>
      </c>
      <c r="AA880" t="s">
        <v>16782</v>
      </c>
      <c r="AB880" t="s">
        <v>16783</v>
      </c>
      <c r="AC880" t="s">
        <v>16784</v>
      </c>
      <c r="AD880" t="s">
        <v>16785</v>
      </c>
      <c r="AE880" t="s">
        <v>16786</v>
      </c>
      <c r="AF880" t="s">
        <v>74</v>
      </c>
      <c r="AG880">
        <v>66</v>
      </c>
      <c r="AH880">
        <v>6</v>
      </c>
      <c r="AI880">
        <v>6</v>
      </c>
      <c r="AJ880">
        <v>2</v>
      </c>
      <c r="AK880">
        <v>13</v>
      </c>
      <c r="AL880" t="s">
        <v>1791</v>
      </c>
      <c r="AM880" t="s">
        <v>576</v>
      </c>
      <c r="AN880" t="s">
        <v>1792</v>
      </c>
      <c r="AO880" t="s">
        <v>11803</v>
      </c>
      <c r="AP880" t="s">
        <v>11804</v>
      </c>
      <c r="AQ880" t="s">
        <v>74</v>
      </c>
      <c r="AR880" t="s">
        <v>11805</v>
      </c>
      <c r="AS880" t="s">
        <v>11806</v>
      </c>
      <c r="AT880" t="s">
        <v>16734</v>
      </c>
      <c r="AU880">
        <v>2022</v>
      </c>
      <c r="AV880">
        <v>127</v>
      </c>
      <c r="AW880">
        <v>20</v>
      </c>
      <c r="AX880" t="s">
        <v>74</v>
      </c>
      <c r="AY880" t="s">
        <v>74</v>
      </c>
      <c r="AZ880" t="s">
        <v>74</v>
      </c>
      <c r="BA880" t="s">
        <v>74</v>
      </c>
      <c r="BB880" t="s">
        <v>74</v>
      </c>
      <c r="BC880" t="s">
        <v>74</v>
      </c>
      <c r="BD880" t="s">
        <v>16787</v>
      </c>
      <c r="BE880" t="s">
        <v>16788</v>
      </c>
      <c r="BF880" t="str">
        <f>HYPERLINK("http://dx.doi.org/10.1029/2022JD037123","http://dx.doi.org/10.1029/2022JD037123")</f>
        <v>http://dx.doi.org/10.1029/2022JD037123</v>
      </c>
      <c r="BG880" t="s">
        <v>74</v>
      </c>
      <c r="BH880" t="s">
        <v>74</v>
      </c>
      <c r="BI880">
        <v>20</v>
      </c>
      <c r="BJ880" t="s">
        <v>532</v>
      </c>
      <c r="BK880" t="s">
        <v>104</v>
      </c>
      <c r="BL880" t="s">
        <v>532</v>
      </c>
      <c r="BM880" t="s">
        <v>16789</v>
      </c>
      <c r="BN880" t="s">
        <v>74</v>
      </c>
      <c r="BO880" t="s">
        <v>248</v>
      </c>
      <c r="BP880" t="s">
        <v>74</v>
      </c>
      <c r="BQ880" t="s">
        <v>74</v>
      </c>
      <c r="BR880" t="s">
        <v>108</v>
      </c>
      <c r="BS880" t="s">
        <v>16790</v>
      </c>
      <c r="BT880" t="str">
        <f>HYPERLINK("https%3A%2F%2Fwww.webofscience.com%2Fwos%2Fwoscc%2Ffull-record%2FWOS:000871966500001","View Full Record in Web of Science")</f>
        <v>View Full Record in Web of Science</v>
      </c>
    </row>
    <row r="881" spans="1:72" x14ac:dyDescent="0.15">
      <c r="A881" t="s">
        <v>72</v>
      </c>
      <c r="B881" t="s">
        <v>16791</v>
      </c>
      <c r="C881" t="s">
        <v>74</v>
      </c>
      <c r="D881" t="s">
        <v>74</v>
      </c>
      <c r="E881" t="s">
        <v>74</v>
      </c>
      <c r="F881" t="s">
        <v>16792</v>
      </c>
      <c r="G881" t="s">
        <v>74</v>
      </c>
      <c r="H881" t="s">
        <v>74</v>
      </c>
      <c r="I881" t="s">
        <v>16793</v>
      </c>
      <c r="J881" t="s">
        <v>16794</v>
      </c>
      <c r="K881" t="s">
        <v>74</v>
      </c>
      <c r="L881" t="s">
        <v>74</v>
      </c>
      <c r="M881" t="s">
        <v>78</v>
      </c>
      <c r="N881" t="s">
        <v>79</v>
      </c>
      <c r="O881" t="s">
        <v>74</v>
      </c>
      <c r="P881" t="s">
        <v>74</v>
      </c>
      <c r="Q881" t="s">
        <v>74</v>
      </c>
      <c r="R881" t="s">
        <v>74</v>
      </c>
      <c r="S881" t="s">
        <v>74</v>
      </c>
      <c r="T881" t="s">
        <v>16795</v>
      </c>
      <c r="U881" t="s">
        <v>16796</v>
      </c>
      <c r="V881" t="s">
        <v>16797</v>
      </c>
      <c r="W881" t="s">
        <v>16798</v>
      </c>
      <c r="X881" t="s">
        <v>16799</v>
      </c>
      <c r="Y881" t="s">
        <v>16800</v>
      </c>
      <c r="Z881" t="s">
        <v>16801</v>
      </c>
      <c r="AA881" t="s">
        <v>16802</v>
      </c>
      <c r="AB881" t="s">
        <v>16803</v>
      </c>
      <c r="AC881" t="s">
        <v>16804</v>
      </c>
      <c r="AD881" t="s">
        <v>16805</v>
      </c>
      <c r="AE881" t="s">
        <v>16806</v>
      </c>
      <c r="AF881" t="s">
        <v>74</v>
      </c>
      <c r="AG881">
        <v>124</v>
      </c>
      <c r="AH881">
        <v>0</v>
      </c>
      <c r="AI881">
        <v>0</v>
      </c>
      <c r="AJ881">
        <v>5</v>
      </c>
      <c r="AK881">
        <v>24</v>
      </c>
      <c r="AL881" t="s">
        <v>207</v>
      </c>
      <c r="AM881" t="s">
        <v>208</v>
      </c>
      <c r="AN881" t="s">
        <v>209</v>
      </c>
      <c r="AO881" t="s">
        <v>16807</v>
      </c>
      <c r="AP881" t="s">
        <v>16808</v>
      </c>
      <c r="AQ881" t="s">
        <v>74</v>
      </c>
      <c r="AR881" t="s">
        <v>16809</v>
      </c>
      <c r="AS881" t="s">
        <v>16810</v>
      </c>
      <c r="AT881" t="s">
        <v>9001</v>
      </c>
      <c r="AU881">
        <v>2022</v>
      </c>
      <c r="AV881">
        <v>182</v>
      </c>
      <c r="AW881" t="s">
        <v>74</v>
      </c>
      <c r="AX881" t="s">
        <v>74</v>
      </c>
      <c r="AY881" t="s">
        <v>74</v>
      </c>
      <c r="AZ881" t="s">
        <v>74</v>
      </c>
      <c r="BA881" t="s">
        <v>74</v>
      </c>
      <c r="BB881" t="s">
        <v>74</v>
      </c>
      <c r="BC881" t="s">
        <v>74</v>
      </c>
      <c r="BD881">
        <v>105782</v>
      </c>
      <c r="BE881" t="s">
        <v>16811</v>
      </c>
      <c r="BF881" t="str">
        <f>HYPERLINK("http://dx.doi.org/10.1016/j.marenvres.2022.105782","http://dx.doi.org/10.1016/j.marenvres.2022.105782")</f>
        <v>http://dx.doi.org/10.1016/j.marenvres.2022.105782</v>
      </c>
      <c r="BG881" t="s">
        <v>74</v>
      </c>
      <c r="BH881" t="s">
        <v>16236</v>
      </c>
      <c r="BI881">
        <v>13</v>
      </c>
      <c r="BJ881" t="s">
        <v>16812</v>
      </c>
      <c r="BK881" t="s">
        <v>104</v>
      </c>
      <c r="BL881" t="s">
        <v>16813</v>
      </c>
      <c r="BM881" t="s">
        <v>16814</v>
      </c>
      <c r="BN881">
        <v>36308800</v>
      </c>
      <c r="BO881" t="s">
        <v>74</v>
      </c>
      <c r="BP881" t="s">
        <v>74</v>
      </c>
      <c r="BQ881" t="s">
        <v>74</v>
      </c>
      <c r="BR881" t="s">
        <v>108</v>
      </c>
      <c r="BS881" t="s">
        <v>16815</v>
      </c>
      <c r="BT881" t="str">
        <f>HYPERLINK("https%3A%2F%2Fwww.webofscience.com%2Fwos%2Fwoscc%2Ffull-record%2FWOS:000879101000004","View Full Record in Web of Science")</f>
        <v>View Full Record in Web of Science</v>
      </c>
    </row>
    <row r="882" spans="1:72" x14ac:dyDescent="0.15">
      <c r="A882" t="s">
        <v>72</v>
      </c>
      <c r="B882" t="s">
        <v>16816</v>
      </c>
      <c r="C882" t="s">
        <v>74</v>
      </c>
      <c r="D882" t="s">
        <v>74</v>
      </c>
      <c r="E882" t="s">
        <v>74</v>
      </c>
      <c r="F882" t="s">
        <v>16817</v>
      </c>
      <c r="G882" t="s">
        <v>74</v>
      </c>
      <c r="H882" t="s">
        <v>74</v>
      </c>
      <c r="I882" t="s">
        <v>16818</v>
      </c>
      <c r="J882" t="s">
        <v>7102</v>
      </c>
      <c r="K882" t="s">
        <v>74</v>
      </c>
      <c r="L882" t="s">
        <v>74</v>
      </c>
      <c r="M882" t="s">
        <v>78</v>
      </c>
      <c r="N882" t="s">
        <v>79</v>
      </c>
      <c r="O882" t="s">
        <v>74</v>
      </c>
      <c r="P882" t="s">
        <v>74</v>
      </c>
      <c r="Q882" t="s">
        <v>74</v>
      </c>
      <c r="R882" t="s">
        <v>74</v>
      </c>
      <c r="S882" t="s">
        <v>74</v>
      </c>
      <c r="T882" t="s">
        <v>16819</v>
      </c>
      <c r="U882" t="s">
        <v>16820</v>
      </c>
      <c r="V882" t="s">
        <v>16821</v>
      </c>
      <c r="W882" t="s">
        <v>16822</v>
      </c>
      <c r="X882" t="s">
        <v>16823</v>
      </c>
      <c r="Y882" t="s">
        <v>16824</v>
      </c>
      <c r="Z882" t="s">
        <v>16825</v>
      </c>
      <c r="AA882" t="s">
        <v>16826</v>
      </c>
      <c r="AB882" t="s">
        <v>16827</v>
      </c>
      <c r="AC882" t="s">
        <v>16828</v>
      </c>
      <c r="AD882" t="s">
        <v>16829</v>
      </c>
      <c r="AE882" t="s">
        <v>16830</v>
      </c>
      <c r="AF882" t="s">
        <v>74</v>
      </c>
      <c r="AG882">
        <v>49</v>
      </c>
      <c r="AH882">
        <v>2</v>
      </c>
      <c r="AI882">
        <v>2</v>
      </c>
      <c r="AJ882">
        <v>0</v>
      </c>
      <c r="AK882">
        <v>8</v>
      </c>
      <c r="AL882" t="s">
        <v>448</v>
      </c>
      <c r="AM882" t="s">
        <v>449</v>
      </c>
      <c r="AN882" t="s">
        <v>450</v>
      </c>
      <c r="AO882" t="s">
        <v>74</v>
      </c>
      <c r="AP882" t="s">
        <v>7115</v>
      </c>
      <c r="AQ882" t="s">
        <v>74</v>
      </c>
      <c r="AR882" t="s">
        <v>7116</v>
      </c>
      <c r="AS882" t="s">
        <v>7117</v>
      </c>
      <c r="AT882" t="s">
        <v>16831</v>
      </c>
      <c r="AU882">
        <v>2022</v>
      </c>
      <c r="AV882">
        <v>9</v>
      </c>
      <c r="AW882" t="s">
        <v>74</v>
      </c>
      <c r="AX882" t="s">
        <v>74</v>
      </c>
      <c r="AY882" t="s">
        <v>74</v>
      </c>
      <c r="AZ882" t="s">
        <v>74</v>
      </c>
      <c r="BA882" t="s">
        <v>74</v>
      </c>
      <c r="BB882" t="s">
        <v>74</v>
      </c>
      <c r="BC882" t="s">
        <v>74</v>
      </c>
      <c r="BD882">
        <v>1002398</v>
      </c>
      <c r="BE882" t="s">
        <v>16832</v>
      </c>
      <c r="BF882" t="str">
        <f>HYPERLINK("http://dx.doi.org/10.3389/fmars.2022.1002398","http://dx.doi.org/10.3389/fmars.2022.1002398")</f>
        <v>http://dx.doi.org/10.3389/fmars.2022.1002398</v>
      </c>
      <c r="BG882" t="s">
        <v>74</v>
      </c>
      <c r="BH882" t="s">
        <v>74</v>
      </c>
      <c r="BI882">
        <v>14</v>
      </c>
      <c r="BJ882" t="s">
        <v>6728</v>
      </c>
      <c r="BK882" t="s">
        <v>104</v>
      </c>
      <c r="BL882" t="s">
        <v>6729</v>
      </c>
      <c r="BM882" t="s">
        <v>16833</v>
      </c>
      <c r="BN882" t="s">
        <v>74</v>
      </c>
      <c r="BO882" t="s">
        <v>165</v>
      </c>
      <c r="BP882" t="s">
        <v>74</v>
      </c>
      <c r="BQ882" t="s">
        <v>74</v>
      </c>
      <c r="BR882" t="s">
        <v>108</v>
      </c>
      <c r="BS882" t="s">
        <v>16834</v>
      </c>
      <c r="BT882" t="str">
        <f>HYPERLINK("https%3A%2F%2Fwww.webofscience.com%2Fwos%2Fwoscc%2Ffull-record%2FWOS:000882492200001","View Full Record in Web of Science")</f>
        <v>View Full Record in Web of Science</v>
      </c>
    </row>
    <row r="883" spans="1:72" x14ac:dyDescent="0.15">
      <c r="A883" t="s">
        <v>72</v>
      </c>
      <c r="B883" t="s">
        <v>16835</v>
      </c>
      <c r="C883" t="s">
        <v>74</v>
      </c>
      <c r="D883" t="s">
        <v>74</v>
      </c>
      <c r="E883" t="s">
        <v>74</v>
      </c>
      <c r="F883" t="s">
        <v>16836</v>
      </c>
      <c r="G883" t="s">
        <v>74</v>
      </c>
      <c r="H883" t="s">
        <v>74</v>
      </c>
      <c r="I883" t="s">
        <v>16837</v>
      </c>
      <c r="J883" t="s">
        <v>16838</v>
      </c>
      <c r="K883" t="s">
        <v>74</v>
      </c>
      <c r="L883" t="s">
        <v>74</v>
      </c>
      <c r="M883" t="s">
        <v>78</v>
      </c>
      <c r="N883" t="s">
        <v>79</v>
      </c>
      <c r="O883" t="s">
        <v>74</v>
      </c>
      <c r="P883" t="s">
        <v>74</v>
      </c>
      <c r="Q883" t="s">
        <v>74</v>
      </c>
      <c r="R883" t="s">
        <v>74</v>
      </c>
      <c r="S883" t="s">
        <v>74</v>
      </c>
      <c r="T883" t="s">
        <v>16839</v>
      </c>
      <c r="U883" t="s">
        <v>16840</v>
      </c>
      <c r="V883" t="s">
        <v>16841</v>
      </c>
      <c r="W883" t="s">
        <v>16842</v>
      </c>
      <c r="X883" t="s">
        <v>16843</v>
      </c>
      <c r="Y883" t="s">
        <v>16844</v>
      </c>
      <c r="Z883" t="s">
        <v>16845</v>
      </c>
      <c r="AA883" t="s">
        <v>74</v>
      </c>
      <c r="AB883" t="s">
        <v>74</v>
      </c>
      <c r="AC883" t="s">
        <v>74</v>
      </c>
      <c r="AD883" t="s">
        <v>74</v>
      </c>
      <c r="AE883" t="s">
        <v>74</v>
      </c>
      <c r="AF883" t="s">
        <v>74</v>
      </c>
      <c r="AG883">
        <v>23</v>
      </c>
      <c r="AH883">
        <v>0</v>
      </c>
      <c r="AI883">
        <v>0</v>
      </c>
      <c r="AJ883">
        <v>0</v>
      </c>
      <c r="AK883">
        <v>0</v>
      </c>
      <c r="AL883" t="s">
        <v>703</v>
      </c>
      <c r="AM883" t="s">
        <v>704</v>
      </c>
      <c r="AN883" t="s">
        <v>705</v>
      </c>
      <c r="AO883" t="s">
        <v>16846</v>
      </c>
      <c r="AP883" t="s">
        <v>16847</v>
      </c>
      <c r="AQ883" t="s">
        <v>74</v>
      </c>
      <c r="AR883" t="s">
        <v>16848</v>
      </c>
      <c r="AS883" t="s">
        <v>16849</v>
      </c>
      <c r="AT883" t="s">
        <v>14836</v>
      </c>
      <c r="AU883">
        <v>2022</v>
      </c>
      <c r="AV883">
        <v>60</v>
      </c>
      <c r="AW883">
        <v>11</v>
      </c>
      <c r="AX883" t="s">
        <v>74</v>
      </c>
      <c r="AY883" t="s">
        <v>74</v>
      </c>
      <c r="AZ883" t="s">
        <v>74</v>
      </c>
      <c r="BA883" t="s">
        <v>74</v>
      </c>
      <c r="BB883">
        <v>1277</v>
      </c>
      <c r="BC883">
        <v>1281</v>
      </c>
      <c r="BD883" t="s">
        <v>74</v>
      </c>
      <c r="BE883" t="s">
        <v>16850</v>
      </c>
      <c r="BF883" t="str">
        <f>HYPERLINK("http://dx.doi.org/10.1080/15563650.2022.2128366","http://dx.doi.org/10.1080/15563650.2022.2128366")</f>
        <v>http://dx.doi.org/10.1080/15563650.2022.2128366</v>
      </c>
      <c r="BG883" t="s">
        <v>74</v>
      </c>
      <c r="BH883" t="s">
        <v>16236</v>
      </c>
      <c r="BI883">
        <v>5</v>
      </c>
      <c r="BJ883" t="s">
        <v>16851</v>
      </c>
      <c r="BK883" t="s">
        <v>104</v>
      </c>
      <c r="BL883" t="s">
        <v>16851</v>
      </c>
      <c r="BM883" t="s">
        <v>16852</v>
      </c>
      <c r="BN883">
        <v>36286587</v>
      </c>
      <c r="BO883" t="s">
        <v>74</v>
      </c>
      <c r="BP883" t="s">
        <v>74</v>
      </c>
      <c r="BQ883" t="s">
        <v>74</v>
      </c>
      <c r="BR883" t="s">
        <v>108</v>
      </c>
      <c r="BS883" t="s">
        <v>16853</v>
      </c>
      <c r="BT883" t="str">
        <f>HYPERLINK("https%3A%2F%2Fwww.webofscience.com%2Fwos%2Fwoscc%2Ffull-record%2FWOS:000876626900001","View Full Record in Web of Science")</f>
        <v>View Full Record in Web of Science</v>
      </c>
    </row>
    <row r="884" spans="1:72" x14ac:dyDescent="0.15">
      <c r="A884" t="s">
        <v>72</v>
      </c>
      <c r="B884" t="s">
        <v>16854</v>
      </c>
      <c r="C884" t="s">
        <v>74</v>
      </c>
      <c r="D884" t="s">
        <v>74</v>
      </c>
      <c r="E884" t="s">
        <v>74</v>
      </c>
      <c r="F884" t="s">
        <v>16855</v>
      </c>
      <c r="G884" t="s">
        <v>74</v>
      </c>
      <c r="H884" t="s">
        <v>74</v>
      </c>
      <c r="I884" t="s">
        <v>16856</v>
      </c>
      <c r="J884" t="s">
        <v>170</v>
      </c>
      <c r="K884" t="s">
        <v>74</v>
      </c>
      <c r="L884" t="s">
        <v>74</v>
      </c>
      <c r="M884" t="s">
        <v>78</v>
      </c>
      <c r="N884" t="s">
        <v>79</v>
      </c>
      <c r="O884" t="s">
        <v>74</v>
      </c>
      <c r="P884" t="s">
        <v>74</v>
      </c>
      <c r="Q884" t="s">
        <v>74</v>
      </c>
      <c r="R884" t="s">
        <v>74</v>
      </c>
      <c r="S884" t="s">
        <v>74</v>
      </c>
      <c r="T884" t="s">
        <v>74</v>
      </c>
      <c r="U884" t="s">
        <v>16857</v>
      </c>
      <c r="V884" t="s">
        <v>16858</v>
      </c>
      <c r="W884" t="s">
        <v>16859</v>
      </c>
      <c r="X884" t="s">
        <v>16860</v>
      </c>
      <c r="Y884" t="s">
        <v>16861</v>
      </c>
      <c r="Z884" t="s">
        <v>16862</v>
      </c>
      <c r="AA884" t="s">
        <v>16863</v>
      </c>
      <c r="AB884" t="s">
        <v>16864</v>
      </c>
      <c r="AC884" t="s">
        <v>16865</v>
      </c>
      <c r="AD884" t="s">
        <v>16865</v>
      </c>
      <c r="AE884" t="s">
        <v>8286</v>
      </c>
      <c r="AF884" t="s">
        <v>74</v>
      </c>
      <c r="AG884">
        <v>93</v>
      </c>
      <c r="AH884">
        <v>3</v>
      </c>
      <c r="AI884">
        <v>3</v>
      </c>
      <c r="AJ884">
        <v>0</v>
      </c>
      <c r="AK884">
        <v>6</v>
      </c>
      <c r="AL884" t="s">
        <v>182</v>
      </c>
      <c r="AM884" t="s">
        <v>183</v>
      </c>
      <c r="AN884" t="s">
        <v>184</v>
      </c>
      <c r="AO884" t="s">
        <v>185</v>
      </c>
      <c r="AP884" t="s">
        <v>74</v>
      </c>
      <c r="AQ884" t="s">
        <v>74</v>
      </c>
      <c r="AR884" t="s">
        <v>186</v>
      </c>
      <c r="AS884" t="s">
        <v>187</v>
      </c>
      <c r="AT884" t="s">
        <v>16831</v>
      </c>
      <c r="AU884">
        <v>2022</v>
      </c>
      <c r="AV884">
        <v>12</v>
      </c>
      <c r="AW884">
        <v>1</v>
      </c>
      <c r="AX884" t="s">
        <v>74</v>
      </c>
      <c r="AY884" t="s">
        <v>74</v>
      </c>
      <c r="AZ884" t="s">
        <v>74</v>
      </c>
      <c r="BA884" t="s">
        <v>74</v>
      </c>
      <c r="BB884" t="s">
        <v>74</v>
      </c>
      <c r="BC884" t="s">
        <v>74</v>
      </c>
      <c r="BD884">
        <v>17933</v>
      </c>
      <c r="BE884" t="s">
        <v>16866</v>
      </c>
      <c r="BF884" t="str">
        <f>HYPERLINK("http://dx.doi.org/10.1038/s41598-022-21658-7","http://dx.doi.org/10.1038/s41598-022-21658-7")</f>
        <v>http://dx.doi.org/10.1038/s41598-022-21658-7</v>
      </c>
      <c r="BG884" t="s">
        <v>74</v>
      </c>
      <c r="BH884" t="s">
        <v>74</v>
      </c>
      <c r="BI884">
        <v>14</v>
      </c>
      <c r="BJ884" t="s">
        <v>189</v>
      </c>
      <c r="BK884" t="s">
        <v>104</v>
      </c>
      <c r="BL884" t="s">
        <v>190</v>
      </c>
      <c r="BM884" t="s">
        <v>16867</v>
      </c>
      <c r="BN884">
        <v>36289307</v>
      </c>
      <c r="BO884" t="s">
        <v>5407</v>
      </c>
      <c r="BP884" t="s">
        <v>74</v>
      </c>
      <c r="BQ884" t="s">
        <v>74</v>
      </c>
      <c r="BR884" t="s">
        <v>108</v>
      </c>
      <c r="BS884" t="s">
        <v>16868</v>
      </c>
      <c r="BT884" t="str">
        <f>HYPERLINK("https%3A%2F%2Fwww.webofscience.com%2Fwos%2Fwoscc%2Ffull-record%2FWOS:000874705000051","View Full Record in Web of Science")</f>
        <v>View Full Record in Web of Science</v>
      </c>
    </row>
    <row r="885" spans="1:72" x14ac:dyDescent="0.15">
      <c r="A885" t="s">
        <v>72</v>
      </c>
      <c r="B885" t="s">
        <v>13169</v>
      </c>
      <c r="C885" t="s">
        <v>74</v>
      </c>
      <c r="D885" t="s">
        <v>74</v>
      </c>
      <c r="E885" t="s">
        <v>74</v>
      </c>
      <c r="F885" t="s">
        <v>13170</v>
      </c>
      <c r="G885" t="s">
        <v>74</v>
      </c>
      <c r="H885" t="s">
        <v>74</v>
      </c>
      <c r="I885" t="s">
        <v>16869</v>
      </c>
      <c r="J885" t="s">
        <v>13172</v>
      </c>
      <c r="K885" t="s">
        <v>74</v>
      </c>
      <c r="L885" t="s">
        <v>74</v>
      </c>
      <c r="M885" t="s">
        <v>78</v>
      </c>
      <c r="N885" t="s">
        <v>256</v>
      </c>
      <c r="O885" t="s">
        <v>74</v>
      </c>
      <c r="P885" t="s">
        <v>74</v>
      </c>
      <c r="Q885" t="s">
        <v>74</v>
      </c>
      <c r="R885" t="s">
        <v>74</v>
      </c>
      <c r="S885" t="s">
        <v>74</v>
      </c>
      <c r="T885" t="s">
        <v>74</v>
      </c>
      <c r="U885" t="s">
        <v>16870</v>
      </c>
      <c r="V885" t="s">
        <v>16871</v>
      </c>
      <c r="W885" t="s">
        <v>16872</v>
      </c>
      <c r="X885" t="s">
        <v>16873</v>
      </c>
      <c r="Y885" t="s">
        <v>16874</v>
      </c>
      <c r="Z885" t="s">
        <v>13173</v>
      </c>
      <c r="AA885" t="s">
        <v>16875</v>
      </c>
      <c r="AB885" t="s">
        <v>16876</v>
      </c>
      <c r="AC885" t="s">
        <v>16877</v>
      </c>
      <c r="AD885" t="s">
        <v>16878</v>
      </c>
      <c r="AE885" t="s">
        <v>16879</v>
      </c>
      <c r="AF885" t="s">
        <v>74</v>
      </c>
      <c r="AG885">
        <v>180</v>
      </c>
      <c r="AH885">
        <v>7</v>
      </c>
      <c r="AI885">
        <v>7</v>
      </c>
      <c r="AJ885">
        <v>3</v>
      </c>
      <c r="AK885">
        <v>14</v>
      </c>
      <c r="AL885" t="s">
        <v>374</v>
      </c>
      <c r="AM885" t="s">
        <v>375</v>
      </c>
      <c r="AN885" t="s">
        <v>376</v>
      </c>
      <c r="AO885" t="s">
        <v>74</v>
      </c>
      <c r="AP885" t="s">
        <v>13176</v>
      </c>
      <c r="AQ885" t="s">
        <v>74</v>
      </c>
      <c r="AR885" t="s">
        <v>13177</v>
      </c>
      <c r="AS885" t="s">
        <v>13178</v>
      </c>
      <c r="AT885" t="s">
        <v>9001</v>
      </c>
      <c r="AU885">
        <v>2022</v>
      </c>
      <c r="AV885">
        <v>3</v>
      </c>
      <c r="AW885">
        <v>12</v>
      </c>
      <c r="AX885" t="s">
        <v>74</v>
      </c>
      <c r="AY885" t="s">
        <v>74</v>
      </c>
      <c r="AZ885" t="s">
        <v>74</v>
      </c>
      <c r="BA885" t="s">
        <v>74</v>
      </c>
      <c r="BB885">
        <v>814</v>
      </c>
      <c r="BC885">
        <v>831</v>
      </c>
      <c r="BD885" t="s">
        <v>74</v>
      </c>
      <c r="BE885" t="s">
        <v>16880</v>
      </c>
      <c r="BF885" t="str">
        <f>HYPERLINK("http://dx.doi.org/10.1038/s43017-022-00348-y","http://dx.doi.org/10.1038/s43017-022-00348-y")</f>
        <v>http://dx.doi.org/10.1038/s43017-022-00348-y</v>
      </c>
      <c r="BG885" t="s">
        <v>74</v>
      </c>
      <c r="BH885" t="s">
        <v>16236</v>
      </c>
      <c r="BI885">
        <v>18</v>
      </c>
      <c r="BJ885" t="s">
        <v>10435</v>
      </c>
      <c r="BK885" t="s">
        <v>104</v>
      </c>
      <c r="BL885" t="s">
        <v>735</v>
      </c>
      <c r="BM885" t="s">
        <v>16881</v>
      </c>
      <c r="BN885" t="s">
        <v>74</v>
      </c>
      <c r="BO885" t="s">
        <v>74</v>
      </c>
      <c r="BP885" t="s">
        <v>74</v>
      </c>
      <c r="BQ885" t="s">
        <v>74</v>
      </c>
      <c r="BR885" t="s">
        <v>108</v>
      </c>
      <c r="BS885" t="s">
        <v>16882</v>
      </c>
      <c r="BT885" t="str">
        <f>HYPERLINK("https%3A%2F%2Fwww.webofscience.com%2Fwos%2Fwoscc%2Ffull-record%2FWOS:000873460400001","View Full Record in Web of Science")</f>
        <v>View Full Record in Web of Science</v>
      </c>
    </row>
    <row r="886" spans="1:72" x14ac:dyDescent="0.15">
      <c r="A886" t="s">
        <v>72</v>
      </c>
      <c r="B886" t="s">
        <v>16883</v>
      </c>
      <c r="C886" t="s">
        <v>74</v>
      </c>
      <c r="D886" t="s">
        <v>74</v>
      </c>
      <c r="E886" t="s">
        <v>74</v>
      </c>
      <c r="F886" t="s">
        <v>16884</v>
      </c>
      <c r="G886" t="s">
        <v>74</v>
      </c>
      <c r="H886" t="s">
        <v>74</v>
      </c>
      <c r="I886" t="s">
        <v>16885</v>
      </c>
      <c r="J886" t="s">
        <v>8403</v>
      </c>
      <c r="K886" t="s">
        <v>74</v>
      </c>
      <c r="L886" t="s">
        <v>74</v>
      </c>
      <c r="M886" t="s">
        <v>78</v>
      </c>
      <c r="N886" t="s">
        <v>256</v>
      </c>
      <c r="O886" t="s">
        <v>74</v>
      </c>
      <c r="P886" t="s">
        <v>74</v>
      </c>
      <c r="Q886" t="s">
        <v>74</v>
      </c>
      <c r="R886" t="s">
        <v>74</v>
      </c>
      <c r="S886" t="s">
        <v>74</v>
      </c>
      <c r="T886" t="s">
        <v>16886</v>
      </c>
      <c r="U886" t="s">
        <v>16887</v>
      </c>
      <c r="V886" t="s">
        <v>16888</v>
      </c>
      <c r="W886" t="s">
        <v>16889</v>
      </c>
      <c r="X886" t="s">
        <v>16890</v>
      </c>
      <c r="Y886" t="s">
        <v>16891</v>
      </c>
      <c r="Z886" t="s">
        <v>16892</v>
      </c>
      <c r="AA886" t="s">
        <v>16893</v>
      </c>
      <c r="AB886" t="s">
        <v>16894</v>
      </c>
      <c r="AC886" t="s">
        <v>16895</v>
      </c>
      <c r="AD886" t="s">
        <v>16896</v>
      </c>
      <c r="AE886" t="s">
        <v>16897</v>
      </c>
      <c r="AF886" t="s">
        <v>74</v>
      </c>
      <c r="AG886">
        <v>197</v>
      </c>
      <c r="AH886">
        <v>3</v>
      </c>
      <c r="AI886">
        <v>3</v>
      </c>
      <c r="AJ886">
        <v>14</v>
      </c>
      <c r="AK886">
        <v>47</v>
      </c>
      <c r="AL886" t="s">
        <v>422</v>
      </c>
      <c r="AM886" t="s">
        <v>208</v>
      </c>
      <c r="AN886" t="s">
        <v>423</v>
      </c>
      <c r="AO886" t="s">
        <v>8416</v>
      </c>
      <c r="AP886" t="s">
        <v>8417</v>
      </c>
      <c r="AQ886" t="s">
        <v>74</v>
      </c>
      <c r="AR886" t="s">
        <v>8418</v>
      </c>
      <c r="AS886" t="s">
        <v>8419</v>
      </c>
      <c r="AT886" t="s">
        <v>16831</v>
      </c>
      <c r="AU886">
        <v>2022</v>
      </c>
      <c r="AV886">
        <v>98</v>
      </c>
      <c r="AW886">
        <v>11</v>
      </c>
      <c r="AX886" t="s">
        <v>74</v>
      </c>
      <c r="AY886" t="s">
        <v>74</v>
      </c>
      <c r="AZ886" t="s">
        <v>74</v>
      </c>
      <c r="BA886" t="s">
        <v>74</v>
      </c>
      <c r="BB886" t="s">
        <v>74</v>
      </c>
      <c r="BC886" t="s">
        <v>74</v>
      </c>
      <c r="BD886" t="s">
        <v>16898</v>
      </c>
      <c r="BE886" t="s">
        <v>16899</v>
      </c>
      <c r="BF886" t="str">
        <f>HYPERLINK("http://dx.doi.org/10.1093/femsec/fiac123","http://dx.doi.org/10.1093/femsec/fiac123")</f>
        <v>http://dx.doi.org/10.1093/femsec/fiac123</v>
      </c>
      <c r="BG886" t="s">
        <v>74</v>
      </c>
      <c r="BH886" t="s">
        <v>74</v>
      </c>
      <c r="BI886">
        <v>15</v>
      </c>
      <c r="BJ886" t="s">
        <v>1699</v>
      </c>
      <c r="BK886" t="s">
        <v>104</v>
      </c>
      <c r="BL886" t="s">
        <v>1699</v>
      </c>
      <c r="BM886" t="s">
        <v>16900</v>
      </c>
      <c r="BN886">
        <v>36255374</v>
      </c>
      <c r="BO886" t="s">
        <v>1279</v>
      </c>
      <c r="BP886" t="s">
        <v>74</v>
      </c>
      <c r="BQ886" t="s">
        <v>74</v>
      </c>
      <c r="BR886" t="s">
        <v>108</v>
      </c>
      <c r="BS886" t="s">
        <v>16901</v>
      </c>
      <c r="BT886" t="str">
        <f>HYPERLINK("https%3A%2F%2Fwww.webofscience.com%2Fwos%2Fwoscc%2Ffull-record%2FWOS:000874067600001","View Full Record in Web of Science")</f>
        <v>View Full Record in Web of Science</v>
      </c>
    </row>
    <row r="887" spans="1:72" x14ac:dyDescent="0.15">
      <c r="A887" t="s">
        <v>72</v>
      </c>
      <c r="B887" t="s">
        <v>16902</v>
      </c>
      <c r="C887" t="s">
        <v>74</v>
      </c>
      <c r="D887" t="s">
        <v>74</v>
      </c>
      <c r="E887" t="s">
        <v>74</v>
      </c>
      <c r="F887" t="s">
        <v>16903</v>
      </c>
      <c r="G887" t="s">
        <v>74</v>
      </c>
      <c r="H887" t="s">
        <v>74</v>
      </c>
      <c r="I887" t="s">
        <v>16904</v>
      </c>
      <c r="J887" t="s">
        <v>16905</v>
      </c>
      <c r="K887" t="s">
        <v>74</v>
      </c>
      <c r="L887" t="s">
        <v>74</v>
      </c>
      <c r="M887" t="s">
        <v>78</v>
      </c>
      <c r="N887" t="s">
        <v>79</v>
      </c>
      <c r="O887" t="s">
        <v>74</v>
      </c>
      <c r="P887" t="s">
        <v>74</v>
      </c>
      <c r="Q887" t="s">
        <v>74</v>
      </c>
      <c r="R887" t="s">
        <v>74</v>
      </c>
      <c r="S887" t="s">
        <v>74</v>
      </c>
      <c r="T887" t="s">
        <v>16906</v>
      </c>
      <c r="U887" t="s">
        <v>16907</v>
      </c>
      <c r="V887" t="s">
        <v>16908</v>
      </c>
      <c r="W887" t="s">
        <v>16909</v>
      </c>
      <c r="X887" t="s">
        <v>16910</v>
      </c>
      <c r="Y887" t="s">
        <v>16911</v>
      </c>
      <c r="Z887" t="s">
        <v>16912</v>
      </c>
      <c r="AA887" t="s">
        <v>74</v>
      </c>
      <c r="AB887" t="s">
        <v>16913</v>
      </c>
      <c r="AC887" t="s">
        <v>16914</v>
      </c>
      <c r="AD887" t="s">
        <v>16914</v>
      </c>
      <c r="AE887" t="s">
        <v>16915</v>
      </c>
      <c r="AF887" t="s">
        <v>74</v>
      </c>
      <c r="AG887">
        <v>37</v>
      </c>
      <c r="AH887">
        <v>2</v>
      </c>
      <c r="AI887">
        <v>2</v>
      </c>
      <c r="AJ887">
        <v>1</v>
      </c>
      <c r="AK887">
        <v>2</v>
      </c>
      <c r="AL887" t="s">
        <v>237</v>
      </c>
      <c r="AM887" t="s">
        <v>238</v>
      </c>
      <c r="AN887" t="s">
        <v>239</v>
      </c>
      <c r="AO887" t="s">
        <v>16916</v>
      </c>
      <c r="AP887" t="s">
        <v>16917</v>
      </c>
      <c r="AQ887" t="s">
        <v>74</v>
      </c>
      <c r="AR887" t="s">
        <v>16918</v>
      </c>
      <c r="AS887" t="s">
        <v>16919</v>
      </c>
      <c r="AT887" t="s">
        <v>14975</v>
      </c>
      <c r="AU887">
        <v>2022</v>
      </c>
      <c r="AV887">
        <v>96</v>
      </c>
      <c r="AW887" t="s">
        <v>74</v>
      </c>
      <c r="AX887" t="s">
        <v>74</v>
      </c>
      <c r="AY887" t="s">
        <v>74</v>
      </c>
      <c r="AZ887" t="s">
        <v>74</v>
      </c>
      <c r="BA887" t="s">
        <v>74</v>
      </c>
      <c r="BB887" t="s">
        <v>74</v>
      </c>
      <c r="BC887" t="s">
        <v>74</v>
      </c>
      <c r="BD887">
        <v>104001</v>
      </c>
      <c r="BE887" t="s">
        <v>16920</v>
      </c>
      <c r="BF887" t="str">
        <f>HYPERLINK("http://dx.doi.org/10.1016/j.etap.2022.104001","http://dx.doi.org/10.1016/j.etap.2022.104001")</f>
        <v>http://dx.doi.org/10.1016/j.etap.2022.104001</v>
      </c>
      <c r="BG887" t="s">
        <v>74</v>
      </c>
      <c r="BH887" t="s">
        <v>16236</v>
      </c>
      <c r="BI887">
        <v>7</v>
      </c>
      <c r="BJ887" t="s">
        <v>16921</v>
      </c>
      <c r="BK887" t="s">
        <v>104</v>
      </c>
      <c r="BL887" t="s">
        <v>16922</v>
      </c>
      <c r="BM887" t="s">
        <v>16923</v>
      </c>
      <c r="BN887">
        <v>36273708</v>
      </c>
      <c r="BO887" t="s">
        <v>74</v>
      </c>
      <c r="BP887" t="s">
        <v>74</v>
      </c>
      <c r="BQ887" t="s">
        <v>74</v>
      </c>
      <c r="BR887" t="s">
        <v>108</v>
      </c>
      <c r="BS887" t="s">
        <v>16924</v>
      </c>
      <c r="BT887" t="str">
        <f>HYPERLINK("https%3A%2F%2Fwww.webofscience.com%2Fwos%2Fwoscc%2Ffull-record%2FWOS:000935134700001","View Full Record in Web of Science")</f>
        <v>View Full Record in Web of Science</v>
      </c>
    </row>
    <row r="888" spans="1:72" x14ac:dyDescent="0.15">
      <c r="A888" t="s">
        <v>72</v>
      </c>
      <c r="B888" t="s">
        <v>16925</v>
      </c>
      <c r="C888" t="s">
        <v>74</v>
      </c>
      <c r="D888" t="s">
        <v>74</v>
      </c>
      <c r="E888" t="s">
        <v>74</v>
      </c>
      <c r="F888" t="s">
        <v>16926</v>
      </c>
      <c r="G888" t="s">
        <v>74</v>
      </c>
      <c r="H888" t="s">
        <v>74</v>
      </c>
      <c r="I888" t="s">
        <v>16927</v>
      </c>
      <c r="J888" t="s">
        <v>16928</v>
      </c>
      <c r="K888" t="s">
        <v>74</v>
      </c>
      <c r="L888" t="s">
        <v>74</v>
      </c>
      <c r="M888" t="s">
        <v>78</v>
      </c>
      <c r="N888" t="s">
        <v>79</v>
      </c>
      <c r="O888" t="s">
        <v>74</v>
      </c>
      <c r="P888" t="s">
        <v>74</v>
      </c>
      <c r="Q888" t="s">
        <v>74</v>
      </c>
      <c r="R888" t="s">
        <v>74</v>
      </c>
      <c r="S888" t="s">
        <v>74</v>
      </c>
      <c r="T888" t="s">
        <v>16929</v>
      </c>
      <c r="U888" t="s">
        <v>16930</v>
      </c>
      <c r="V888" t="s">
        <v>16931</v>
      </c>
      <c r="W888" t="s">
        <v>16932</v>
      </c>
      <c r="X888" t="s">
        <v>16933</v>
      </c>
      <c r="Y888" t="s">
        <v>16934</v>
      </c>
      <c r="Z888" t="s">
        <v>16935</v>
      </c>
      <c r="AA888" t="s">
        <v>16936</v>
      </c>
      <c r="AB888" t="s">
        <v>16937</v>
      </c>
      <c r="AC888" t="s">
        <v>16938</v>
      </c>
      <c r="AD888" t="s">
        <v>16939</v>
      </c>
      <c r="AE888" t="s">
        <v>16940</v>
      </c>
      <c r="AF888" t="s">
        <v>74</v>
      </c>
      <c r="AG888">
        <v>519</v>
      </c>
      <c r="AH888">
        <v>14</v>
      </c>
      <c r="AI888">
        <v>15</v>
      </c>
      <c r="AJ888">
        <v>18</v>
      </c>
      <c r="AK888">
        <v>104</v>
      </c>
      <c r="AL888" t="s">
        <v>5789</v>
      </c>
      <c r="AM888" t="s">
        <v>93</v>
      </c>
      <c r="AN888" t="s">
        <v>5790</v>
      </c>
      <c r="AO888" t="s">
        <v>16941</v>
      </c>
      <c r="AP888" t="s">
        <v>16942</v>
      </c>
      <c r="AQ888" t="s">
        <v>74</v>
      </c>
      <c r="AR888" t="s">
        <v>16943</v>
      </c>
      <c r="AS888" t="s">
        <v>16944</v>
      </c>
      <c r="AT888" t="s">
        <v>9001</v>
      </c>
      <c r="AU888">
        <v>2022</v>
      </c>
      <c r="AV888">
        <v>74</v>
      </c>
      <c r="AW888" t="s">
        <v>74</v>
      </c>
      <c r="AX888" t="s">
        <v>74</v>
      </c>
      <c r="AY888" t="s">
        <v>74</v>
      </c>
      <c r="AZ888" t="s">
        <v>74</v>
      </c>
      <c r="BA888" t="s">
        <v>74</v>
      </c>
      <c r="BB888" t="s">
        <v>74</v>
      </c>
      <c r="BC888" t="s">
        <v>74</v>
      </c>
      <c r="BD888">
        <v>103091</v>
      </c>
      <c r="BE888" t="s">
        <v>16945</v>
      </c>
      <c r="BF888" t="str">
        <f>HYPERLINK("http://dx.doi.org/10.1016/j.yofte.2022.103091","http://dx.doi.org/10.1016/j.yofte.2022.103091")</f>
        <v>http://dx.doi.org/10.1016/j.yofte.2022.103091</v>
      </c>
      <c r="BG888" t="s">
        <v>74</v>
      </c>
      <c r="BH888" t="s">
        <v>16236</v>
      </c>
      <c r="BI888">
        <v>26</v>
      </c>
      <c r="BJ888" t="s">
        <v>16946</v>
      </c>
      <c r="BK888" t="s">
        <v>104</v>
      </c>
      <c r="BL888" t="s">
        <v>16947</v>
      </c>
      <c r="BM888" t="s">
        <v>16948</v>
      </c>
      <c r="BN888" t="s">
        <v>74</v>
      </c>
      <c r="BO888" t="s">
        <v>74</v>
      </c>
      <c r="BP888" t="s">
        <v>74</v>
      </c>
      <c r="BQ888" t="s">
        <v>74</v>
      </c>
      <c r="BR888" t="s">
        <v>108</v>
      </c>
      <c r="BS888" t="s">
        <v>16949</v>
      </c>
      <c r="BT888" t="str">
        <f>HYPERLINK("https%3A%2F%2Fwww.webofscience.com%2Fwos%2Fwoscc%2Ffull-record%2FWOS:000882297200006","View Full Record in Web of Science")</f>
        <v>View Full Record in Web of Science</v>
      </c>
    </row>
    <row r="889" spans="1:72" x14ac:dyDescent="0.15">
      <c r="A889" t="s">
        <v>72</v>
      </c>
      <c r="B889" t="s">
        <v>16950</v>
      </c>
      <c r="C889" t="s">
        <v>74</v>
      </c>
      <c r="D889" t="s">
        <v>74</v>
      </c>
      <c r="E889" t="s">
        <v>74</v>
      </c>
      <c r="F889" t="s">
        <v>16951</v>
      </c>
      <c r="G889" t="s">
        <v>74</v>
      </c>
      <c r="H889" t="s">
        <v>74</v>
      </c>
      <c r="I889" t="s">
        <v>16952</v>
      </c>
      <c r="J889" t="s">
        <v>13858</v>
      </c>
      <c r="K889" t="s">
        <v>74</v>
      </c>
      <c r="L889" t="s">
        <v>74</v>
      </c>
      <c r="M889" t="s">
        <v>78</v>
      </c>
      <c r="N889" t="s">
        <v>79</v>
      </c>
      <c r="O889" t="s">
        <v>74</v>
      </c>
      <c r="P889" t="s">
        <v>74</v>
      </c>
      <c r="Q889" t="s">
        <v>74</v>
      </c>
      <c r="R889" t="s">
        <v>74</v>
      </c>
      <c r="S889" t="s">
        <v>74</v>
      </c>
      <c r="T889" t="s">
        <v>74</v>
      </c>
      <c r="U889" t="s">
        <v>16953</v>
      </c>
      <c r="V889" t="s">
        <v>16954</v>
      </c>
      <c r="W889" t="s">
        <v>16955</v>
      </c>
      <c r="X889" t="s">
        <v>16956</v>
      </c>
      <c r="Y889" t="s">
        <v>16957</v>
      </c>
      <c r="Z889" t="s">
        <v>16958</v>
      </c>
      <c r="AA889" t="s">
        <v>16959</v>
      </c>
      <c r="AB889" t="s">
        <v>16960</v>
      </c>
      <c r="AC889" t="s">
        <v>16961</v>
      </c>
      <c r="AD889" t="s">
        <v>16962</v>
      </c>
      <c r="AE889" t="s">
        <v>16963</v>
      </c>
      <c r="AF889" t="s">
        <v>74</v>
      </c>
      <c r="AG889">
        <v>74</v>
      </c>
      <c r="AH889">
        <v>38</v>
      </c>
      <c r="AI889">
        <v>41</v>
      </c>
      <c r="AJ889">
        <v>43</v>
      </c>
      <c r="AK889">
        <v>143</v>
      </c>
      <c r="AL889" t="s">
        <v>182</v>
      </c>
      <c r="AM889" t="s">
        <v>183</v>
      </c>
      <c r="AN889" t="s">
        <v>184</v>
      </c>
      <c r="AO889" t="s">
        <v>13870</v>
      </c>
      <c r="AP889" t="s">
        <v>74</v>
      </c>
      <c r="AQ889" t="s">
        <v>74</v>
      </c>
      <c r="AR889" t="s">
        <v>13871</v>
      </c>
      <c r="AS889" t="s">
        <v>13872</v>
      </c>
      <c r="AT889" t="s">
        <v>9001</v>
      </c>
      <c r="AU889">
        <v>2022</v>
      </c>
      <c r="AV889">
        <v>5</v>
      </c>
      <c r="AW889">
        <v>12</v>
      </c>
      <c r="AX889" t="s">
        <v>74</v>
      </c>
      <c r="AY889" t="s">
        <v>74</v>
      </c>
      <c r="AZ889" t="s">
        <v>74</v>
      </c>
      <c r="BA889" t="s">
        <v>74</v>
      </c>
      <c r="BB889">
        <v>1027</v>
      </c>
      <c r="BC889" t="s">
        <v>351</v>
      </c>
      <c r="BD889" t="s">
        <v>74</v>
      </c>
      <c r="BE889" t="s">
        <v>16964</v>
      </c>
      <c r="BF889" t="str">
        <f>HYPERLINK("http://dx.doi.org/10.1038/s41893-022-00965-x","http://dx.doi.org/10.1038/s41893-022-00965-x")</f>
        <v>http://dx.doi.org/10.1038/s41893-022-00965-x</v>
      </c>
      <c r="BG889" t="s">
        <v>74</v>
      </c>
      <c r="BH889" t="s">
        <v>16236</v>
      </c>
      <c r="BI889">
        <v>20</v>
      </c>
      <c r="BJ889" t="s">
        <v>5233</v>
      </c>
      <c r="BK889" t="s">
        <v>354</v>
      </c>
      <c r="BL889" t="s">
        <v>5234</v>
      </c>
      <c r="BM889" t="s">
        <v>16965</v>
      </c>
      <c r="BN889" t="s">
        <v>74</v>
      </c>
      <c r="BO889" t="s">
        <v>16966</v>
      </c>
      <c r="BP889" t="s">
        <v>74</v>
      </c>
      <c r="BQ889" t="s">
        <v>74</v>
      </c>
      <c r="BR889" t="s">
        <v>108</v>
      </c>
      <c r="BS889" t="s">
        <v>16967</v>
      </c>
      <c r="BT889" t="str">
        <f>HYPERLINK("https%3A%2F%2Fwww.webofscience.com%2Fwos%2Fwoscc%2Ffull-record%2FWOS:000871310200001","View Full Record in Web of Science")</f>
        <v>View Full Record in Web of Science</v>
      </c>
    </row>
    <row r="890" spans="1:72" x14ac:dyDescent="0.15">
      <c r="A890" t="s">
        <v>72</v>
      </c>
      <c r="B890" t="s">
        <v>16968</v>
      </c>
      <c r="C890" t="s">
        <v>74</v>
      </c>
      <c r="D890" t="s">
        <v>74</v>
      </c>
      <c r="E890" t="s">
        <v>74</v>
      </c>
      <c r="F890" t="s">
        <v>16969</v>
      </c>
      <c r="G890" t="s">
        <v>74</v>
      </c>
      <c r="H890" t="s">
        <v>74</v>
      </c>
      <c r="I890" t="s">
        <v>16970</v>
      </c>
      <c r="J890" t="s">
        <v>11919</v>
      </c>
      <c r="K890" t="s">
        <v>74</v>
      </c>
      <c r="L890" t="s">
        <v>74</v>
      </c>
      <c r="M890" t="s">
        <v>78</v>
      </c>
      <c r="N890" t="s">
        <v>79</v>
      </c>
      <c r="O890" t="s">
        <v>74</v>
      </c>
      <c r="P890" t="s">
        <v>74</v>
      </c>
      <c r="Q890" t="s">
        <v>74</v>
      </c>
      <c r="R890" t="s">
        <v>74</v>
      </c>
      <c r="S890" t="s">
        <v>74</v>
      </c>
      <c r="T890" t="s">
        <v>16971</v>
      </c>
      <c r="U890" t="s">
        <v>16972</v>
      </c>
      <c r="V890" t="s">
        <v>16973</v>
      </c>
      <c r="W890" t="s">
        <v>16974</v>
      </c>
      <c r="X890" t="s">
        <v>16975</v>
      </c>
      <c r="Y890" t="s">
        <v>16976</v>
      </c>
      <c r="Z890" t="s">
        <v>9014</v>
      </c>
      <c r="AA890" t="s">
        <v>16977</v>
      </c>
      <c r="AB890" t="s">
        <v>10256</v>
      </c>
      <c r="AC890" t="s">
        <v>16978</v>
      </c>
      <c r="AD890" t="s">
        <v>16979</v>
      </c>
      <c r="AE890" t="s">
        <v>16980</v>
      </c>
      <c r="AF890" t="s">
        <v>74</v>
      </c>
      <c r="AG890">
        <v>74</v>
      </c>
      <c r="AH890">
        <v>3</v>
      </c>
      <c r="AI890">
        <v>3</v>
      </c>
      <c r="AJ890">
        <v>5</v>
      </c>
      <c r="AK890">
        <v>19</v>
      </c>
      <c r="AL890" t="s">
        <v>269</v>
      </c>
      <c r="AM890" t="s">
        <v>93</v>
      </c>
      <c r="AN890" t="s">
        <v>397</v>
      </c>
      <c r="AO890" t="s">
        <v>11931</v>
      </c>
      <c r="AP890" t="s">
        <v>11932</v>
      </c>
      <c r="AQ890" t="s">
        <v>74</v>
      </c>
      <c r="AR890" t="s">
        <v>11933</v>
      </c>
      <c r="AS890" t="s">
        <v>11934</v>
      </c>
      <c r="AT890" t="s">
        <v>16981</v>
      </c>
      <c r="AU890">
        <v>2023</v>
      </c>
      <c r="AV890">
        <v>54</v>
      </c>
      <c r="AW890">
        <v>3</v>
      </c>
      <c r="AX890" t="s">
        <v>74</v>
      </c>
      <c r="AY890" t="s">
        <v>74</v>
      </c>
      <c r="AZ890" t="s">
        <v>74</v>
      </c>
      <c r="BA890" t="s">
        <v>74</v>
      </c>
      <c r="BB890">
        <v>1923</v>
      </c>
      <c r="BC890">
        <v>1933</v>
      </c>
      <c r="BD890" t="s">
        <v>74</v>
      </c>
      <c r="BE890" t="s">
        <v>16982</v>
      </c>
      <c r="BF890" t="str">
        <f>HYPERLINK("http://dx.doi.org/10.1007/s42770-022-00834-x","http://dx.doi.org/10.1007/s42770-022-00834-x")</f>
        <v>http://dx.doi.org/10.1007/s42770-022-00834-x</v>
      </c>
      <c r="BG890" t="s">
        <v>74</v>
      </c>
      <c r="BH890" t="s">
        <v>16236</v>
      </c>
      <c r="BI890">
        <v>11</v>
      </c>
      <c r="BJ890" t="s">
        <v>1699</v>
      </c>
      <c r="BK890" t="s">
        <v>104</v>
      </c>
      <c r="BL890" t="s">
        <v>1699</v>
      </c>
      <c r="BM890" t="s">
        <v>16983</v>
      </c>
      <c r="BN890">
        <v>36274089</v>
      </c>
      <c r="BO890" t="s">
        <v>3561</v>
      </c>
      <c r="BP890" t="s">
        <v>74</v>
      </c>
      <c r="BQ890" t="s">
        <v>74</v>
      </c>
      <c r="BR890" t="s">
        <v>108</v>
      </c>
      <c r="BS890" t="s">
        <v>16984</v>
      </c>
      <c r="BT890" t="str">
        <f>HYPERLINK("https%3A%2F%2Fwww.webofscience.com%2Fwos%2Fwoscc%2Ffull-record%2FWOS:000872087800001","View Full Record in Web of Science")</f>
        <v>View Full Record in Web of Science</v>
      </c>
    </row>
    <row r="891" spans="1:72" x14ac:dyDescent="0.15">
      <c r="A891" t="s">
        <v>72</v>
      </c>
      <c r="B891" t="s">
        <v>16985</v>
      </c>
      <c r="C891" t="s">
        <v>74</v>
      </c>
      <c r="D891" t="s">
        <v>74</v>
      </c>
      <c r="E891" t="s">
        <v>74</v>
      </c>
      <c r="F891" t="s">
        <v>16986</v>
      </c>
      <c r="G891" t="s">
        <v>74</v>
      </c>
      <c r="H891" t="s">
        <v>74</v>
      </c>
      <c r="I891" t="s">
        <v>16987</v>
      </c>
      <c r="J891" t="s">
        <v>7321</v>
      </c>
      <c r="K891" t="s">
        <v>74</v>
      </c>
      <c r="L891" t="s">
        <v>74</v>
      </c>
      <c r="M891" t="s">
        <v>78</v>
      </c>
      <c r="N891" t="s">
        <v>79</v>
      </c>
      <c r="O891" t="s">
        <v>74</v>
      </c>
      <c r="P891" t="s">
        <v>74</v>
      </c>
      <c r="Q891" t="s">
        <v>74</v>
      </c>
      <c r="R891" t="s">
        <v>74</v>
      </c>
      <c r="S891" t="s">
        <v>74</v>
      </c>
      <c r="T891" t="s">
        <v>16988</v>
      </c>
      <c r="U891" t="s">
        <v>16989</v>
      </c>
      <c r="V891" t="s">
        <v>16990</v>
      </c>
      <c r="W891" t="s">
        <v>16991</v>
      </c>
      <c r="X891" t="s">
        <v>16992</v>
      </c>
      <c r="Y891" t="s">
        <v>16993</v>
      </c>
      <c r="Z891" t="s">
        <v>16994</v>
      </c>
      <c r="AA891" t="s">
        <v>16995</v>
      </c>
      <c r="AB891" t="s">
        <v>16996</v>
      </c>
      <c r="AC891" t="s">
        <v>16997</v>
      </c>
      <c r="AD891" t="s">
        <v>16998</v>
      </c>
      <c r="AE891" t="s">
        <v>16999</v>
      </c>
      <c r="AF891" t="s">
        <v>74</v>
      </c>
      <c r="AG891">
        <v>65</v>
      </c>
      <c r="AH891">
        <v>3</v>
      </c>
      <c r="AI891">
        <v>3</v>
      </c>
      <c r="AJ891">
        <v>3</v>
      </c>
      <c r="AK891">
        <v>11</v>
      </c>
      <c r="AL891" t="s">
        <v>7331</v>
      </c>
      <c r="AM891" t="s">
        <v>183</v>
      </c>
      <c r="AN891" t="s">
        <v>7332</v>
      </c>
      <c r="AO891" t="s">
        <v>7333</v>
      </c>
      <c r="AP891" t="s">
        <v>7334</v>
      </c>
      <c r="AQ891" t="s">
        <v>74</v>
      </c>
      <c r="AR891" t="s">
        <v>7335</v>
      </c>
      <c r="AS891" t="s">
        <v>7336</v>
      </c>
      <c r="AT891" t="s">
        <v>7892</v>
      </c>
      <c r="AU891">
        <v>2022</v>
      </c>
      <c r="AV891">
        <v>65</v>
      </c>
      <c r="AW891">
        <v>6</v>
      </c>
      <c r="AX891" t="s">
        <v>74</v>
      </c>
      <c r="AY891" t="s">
        <v>74</v>
      </c>
      <c r="AZ891" t="s">
        <v>74</v>
      </c>
      <c r="BA891" t="s">
        <v>74</v>
      </c>
      <c r="BB891">
        <v>443</v>
      </c>
      <c r="BC891">
        <v>452</v>
      </c>
      <c r="BD891" t="s">
        <v>74</v>
      </c>
      <c r="BE891" t="s">
        <v>17000</v>
      </c>
      <c r="BF891" t="str">
        <f>HYPERLINK("http://dx.doi.org/10.1515/bot-2022-0045","http://dx.doi.org/10.1515/bot-2022-0045")</f>
        <v>http://dx.doi.org/10.1515/bot-2022-0045</v>
      </c>
      <c r="BG891" t="s">
        <v>74</v>
      </c>
      <c r="BH891" t="s">
        <v>16236</v>
      </c>
      <c r="BI891">
        <v>10</v>
      </c>
      <c r="BJ891" t="s">
        <v>658</v>
      </c>
      <c r="BK891" t="s">
        <v>104</v>
      </c>
      <c r="BL891" t="s">
        <v>658</v>
      </c>
      <c r="BM891" t="s">
        <v>17001</v>
      </c>
      <c r="BN891" t="s">
        <v>74</v>
      </c>
      <c r="BO891" t="s">
        <v>74</v>
      </c>
      <c r="BP891" t="s">
        <v>74</v>
      </c>
      <c r="BQ891" t="s">
        <v>74</v>
      </c>
      <c r="BR891" t="s">
        <v>108</v>
      </c>
      <c r="BS891" t="s">
        <v>17002</v>
      </c>
      <c r="BT891" t="str">
        <f>HYPERLINK("https%3A%2F%2Fwww.webofscience.com%2Fwos%2Fwoscc%2Ffull-record%2FWOS:000871618500001","View Full Record in Web of Science")</f>
        <v>View Full Record in Web of Science</v>
      </c>
    </row>
    <row r="892" spans="1:72" x14ac:dyDescent="0.15">
      <c r="A892" t="s">
        <v>72</v>
      </c>
      <c r="B892" t="s">
        <v>17003</v>
      </c>
      <c r="C892" t="s">
        <v>74</v>
      </c>
      <c r="D892" t="s">
        <v>74</v>
      </c>
      <c r="E892" t="s">
        <v>74</v>
      </c>
      <c r="F892" t="s">
        <v>17004</v>
      </c>
      <c r="G892" t="s">
        <v>74</v>
      </c>
      <c r="H892" t="s">
        <v>74</v>
      </c>
      <c r="I892" t="s">
        <v>17005</v>
      </c>
      <c r="J892" t="s">
        <v>11987</v>
      </c>
      <c r="K892" t="s">
        <v>74</v>
      </c>
      <c r="L892" t="s">
        <v>74</v>
      </c>
      <c r="M892" t="s">
        <v>78</v>
      </c>
      <c r="N892" t="s">
        <v>79</v>
      </c>
      <c r="O892" t="s">
        <v>74</v>
      </c>
      <c r="P892" t="s">
        <v>74</v>
      </c>
      <c r="Q892" t="s">
        <v>74</v>
      </c>
      <c r="R892" t="s">
        <v>74</v>
      </c>
      <c r="S892" t="s">
        <v>74</v>
      </c>
      <c r="T892" t="s">
        <v>17006</v>
      </c>
      <c r="U892" t="s">
        <v>17007</v>
      </c>
      <c r="V892" t="s">
        <v>17008</v>
      </c>
      <c r="W892" t="s">
        <v>17009</v>
      </c>
      <c r="X892" t="s">
        <v>17010</v>
      </c>
      <c r="Y892" t="s">
        <v>17011</v>
      </c>
      <c r="Z892" t="s">
        <v>17012</v>
      </c>
      <c r="AA892" t="s">
        <v>17013</v>
      </c>
      <c r="AB892" t="s">
        <v>8817</v>
      </c>
      <c r="AC892" t="s">
        <v>17014</v>
      </c>
      <c r="AD892" t="s">
        <v>17015</v>
      </c>
      <c r="AE892" t="s">
        <v>17016</v>
      </c>
      <c r="AF892" t="s">
        <v>74</v>
      </c>
      <c r="AG892">
        <v>66</v>
      </c>
      <c r="AH892">
        <v>10</v>
      </c>
      <c r="AI892">
        <v>10</v>
      </c>
      <c r="AJ892">
        <v>33</v>
      </c>
      <c r="AK892">
        <v>103</v>
      </c>
      <c r="AL892" t="s">
        <v>676</v>
      </c>
      <c r="AM892" t="s">
        <v>375</v>
      </c>
      <c r="AN892" t="s">
        <v>677</v>
      </c>
      <c r="AO892" t="s">
        <v>12000</v>
      </c>
      <c r="AP892" t="s">
        <v>12001</v>
      </c>
      <c r="AQ892" t="s">
        <v>74</v>
      </c>
      <c r="AR892" t="s">
        <v>12002</v>
      </c>
      <c r="AS892" t="s">
        <v>12003</v>
      </c>
      <c r="AT892" t="s">
        <v>2592</v>
      </c>
      <c r="AU892">
        <v>2023</v>
      </c>
      <c r="AV892">
        <v>325</v>
      </c>
      <c r="AW892" t="s">
        <v>74</v>
      </c>
      <c r="AX892" t="s">
        <v>943</v>
      </c>
      <c r="AY892" t="s">
        <v>74</v>
      </c>
      <c r="AZ892" t="s">
        <v>74</v>
      </c>
      <c r="BA892" t="s">
        <v>74</v>
      </c>
      <c r="BB892" t="s">
        <v>74</v>
      </c>
      <c r="BC892" t="s">
        <v>74</v>
      </c>
      <c r="BD892">
        <v>116565</v>
      </c>
      <c r="BE892" t="s">
        <v>17017</v>
      </c>
      <c r="BF892" t="str">
        <f>HYPERLINK("http://dx.doi.org/10.1016/j.jenvman.2022.116565","http://dx.doi.org/10.1016/j.jenvman.2022.116565")</f>
        <v>http://dx.doi.org/10.1016/j.jenvman.2022.116565</v>
      </c>
      <c r="BG892" t="s">
        <v>74</v>
      </c>
      <c r="BH892" t="s">
        <v>16236</v>
      </c>
      <c r="BI892">
        <v>8</v>
      </c>
      <c r="BJ892" t="s">
        <v>216</v>
      </c>
      <c r="BK892" t="s">
        <v>104</v>
      </c>
      <c r="BL892" t="s">
        <v>217</v>
      </c>
      <c r="BM892" t="s">
        <v>17018</v>
      </c>
      <c r="BN892">
        <v>36279776</v>
      </c>
      <c r="BO892" t="s">
        <v>74</v>
      </c>
      <c r="BP892" t="s">
        <v>74</v>
      </c>
      <c r="BQ892" t="s">
        <v>74</v>
      </c>
      <c r="BR892" t="s">
        <v>108</v>
      </c>
      <c r="BS892" t="s">
        <v>17019</v>
      </c>
      <c r="BT892" t="str">
        <f>HYPERLINK("https%3A%2F%2Fwww.webofscience.com%2Fwos%2Fwoscc%2Ffull-record%2FWOS:000889614700005","View Full Record in Web of Science")</f>
        <v>View Full Record in Web of Science</v>
      </c>
    </row>
    <row r="893" spans="1:72" x14ac:dyDescent="0.15">
      <c r="A893" t="s">
        <v>72</v>
      </c>
      <c r="B893" t="s">
        <v>17020</v>
      </c>
      <c r="C893" t="s">
        <v>74</v>
      </c>
      <c r="D893" t="s">
        <v>74</v>
      </c>
      <c r="E893" t="s">
        <v>74</v>
      </c>
      <c r="F893" t="s">
        <v>17021</v>
      </c>
      <c r="G893" t="s">
        <v>74</v>
      </c>
      <c r="H893" t="s">
        <v>74</v>
      </c>
      <c r="I893" t="s">
        <v>17022</v>
      </c>
      <c r="J893" t="s">
        <v>12163</v>
      </c>
      <c r="K893" t="s">
        <v>74</v>
      </c>
      <c r="L893" t="s">
        <v>74</v>
      </c>
      <c r="M893" t="s">
        <v>78</v>
      </c>
      <c r="N893" t="s">
        <v>79</v>
      </c>
      <c r="O893" t="s">
        <v>74</v>
      </c>
      <c r="P893" t="s">
        <v>74</v>
      </c>
      <c r="Q893" t="s">
        <v>74</v>
      </c>
      <c r="R893" t="s">
        <v>74</v>
      </c>
      <c r="S893" t="s">
        <v>74</v>
      </c>
      <c r="T893" t="s">
        <v>17023</v>
      </c>
      <c r="U893" t="s">
        <v>17024</v>
      </c>
      <c r="V893" t="s">
        <v>17025</v>
      </c>
      <c r="W893" t="s">
        <v>17026</v>
      </c>
      <c r="X893" t="s">
        <v>17027</v>
      </c>
      <c r="Y893" t="s">
        <v>17028</v>
      </c>
      <c r="Z893" t="s">
        <v>17029</v>
      </c>
      <c r="AA893" t="s">
        <v>17030</v>
      </c>
      <c r="AB893" t="s">
        <v>17031</v>
      </c>
      <c r="AC893" t="s">
        <v>17032</v>
      </c>
      <c r="AD893" t="s">
        <v>17033</v>
      </c>
      <c r="AE893" t="s">
        <v>17034</v>
      </c>
      <c r="AF893" t="s">
        <v>74</v>
      </c>
      <c r="AG893">
        <v>74</v>
      </c>
      <c r="AH893">
        <v>11</v>
      </c>
      <c r="AI893">
        <v>11</v>
      </c>
      <c r="AJ893">
        <v>6</v>
      </c>
      <c r="AK893">
        <v>32</v>
      </c>
      <c r="AL893" t="s">
        <v>8762</v>
      </c>
      <c r="AM893" t="s">
        <v>2564</v>
      </c>
      <c r="AN893" t="s">
        <v>8763</v>
      </c>
      <c r="AO893" t="s">
        <v>12175</v>
      </c>
      <c r="AP893" t="s">
        <v>12176</v>
      </c>
      <c r="AQ893" t="s">
        <v>74</v>
      </c>
      <c r="AR893" t="s">
        <v>12177</v>
      </c>
      <c r="AS893" t="s">
        <v>12178</v>
      </c>
      <c r="AT893" t="s">
        <v>2592</v>
      </c>
      <c r="AU893">
        <v>2023</v>
      </c>
      <c r="AV893">
        <v>216</v>
      </c>
      <c r="AW893" t="s">
        <v>74</v>
      </c>
      <c r="AX893">
        <v>2</v>
      </c>
      <c r="AY893" t="s">
        <v>74</v>
      </c>
      <c r="AZ893" t="s">
        <v>74</v>
      </c>
      <c r="BA893" t="s">
        <v>74</v>
      </c>
      <c r="BB893" t="s">
        <v>74</v>
      </c>
      <c r="BC893" t="s">
        <v>74</v>
      </c>
      <c r="BD893">
        <v>114487</v>
      </c>
      <c r="BE893" t="s">
        <v>17035</v>
      </c>
      <c r="BF893" t="str">
        <f>HYPERLINK("http://dx.doi.org/10.1016/j.envres.2022.114487","http://dx.doi.org/10.1016/j.envres.2022.114487")</f>
        <v>http://dx.doi.org/10.1016/j.envres.2022.114487</v>
      </c>
      <c r="BG893" t="s">
        <v>74</v>
      </c>
      <c r="BH893" t="s">
        <v>16236</v>
      </c>
      <c r="BI893">
        <v>9</v>
      </c>
      <c r="BJ893" t="s">
        <v>10515</v>
      </c>
      <c r="BK893" t="s">
        <v>104</v>
      </c>
      <c r="BL893" t="s">
        <v>10516</v>
      </c>
      <c r="BM893" t="s">
        <v>17036</v>
      </c>
      <c r="BN893">
        <v>36265599</v>
      </c>
      <c r="BO893" t="s">
        <v>74</v>
      </c>
      <c r="BP893" t="s">
        <v>74</v>
      </c>
      <c r="BQ893" t="s">
        <v>74</v>
      </c>
      <c r="BR893" t="s">
        <v>108</v>
      </c>
      <c r="BS893" t="s">
        <v>17037</v>
      </c>
      <c r="BT893" t="str">
        <f>HYPERLINK("https%3A%2F%2Fwww.webofscience.com%2Fwos%2Fwoscc%2Ffull-record%2FWOS:000883794600004","View Full Record in Web of Science")</f>
        <v>View Full Record in Web of Science</v>
      </c>
    </row>
    <row r="894" spans="1:72" x14ac:dyDescent="0.15">
      <c r="A894" t="s">
        <v>72</v>
      </c>
      <c r="B894" t="s">
        <v>17038</v>
      </c>
      <c r="C894" t="s">
        <v>74</v>
      </c>
      <c r="D894" t="s">
        <v>74</v>
      </c>
      <c r="E894" t="s">
        <v>74</v>
      </c>
      <c r="F894" t="s">
        <v>17039</v>
      </c>
      <c r="G894" t="s">
        <v>74</v>
      </c>
      <c r="H894" t="s">
        <v>74</v>
      </c>
      <c r="I894" t="s">
        <v>17040</v>
      </c>
      <c r="J894" t="s">
        <v>6674</v>
      </c>
      <c r="K894" t="s">
        <v>74</v>
      </c>
      <c r="L894" t="s">
        <v>74</v>
      </c>
      <c r="M894" t="s">
        <v>78</v>
      </c>
      <c r="N894" t="s">
        <v>79</v>
      </c>
      <c r="O894" t="s">
        <v>74</v>
      </c>
      <c r="P894" t="s">
        <v>74</v>
      </c>
      <c r="Q894" t="s">
        <v>74</v>
      </c>
      <c r="R894" t="s">
        <v>74</v>
      </c>
      <c r="S894" t="s">
        <v>74</v>
      </c>
      <c r="T894" t="s">
        <v>17041</v>
      </c>
      <c r="U894" t="s">
        <v>17042</v>
      </c>
      <c r="V894" t="s">
        <v>17043</v>
      </c>
      <c r="W894" t="s">
        <v>17044</v>
      </c>
      <c r="X894" t="s">
        <v>17045</v>
      </c>
      <c r="Y894" t="s">
        <v>17046</v>
      </c>
      <c r="Z894" t="s">
        <v>17047</v>
      </c>
      <c r="AA894" t="s">
        <v>17048</v>
      </c>
      <c r="AB894" t="s">
        <v>17049</v>
      </c>
      <c r="AC894" t="s">
        <v>17050</v>
      </c>
      <c r="AD894" t="s">
        <v>17051</v>
      </c>
      <c r="AE894" t="s">
        <v>17052</v>
      </c>
      <c r="AF894" t="s">
        <v>74</v>
      </c>
      <c r="AG894">
        <v>85</v>
      </c>
      <c r="AH894">
        <v>3</v>
      </c>
      <c r="AI894">
        <v>3</v>
      </c>
      <c r="AJ894">
        <v>14</v>
      </c>
      <c r="AK894">
        <v>21</v>
      </c>
      <c r="AL894" t="s">
        <v>603</v>
      </c>
      <c r="AM894" t="s">
        <v>208</v>
      </c>
      <c r="AN894" t="s">
        <v>604</v>
      </c>
      <c r="AO894" t="s">
        <v>6687</v>
      </c>
      <c r="AP894" t="s">
        <v>6688</v>
      </c>
      <c r="AQ894" t="s">
        <v>74</v>
      </c>
      <c r="AR894" t="s">
        <v>6689</v>
      </c>
      <c r="AS894" t="s">
        <v>6690</v>
      </c>
      <c r="AT894" t="s">
        <v>9839</v>
      </c>
      <c r="AU894">
        <v>2022</v>
      </c>
      <c r="AV894">
        <v>338</v>
      </c>
      <c r="AW894" t="s">
        <v>74</v>
      </c>
      <c r="AX894" t="s">
        <v>74</v>
      </c>
      <c r="AY894" t="s">
        <v>74</v>
      </c>
      <c r="AZ894" t="s">
        <v>74</v>
      </c>
      <c r="BA894" t="s">
        <v>74</v>
      </c>
      <c r="BB894">
        <v>105</v>
      </c>
      <c r="BC894">
        <v>120</v>
      </c>
      <c r="BD894" t="s">
        <v>74</v>
      </c>
      <c r="BE894" t="s">
        <v>17053</v>
      </c>
      <c r="BF894" t="str">
        <f>HYPERLINK("http://dx.doi.org/10.1016/j.gca.2022.10.022","http://dx.doi.org/10.1016/j.gca.2022.10.022")</f>
        <v>http://dx.doi.org/10.1016/j.gca.2022.10.022</v>
      </c>
      <c r="BG894" t="s">
        <v>74</v>
      </c>
      <c r="BH894" t="s">
        <v>16236</v>
      </c>
      <c r="BI894">
        <v>16</v>
      </c>
      <c r="BJ894" t="s">
        <v>430</v>
      </c>
      <c r="BK894" t="s">
        <v>104</v>
      </c>
      <c r="BL894" t="s">
        <v>430</v>
      </c>
      <c r="BM894" t="s">
        <v>17054</v>
      </c>
      <c r="BN894" t="s">
        <v>74</v>
      </c>
      <c r="BO894" t="s">
        <v>3561</v>
      </c>
      <c r="BP894" t="s">
        <v>74</v>
      </c>
      <c r="BQ894" t="s">
        <v>74</v>
      </c>
      <c r="BR894" t="s">
        <v>108</v>
      </c>
      <c r="BS894" t="s">
        <v>17055</v>
      </c>
      <c r="BT894" t="str">
        <f>HYPERLINK("https%3A%2F%2Fwww.webofscience.com%2Fwos%2Fwoscc%2Ffull-record%2FWOS:000878253200007","View Full Record in Web of Science")</f>
        <v>View Full Record in Web of Science</v>
      </c>
    </row>
    <row r="895" spans="1:72" x14ac:dyDescent="0.15">
      <c r="A895" t="s">
        <v>72</v>
      </c>
      <c r="B895" t="s">
        <v>17056</v>
      </c>
      <c r="C895" t="s">
        <v>74</v>
      </c>
      <c r="D895" t="s">
        <v>74</v>
      </c>
      <c r="E895" t="s">
        <v>74</v>
      </c>
      <c r="F895" t="s">
        <v>17057</v>
      </c>
      <c r="G895" t="s">
        <v>74</v>
      </c>
      <c r="H895" t="s">
        <v>74</v>
      </c>
      <c r="I895" t="s">
        <v>17058</v>
      </c>
      <c r="J895" t="s">
        <v>618</v>
      </c>
      <c r="K895" t="s">
        <v>74</v>
      </c>
      <c r="L895" t="s">
        <v>74</v>
      </c>
      <c r="M895" t="s">
        <v>78</v>
      </c>
      <c r="N895" t="s">
        <v>79</v>
      </c>
      <c r="O895" t="s">
        <v>74</v>
      </c>
      <c r="P895" t="s">
        <v>74</v>
      </c>
      <c r="Q895" t="s">
        <v>74</v>
      </c>
      <c r="R895" t="s">
        <v>74</v>
      </c>
      <c r="S895" t="s">
        <v>74</v>
      </c>
      <c r="T895" t="s">
        <v>17059</v>
      </c>
      <c r="U895" t="s">
        <v>17060</v>
      </c>
      <c r="V895" t="s">
        <v>17061</v>
      </c>
      <c r="W895" t="s">
        <v>17062</v>
      </c>
      <c r="X895" t="s">
        <v>17063</v>
      </c>
      <c r="Y895" t="s">
        <v>17064</v>
      </c>
      <c r="Z895" t="s">
        <v>17065</v>
      </c>
      <c r="AA895" t="s">
        <v>17066</v>
      </c>
      <c r="AB895" t="s">
        <v>17067</v>
      </c>
      <c r="AC895" t="s">
        <v>17068</v>
      </c>
      <c r="AD895" t="s">
        <v>17068</v>
      </c>
      <c r="AE895" t="s">
        <v>17069</v>
      </c>
      <c r="AF895" t="s">
        <v>74</v>
      </c>
      <c r="AG895">
        <v>35</v>
      </c>
      <c r="AH895">
        <v>0</v>
      </c>
      <c r="AI895">
        <v>0</v>
      </c>
      <c r="AJ895">
        <v>2</v>
      </c>
      <c r="AK895">
        <v>2</v>
      </c>
      <c r="AL895" t="s">
        <v>269</v>
      </c>
      <c r="AM895" t="s">
        <v>93</v>
      </c>
      <c r="AN895" t="s">
        <v>397</v>
      </c>
      <c r="AO895" t="s">
        <v>630</v>
      </c>
      <c r="AP895" t="s">
        <v>631</v>
      </c>
      <c r="AQ895" t="s">
        <v>74</v>
      </c>
      <c r="AR895" t="s">
        <v>632</v>
      </c>
      <c r="AS895" t="s">
        <v>633</v>
      </c>
      <c r="AT895" t="s">
        <v>9001</v>
      </c>
      <c r="AU895">
        <v>2022</v>
      </c>
      <c r="AV895">
        <v>45</v>
      </c>
      <c r="AW895">
        <v>12</v>
      </c>
      <c r="AX895" t="s">
        <v>74</v>
      </c>
      <c r="AY895" t="s">
        <v>74</v>
      </c>
      <c r="AZ895" t="s">
        <v>74</v>
      </c>
      <c r="BA895" t="s">
        <v>74</v>
      </c>
      <c r="BB895">
        <v>1715</v>
      </c>
      <c r="BC895">
        <v>1721</v>
      </c>
      <c r="BD895" t="s">
        <v>74</v>
      </c>
      <c r="BE895" t="s">
        <v>17070</v>
      </c>
      <c r="BF895" t="str">
        <f>HYPERLINK("http://dx.doi.org/10.1007/s00300-022-03089-2","http://dx.doi.org/10.1007/s00300-022-03089-2")</f>
        <v>http://dx.doi.org/10.1007/s00300-022-03089-2</v>
      </c>
      <c r="BG895" t="s">
        <v>74</v>
      </c>
      <c r="BH895" t="s">
        <v>16236</v>
      </c>
      <c r="BI895">
        <v>7</v>
      </c>
      <c r="BJ895" t="s">
        <v>305</v>
      </c>
      <c r="BK895" t="s">
        <v>104</v>
      </c>
      <c r="BL895" t="s">
        <v>306</v>
      </c>
      <c r="BM895" t="s">
        <v>13167</v>
      </c>
      <c r="BN895" t="s">
        <v>74</v>
      </c>
      <c r="BO895" t="s">
        <v>248</v>
      </c>
      <c r="BP895" t="s">
        <v>74</v>
      </c>
      <c r="BQ895" t="s">
        <v>74</v>
      </c>
      <c r="BR895" t="s">
        <v>108</v>
      </c>
      <c r="BS895" t="s">
        <v>17071</v>
      </c>
      <c r="BT895" t="str">
        <f>HYPERLINK("https%3A%2F%2Fwww.webofscience.com%2Fwos%2Fwoscc%2Ffull-record%2FWOS:000871177100001","View Full Record in Web of Science")</f>
        <v>View Full Record in Web of Science</v>
      </c>
    </row>
    <row r="896" spans="1:72" x14ac:dyDescent="0.15">
      <c r="A896" t="s">
        <v>72</v>
      </c>
      <c r="B896" t="s">
        <v>17072</v>
      </c>
      <c r="C896" t="s">
        <v>74</v>
      </c>
      <c r="D896" t="s">
        <v>74</v>
      </c>
      <c r="E896" t="s">
        <v>74</v>
      </c>
      <c r="F896" t="s">
        <v>17073</v>
      </c>
      <c r="G896" t="s">
        <v>74</v>
      </c>
      <c r="H896" t="s">
        <v>74</v>
      </c>
      <c r="I896" t="s">
        <v>17074</v>
      </c>
      <c r="J896" t="s">
        <v>11962</v>
      </c>
      <c r="K896" t="s">
        <v>74</v>
      </c>
      <c r="L896" t="s">
        <v>74</v>
      </c>
      <c r="M896" t="s">
        <v>78</v>
      </c>
      <c r="N896" t="s">
        <v>79</v>
      </c>
      <c r="O896" t="s">
        <v>74</v>
      </c>
      <c r="P896" t="s">
        <v>74</v>
      </c>
      <c r="Q896" t="s">
        <v>74</v>
      </c>
      <c r="R896" t="s">
        <v>74</v>
      </c>
      <c r="S896" t="s">
        <v>74</v>
      </c>
      <c r="T896" t="s">
        <v>74</v>
      </c>
      <c r="U896" t="s">
        <v>17075</v>
      </c>
      <c r="V896" t="s">
        <v>17076</v>
      </c>
      <c r="W896" t="s">
        <v>17077</v>
      </c>
      <c r="X896" t="s">
        <v>17078</v>
      </c>
      <c r="Y896" t="s">
        <v>17079</v>
      </c>
      <c r="Z896" t="s">
        <v>17080</v>
      </c>
      <c r="AA896" t="s">
        <v>17081</v>
      </c>
      <c r="AB896" t="s">
        <v>17082</v>
      </c>
      <c r="AC896" t="s">
        <v>17083</v>
      </c>
      <c r="AD896" t="s">
        <v>17084</v>
      </c>
      <c r="AE896" t="s">
        <v>17085</v>
      </c>
      <c r="AF896" t="s">
        <v>74</v>
      </c>
      <c r="AG896">
        <v>41</v>
      </c>
      <c r="AH896">
        <v>3</v>
      </c>
      <c r="AI896">
        <v>3</v>
      </c>
      <c r="AJ896">
        <v>2</v>
      </c>
      <c r="AK896">
        <v>4</v>
      </c>
      <c r="AL896" t="s">
        <v>11974</v>
      </c>
      <c r="AM896" t="s">
        <v>576</v>
      </c>
      <c r="AN896" t="s">
        <v>11975</v>
      </c>
      <c r="AO896" t="s">
        <v>11976</v>
      </c>
      <c r="AP896" t="s">
        <v>74</v>
      </c>
      <c r="AQ896" t="s">
        <v>74</v>
      </c>
      <c r="AR896" t="s">
        <v>11977</v>
      </c>
      <c r="AS896" t="s">
        <v>11978</v>
      </c>
      <c r="AT896" t="s">
        <v>17086</v>
      </c>
      <c r="AU896">
        <v>2022</v>
      </c>
      <c r="AV896">
        <v>8</v>
      </c>
      <c r="AW896">
        <v>42</v>
      </c>
      <c r="AX896" t="s">
        <v>74</v>
      </c>
      <c r="AY896" t="s">
        <v>74</v>
      </c>
      <c r="AZ896" t="s">
        <v>74</v>
      </c>
      <c r="BA896" t="s">
        <v>74</v>
      </c>
      <c r="BB896" t="s">
        <v>74</v>
      </c>
      <c r="BC896" t="s">
        <v>74</v>
      </c>
      <c r="BD896" t="s">
        <v>17087</v>
      </c>
      <c r="BE896" t="s">
        <v>17088</v>
      </c>
      <c r="BF896" t="str">
        <f>HYPERLINK("http://dx.doi.org/10.1126/sciadv.abq6974","http://dx.doi.org/10.1126/sciadv.abq6974")</f>
        <v>http://dx.doi.org/10.1126/sciadv.abq6974</v>
      </c>
      <c r="BG896" t="s">
        <v>74</v>
      </c>
      <c r="BH896" t="s">
        <v>74</v>
      </c>
      <c r="BI896">
        <v>5</v>
      </c>
      <c r="BJ896" t="s">
        <v>189</v>
      </c>
      <c r="BK896" t="s">
        <v>104</v>
      </c>
      <c r="BL896" t="s">
        <v>190</v>
      </c>
      <c r="BM896" t="s">
        <v>17089</v>
      </c>
      <c r="BN896">
        <v>36260681</v>
      </c>
      <c r="BO896" t="s">
        <v>3181</v>
      </c>
      <c r="BP896" t="s">
        <v>74</v>
      </c>
      <c r="BQ896" t="s">
        <v>74</v>
      </c>
      <c r="BR896" t="s">
        <v>108</v>
      </c>
      <c r="BS896" t="s">
        <v>17090</v>
      </c>
      <c r="BT896" t="str">
        <f>HYPERLINK("https%3A%2F%2Fwww.webofscience.com%2Fwos%2Fwoscc%2Ffull-record%2FWOS:000892134200001","View Full Record in Web of Science")</f>
        <v>View Full Record in Web of Science</v>
      </c>
    </row>
    <row r="897" spans="1:72" x14ac:dyDescent="0.15">
      <c r="A897" t="s">
        <v>72</v>
      </c>
      <c r="B897" t="s">
        <v>17091</v>
      </c>
      <c r="C897" t="s">
        <v>74</v>
      </c>
      <c r="D897" t="s">
        <v>74</v>
      </c>
      <c r="E897" t="s">
        <v>74</v>
      </c>
      <c r="F897" t="s">
        <v>17092</v>
      </c>
      <c r="G897" t="s">
        <v>74</v>
      </c>
      <c r="H897" t="s">
        <v>74</v>
      </c>
      <c r="I897" t="s">
        <v>17093</v>
      </c>
      <c r="J897" t="s">
        <v>11962</v>
      </c>
      <c r="K897" t="s">
        <v>74</v>
      </c>
      <c r="L897" t="s">
        <v>74</v>
      </c>
      <c r="M897" t="s">
        <v>78</v>
      </c>
      <c r="N897" t="s">
        <v>743</v>
      </c>
      <c r="O897" t="s">
        <v>74</v>
      </c>
      <c r="P897" t="s">
        <v>74</v>
      </c>
      <c r="Q897" t="s">
        <v>74</v>
      </c>
      <c r="R897" t="s">
        <v>74</v>
      </c>
      <c r="S897" t="s">
        <v>74</v>
      </c>
      <c r="T897" t="s">
        <v>74</v>
      </c>
      <c r="U897" t="s">
        <v>1337</v>
      </c>
      <c r="V897" t="s">
        <v>17094</v>
      </c>
      <c r="W897" t="s">
        <v>17095</v>
      </c>
      <c r="X897" t="s">
        <v>17096</v>
      </c>
      <c r="Y897" t="s">
        <v>17097</v>
      </c>
      <c r="Z897" t="s">
        <v>11968</v>
      </c>
      <c r="AA897" t="s">
        <v>74</v>
      </c>
      <c r="AB897" t="s">
        <v>74</v>
      </c>
      <c r="AC897" t="s">
        <v>74</v>
      </c>
      <c r="AD897" t="s">
        <v>74</v>
      </c>
      <c r="AE897" t="s">
        <v>74</v>
      </c>
      <c r="AF897" t="s">
        <v>74</v>
      </c>
      <c r="AG897">
        <v>8</v>
      </c>
      <c r="AH897">
        <v>0</v>
      </c>
      <c r="AI897">
        <v>0</v>
      </c>
      <c r="AJ897">
        <v>0</v>
      </c>
      <c r="AK897">
        <v>2</v>
      </c>
      <c r="AL897" t="s">
        <v>11974</v>
      </c>
      <c r="AM897" t="s">
        <v>576</v>
      </c>
      <c r="AN897" t="s">
        <v>11975</v>
      </c>
      <c r="AO897" t="s">
        <v>11976</v>
      </c>
      <c r="AP897" t="s">
        <v>74</v>
      </c>
      <c r="AQ897" t="s">
        <v>74</v>
      </c>
      <c r="AR897" t="s">
        <v>11977</v>
      </c>
      <c r="AS897" t="s">
        <v>11978</v>
      </c>
      <c r="AT897" t="s">
        <v>17086</v>
      </c>
      <c r="AU897">
        <v>2022</v>
      </c>
      <c r="AV897">
        <v>8</v>
      </c>
      <c r="AW897">
        <v>42</v>
      </c>
      <c r="AX897" t="s">
        <v>74</v>
      </c>
      <c r="AY897" t="s">
        <v>74</v>
      </c>
      <c r="AZ897" t="s">
        <v>74</v>
      </c>
      <c r="BA897" t="s">
        <v>74</v>
      </c>
      <c r="BB897" t="s">
        <v>74</v>
      </c>
      <c r="BC897" t="s">
        <v>74</v>
      </c>
      <c r="BD897" t="s">
        <v>17098</v>
      </c>
      <c r="BE897" t="s">
        <v>17099</v>
      </c>
      <c r="BF897" t="str">
        <f>HYPERLINK("http://dx.doi.org/10.1126/sciadv.ade7006","http://dx.doi.org/10.1126/sciadv.ade7006")</f>
        <v>http://dx.doi.org/10.1126/sciadv.ade7006</v>
      </c>
      <c r="BG897" t="s">
        <v>74</v>
      </c>
      <c r="BH897" t="s">
        <v>74</v>
      </c>
      <c r="BI897">
        <v>2</v>
      </c>
      <c r="BJ897" t="s">
        <v>189</v>
      </c>
      <c r="BK897" t="s">
        <v>104</v>
      </c>
      <c r="BL897" t="s">
        <v>190</v>
      </c>
      <c r="BM897" t="s">
        <v>17089</v>
      </c>
      <c r="BN897">
        <v>36260676</v>
      </c>
      <c r="BO897" t="s">
        <v>5719</v>
      </c>
      <c r="BP897" t="s">
        <v>74</v>
      </c>
      <c r="BQ897" t="s">
        <v>74</v>
      </c>
      <c r="BR897" t="s">
        <v>108</v>
      </c>
      <c r="BS897" t="s">
        <v>17100</v>
      </c>
      <c r="BT897" t="str">
        <f>HYPERLINK("https%3A%2F%2Fwww.webofscience.com%2Fwos%2Fwoscc%2Ffull-record%2FWOS:000892134200011","View Full Record in Web of Science")</f>
        <v>View Full Record in Web of Science</v>
      </c>
    </row>
    <row r="898" spans="1:72" x14ac:dyDescent="0.15">
      <c r="A898" t="s">
        <v>72</v>
      </c>
      <c r="B898" t="s">
        <v>17101</v>
      </c>
      <c r="C898" t="s">
        <v>74</v>
      </c>
      <c r="D898" t="s">
        <v>74</v>
      </c>
      <c r="E898" t="s">
        <v>74</v>
      </c>
      <c r="F898" t="s">
        <v>17102</v>
      </c>
      <c r="G898" t="s">
        <v>74</v>
      </c>
      <c r="H898" t="s">
        <v>74</v>
      </c>
      <c r="I898" t="s">
        <v>17103</v>
      </c>
      <c r="J898" t="s">
        <v>11962</v>
      </c>
      <c r="K898" t="s">
        <v>74</v>
      </c>
      <c r="L898" t="s">
        <v>74</v>
      </c>
      <c r="M898" t="s">
        <v>78</v>
      </c>
      <c r="N898" t="s">
        <v>79</v>
      </c>
      <c r="O898" t="s">
        <v>74</v>
      </c>
      <c r="P898" t="s">
        <v>74</v>
      </c>
      <c r="Q898" t="s">
        <v>74</v>
      </c>
      <c r="R898" t="s">
        <v>74</v>
      </c>
      <c r="S898" t="s">
        <v>74</v>
      </c>
      <c r="T898" t="s">
        <v>74</v>
      </c>
      <c r="U898" t="s">
        <v>17104</v>
      </c>
      <c r="V898" t="s">
        <v>17105</v>
      </c>
      <c r="W898" t="s">
        <v>17106</v>
      </c>
      <c r="X898" t="s">
        <v>17107</v>
      </c>
      <c r="Y898" t="s">
        <v>17108</v>
      </c>
      <c r="Z898" t="s">
        <v>17109</v>
      </c>
      <c r="AA898" t="s">
        <v>9891</v>
      </c>
      <c r="AB898" t="s">
        <v>17110</v>
      </c>
      <c r="AC898" t="s">
        <v>17111</v>
      </c>
      <c r="AD898" t="s">
        <v>17112</v>
      </c>
      <c r="AE898" t="s">
        <v>17113</v>
      </c>
      <c r="AF898" t="s">
        <v>74</v>
      </c>
      <c r="AG898">
        <v>60</v>
      </c>
      <c r="AH898">
        <v>7</v>
      </c>
      <c r="AI898">
        <v>7</v>
      </c>
      <c r="AJ898">
        <v>1</v>
      </c>
      <c r="AK898">
        <v>11</v>
      </c>
      <c r="AL898" t="s">
        <v>11974</v>
      </c>
      <c r="AM898" t="s">
        <v>576</v>
      </c>
      <c r="AN898" t="s">
        <v>11975</v>
      </c>
      <c r="AO898" t="s">
        <v>11976</v>
      </c>
      <c r="AP898" t="s">
        <v>74</v>
      </c>
      <c r="AQ898" t="s">
        <v>74</v>
      </c>
      <c r="AR898" t="s">
        <v>11977</v>
      </c>
      <c r="AS898" t="s">
        <v>11978</v>
      </c>
      <c r="AT898" t="s">
        <v>17086</v>
      </c>
      <c r="AU898">
        <v>2022</v>
      </c>
      <c r="AV898">
        <v>8</v>
      </c>
      <c r="AW898">
        <v>42</v>
      </c>
      <c r="AX898" t="s">
        <v>74</v>
      </c>
      <c r="AY898" t="s">
        <v>74</v>
      </c>
      <c r="AZ898" t="s">
        <v>74</v>
      </c>
      <c r="BA898" t="s">
        <v>74</v>
      </c>
      <c r="BB898" t="s">
        <v>74</v>
      </c>
      <c r="BC898" t="s">
        <v>74</v>
      </c>
      <c r="BD898" t="s">
        <v>17114</v>
      </c>
      <c r="BE898" t="s">
        <v>17115</v>
      </c>
      <c r="BF898" t="str">
        <f>HYPERLINK("http://dx.doi.org/10.1126/sciadv.adc9174","http://dx.doi.org/10.1126/sciadv.adc9174")</f>
        <v>http://dx.doi.org/10.1126/sciadv.adc9174</v>
      </c>
      <c r="BG898" t="s">
        <v>74</v>
      </c>
      <c r="BH898" t="s">
        <v>74</v>
      </c>
      <c r="BI898">
        <v>10</v>
      </c>
      <c r="BJ898" t="s">
        <v>189</v>
      </c>
      <c r="BK898" t="s">
        <v>104</v>
      </c>
      <c r="BL898" t="s">
        <v>190</v>
      </c>
      <c r="BM898" t="s">
        <v>17116</v>
      </c>
      <c r="BN898">
        <v>36260668</v>
      </c>
      <c r="BO898" t="s">
        <v>192</v>
      </c>
      <c r="BP898" t="s">
        <v>74</v>
      </c>
      <c r="BQ898" t="s">
        <v>74</v>
      </c>
      <c r="BR898" t="s">
        <v>108</v>
      </c>
      <c r="BS898" t="s">
        <v>17117</v>
      </c>
      <c r="BT898" t="str">
        <f>HYPERLINK("https%3A%2F%2Fwww.webofscience.com%2Fwos%2Fwoscc%2Ffull-record%2FWOS:000884791300002","View Full Record in Web of Science")</f>
        <v>View Full Record in Web of Science</v>
      </c>
    </row>
    <row r="899" spans="1:72" x14ac:dyDescent="0.15">
      <c r="A899" t="s">
        <v>72</v>
      </c>
      <c r="B899" t="s">
        <v>17118</v>
      </c>
      <c r="C899" t="s">
        <v>74</v>
      </c>
      <c r="D899" t="s">
        <v>74</v>
      </c>
      <c r="E899" t="s">
        <v>74</v>
      </c>
      <c r="F899" t="s">
        <v>17119</v>
      </c>
      <c r="G899" t="s">
        <v>74</v>
      </c>
      <c r="H899" t="s">
        <v>74</v>
      </c>
      <c r="I899" t="s">
        <v>17120</v>
      </c>
      <c r="J899" t="s">
        <v>14123</v>
      </c>
      <c r="K899" t="s">
        <v>74</v>
      </c>
      <c r="L899" t="s">
        <v>74</v>
      </c>
      <c r="M899" t="s">
        <v>78</v>
      </c>
      <c r="N899" t="s">
        <v>79</v>
      </c>
      <c r="O899" t="s">
        <v>74</v>
      </c>
      <c r="P899" t="s">
        <v>74</v>
      </c>
      <c r="Q899" t="s">
        <v>74</v>
      </c>
      <c r="R899" t="s">
        <v>74</v>
      </c>
      <c r="S899" t="s">
        <v>74</v>
      </c>
      <c r="T899" t="s">
        <v>17121</v>
      </c>
      <c r="U899" t="s">
        <v>17122</v>
      </c>
      <c r="V899" t="s">
        <v>17123</v>
      </c>
      <c r="W899" t="s">
        <v>17124</v>
      </c>
      <c r="X899" t="s">
        <v>17125</v>
      </c>
      <c r="Y899" t="s">
        <v>17126</v>
      </c>
      <c r="Z899" t="s">
        <v>13333</v>
      </c>
      <c r="AA899" t="s">
        <v>17127</v>
      </c>
      <c r="AB899" t="s">
        <v>17128</v>
      </c>
      <c r="AC899" t="s">
        <v>17129</v>
      </c>
      <c r="AD899" t="s">
        <v>17130</v>
      </c>
      <c r="AE899" t="s">
        <v>17131</v>
      </c>
      <c r="AF899" t="s">
        <v>74</v>
      </c>
      <c r="AG899">
        <v>43</v>
      </c>
      <c r="AH899">
        <v>5</v>
      </c>
      <c r="AI899">
        <v>6</v>
      </c>
      <c r="AJ899">
        <v>3</v>
      </c>
      <c r="AK899">
        <v>27</v>
      </c>
      <c r="AL899" t="s">
        <v>237</v>
      </c>
      <c r="AM899" t="s">
        <v>238</v>
      </c>
      <c r="AN899" t="s">
        <v>239</v>
      </c>
      <c r="AO899" t="s">
        <v>14136</v>
      </c>
      <c r="AP899" t="s">
        <v>14137</v>
      </c>
      <c r="AQ899" t="s">
        <v>74</v>
      </c>
      <c r="AR899" t="s">
        <v>14123</v>
      </c>
      <c r="AS899" t="s">
        <v>14138</v>
      </c>
      <c r="AT899" t="s">
        <v>276</v>
      </c>
      <c r="AU899">
        <v>2023</v>
      </c>
      <c r="AV899">
        <v>220</v>
      </c>
      <c r="AW899" t="s">
        <v>74</v>
      </c>
      <c r="AX899" t="s">
        <v>12005</v>
      </c>
      <c r="AY899" t="s">
        <v>74</v>
      </c>
      <c r="AZ899" t="s">
        <v>74</v>
      </c>
      <c r="BA899" t="s">
        <v>74</v>
      </c>
      <c r="BB899" t="s">
        <v>74</v>
      </c>
      <c r="BC899" t="s">
        <v>74</v>
      </c>
      <c r="BD899">
        <v>106718</v>
      </c>
      <c r="BE899" t="s">
        <v>17132</v>
      </c>
      <c r="BF899" t="str">
        <f>HYPERLINK("http://dx.doi.org/10.1016/j.catena.2022.106718","http://dx.doi.org/10.1016/j.catena.2022.106718")</f>
        <v>http://dx.doi.org/10.1016/j.catena.2022.106718</v>
      </c>
      <c r="BG899" t="s">
        <v>74</v>
      </c>
      <c r="BH899" t="s">
        <v>16236</v>
      </c>
      <c r="BI899">
        <v>7</v>
      </c>
      <c r="BJ899" t="s">
        <v>14140</v>
      </c>
      <c r="BK899" t="s">
        <v>104</v>
      </c>
      <c r="BL899" t="s">
        <v>14141</v>
      </c>
      <c r="BM899" t="s">
        <v>17133</v>
      </c>
      <c r="BN899" t="s">
        <v>74</v>
      </c>
      <c r="BO899" t="s">
        <v>74</v>
      </c>
      <c r="BP899" t="s">
        <v>74</v>
      </c>
      <c r="BQ899" t="s">
        <v>74</v>
      </c>
      <c r="BR899" t="s">
        <v>108</v>
      </c>
      <c r="BS899" t="s">
        <v>17134</v>
      </c>
      <c r="BT899" t="str">
        <f>HYPERLINK("https%3A%2F%2Fwww.webofscience.com%2Fwos%2Fwoscc%2Ffull-record%2FWOS:000882779400003","View Full Record in Web of Science")</f>
        <v>View Full Record in Web of Science</v>
      </c>
    </row>
    <row r="900" spans="1:72" x14ac:dyDescent="0.15">
      <c r="A900" t="s">
        <v>72</v>
      </c>
      <c r="B900" t="s">
        <v>17135</v>
      </c>
      <c r="C900" t="s">
        <v>74</v>
      </c>
      <c r="D900" t="s">
        <v>74</v>
      </c>
      <c r="E900" t="s">
        <v>74</v>
      </c>
      <c r="F900" t="s">
        <v>17136</v>
      </c>
      <c r="G900" t="s">
        <v>74</v>
      </c>
      <c r="H900" t="s">
        <v>74</v>
      </c>
      <c r="I900" t="s">
        <v>17137</v>
      </c>
      <c r="J900" t="s">
        <v>8511</v>
      </c>
      <c r="K900" t="s">
        <v>74</v>
      </c>
      <c r="L900" t="s">
        <v>74</v>
      </c>
      <c r="M900" t="s">
        <v>78</v>
      </c>
      <c r="N900" t="s">
        <v>79</v>
      </c>
      <c r="O900" t="s">
        <v>74</v>
      </c>
      <c r="P900" t="s">
        <v>74</v>
      </c>
      <c r="Q900" t="s">
        <v>74</v>
      </c>
      <c r="R900" t="s">
        <v>74</v>
      </c>
      <c r="S900" t="s">
        <v>74</v>
      </c>
      <c r="T900" t="s">
        <v>17138</v>
      </c>
      <c r="U900" t="s">
        <v>17139</v>
      </c>
      <c r="V900" t="s">
        <v>17140</v>
      </c>
      <c r="W900" t="s">
        <v>17141</v>
      </c>
      <c r="X900" t="s">
        <v>17142</v>
      </c>
      <c r="Y900" t="s">
        <v>17143</v>
      </c>
      <c r="Z900" t="s">
        <v>17144</v>
      </c>
      <c r="AA900" t="s">
        <v>17145</v>
      </c>
      <c r="AB900" t="s">
        <v>17146</v>
      </c>
      <c r="AC900" t="s">
        <v>74</v>
      </c>
      <c r="AD900" t="s">
        <v>74</v>
      </c>
      <c r="AE900" t="s">
        <v>74</v>
      </c>
      <c r="AF900" t="s">
        <v>74</v>
      </c>
      <c r="AG900">
        <v>103</v>
      </c>
      <c r="AH900">
        <v>1</v>
      </c>
      <c r="AI900">
        <v>1</v>
      </c>
      <c r="AJ900">
        <v>5</v>
      </c>
      <c r="AK900">
        <v>13</v>
      </c>
      <c r="AL900" t="s">
        <v>448</v>
      </c>
      <c r="AM900" t="s">
        <v>449</v>
      </c>
      <c r="AN900" t="s">
        <v>450</v>
      </c>
      <c r="AO900" t="s">
        <v>8522</v>
      </c>
      <c r="AP900" t="s">
        <v>74</v>
      </c>
      <c r="AQ900" t="s">
        <v>74</v>
      </c>
      <c r="AR900" t="s">
        <v>8523</v>
      </c>
      <c r="AS900" t="s">
        <v>8524</v>
      </c>
      <c r="AT900" t="s">
        <v>17086</v>
      </c>
      <c r="AU900">
        <v>2022</v>
      </c>
      <c r="AV900">
        <v>10</v>
      </c>
      <c r="AW900" t="s">
        <v>74</v>
      </c>
      <c r="AX900" t="s">
        <v>74</v>
      </c>
      <c r="AY900" t="s">
        <v>74</v>
      </c>
      <c r="AZ900" t="s">
        <v>74</v>
      </c>
      <c r="BA900" t="s">
        <v>74</v>
      </c>
      <c r="BB900" t="s">
        <v>74</v>
      </c>
      <c r="BC900" t="s">
        <v>74</v>
      </c>
      <c r="BD900">
        <v>957318</v>
      </c>
      <c r="BE900" t="s">
        <v>17147</v>
      </c>
      <c r="BF900" t="str">
        <f>HYPERLINK("http://dx.doi.org/10.3389/fevo.2022.957318","http://dx.doi.org/10.3389/fevo.2022.957318")</f>
        <v>http://dx.doi.org/10.3389/fevo.2022.957318</v>
      </c>
      <c r="BG900" t="s">
        <v>74</v>
      </c>
      <c r="BH900" t="s">
        <v>74</v>
      </c>
      <c r="BI900">
        <v>13</v>
      </c>
      <c r="BJ900" t="s">
        <v>2639</v>
      </c>
      <c r="BK900" t="s">
        <v>104</v>
      </c>
      <c r="BL900" t="s">
        <v>217</v>
      </c>
      <c r="BM900" t="s">
        <v>17148</v>
      </c>
      <c r="BN900" t="s">
        <v>74</v>
      </c>
      <c r="BO900" t="s">
        <v>3181</v>
      </c>
      <c r="BP900" t="s">
        <v>74</v>
      </c>
      <c r="BQ900" t="s">
        <v>74</v>
      </c>
      <c r="BR900" t="s">
        <v>108</v>
      </c>
      <c r="BS900" t="s">
        <v>17149</v>
      </c>
      <c r="BT900" t="str">
        <f>HYPERLINK("https%3A%2F%2Fwww.webofscience.com%2Fwos%2Fwoscc%2Ffull-record%2FWOS:000879506500001","View Full Record in Web of Science")</f>
        <v>View Full Record in Web of Science</v>
      </c>
    </row>
    <row r="901" spans="1:72" x14ac:dyDescent="0.15">
      <c r="A901" t="s">
        <v>72</v>
      </c>
      <c r="B901" t="s">
        <v>17150</v>
      </c>
      <c r="C901" t="s">
        <v>74</v>
      </c>
      <c r="D901" t="s">
        <v>74</v>
      </c>
      <c r="E901" t="s">
        <v>74</v>
      </c>
      <c r="F901" t="s">
        <v>17151</v>
      </c>
      <c r="G901" t="s">
        <v>74</v>
      </c>
      <c r="H901" t="s">
        <v>74</v>
      </c>
      <c r="I901" t="s">
        <v>17152</v>
      </c>
      <c r="J901" t="s">
        <v>6711</v>
      </c>
      <c r="K901" t="s">
        <v>74</v>
      </c>
      <c r="L901" t="s">
        <v>74</v>
      </c>
      <c r="M901" t="s">
        <v>78</v>
      </c>
      <c r="N901" t="s">
        <v>79</v>
      </c>
      <c r="O901" t="s">
        <v>74</v>
      </c>
      <c r="P901" t="s">
        <v>74</v>
      </c>
      <c r="Q901" t="s">
        <v>74</v>
      </c>
      <c r="R901" t="s">
        <v>74</v>
      </c>
      <c r="S901" t="s">
        <v>74</v>
      </c>
      <c r="T901" t="s">
        <v>17153</v>
      </c>
      <c r="U901" t="s">
        <v>17154</v>
      </c>
      <c r="V901" t="s">
        <v>17155</v>
      </c>
      <c r="W901" t="s">
        <v>17156</v>
      </c>
      <c r="X901" t="s">
        <v>17157</v>
      </c>
      <c r="Y901" t="s">
        <v>17158</v>
      </c>
      <c r="Z901" t="s">
        <v>17159</v>
      </c>
      <c r="AA901" t="s">
        <v>17160</v>
      </c>
      <c r="AB901" t="s">
        <v>17161</v>
      </c>
      <c r="AC901" t="s">
        <v>74</v>
      </c>
      <c r="AD901" t="s">
        <v>74</v>
      </c>
      <c r="AE901" t="s">
        <v>74</v>
      </c>
      <c r="AF901" t="s">
        <v>74</v>
      </c>
      <c r="AG901">
        <v>90</v>
      </c>
      <c r="AH901">
        <v>4</v>
      </c>
      <c r="AI901">
        <v>4</v>
      </c>
      <c r="AJ901">
        <v>0</v>
      </c>
      <c r="AK901">
        <v>4</v>
      </c>
      <c r="AL901" t="s">
        <v>603</v>
      </c>
      <c r="AM901" t="s">
        <v>208</v>
      </c>
      <c r="AN901" t="s">
        <v>604</v>
      </c>
      <c r="AO901" t="s">
        <v>6723</v>
      </c>
      <c r="AP901" t="s">
        <v>6724</v>
      </c>
      <c r="AQ901" t="s">
        <v>74</v>
      </c>
      <c r="AR901" t="s">
        <v>6725</v>
      </c>
      <c r="AS901" t="s">
        <v>6726</v>
      </c>
      <c r="AT901" t="s">
        <v>9001</v>
      </c>
      <c r="AU901">
        <v>2022</v>
      </c>
      <c r="AV901">
        <v>185</v>
      </c>
      <c r="AW901" t="s">
        <v>74</v>
      </c>
      <c r="AX901" t="s">
        <v>12005</v>
      </c>
      <c r="AY901" t="s">
        <v>74</v>
      </c>
      <c r="AZ901" t="s">
        <v>74</v>
      </c>
      <c r="BA901" t="s">
        <v>74</v>
      </c>
      <c r="BB901" t="s">
        <v>74</v>
      </c>
      <c r="BC901" t="s">
        <v>74</v>
      </c>
      <c r="BD901">
        <v>114239</v>
      </c>
      <c r="BE901" t="s">
        <v>17162</v>
      </c>
      <c r="BF901" t="str">
        <f>HYPERLINK("http://dx.doi.org/10.1016/j.marpolbul.2022.114239","http://dx.doi.org/10.1016/j.marpolbul.2022.114239")</f>
        <v>http://dx.doi.org/10.1016/j.marpolbul.2022.114239</v>
      </c>
      <c r="BG901" t="s">
        <v>74</v>
      </c>
      <c r="BH901" t="s">
        <v>16236</v>
      </c>
      <c r="BI901">
        <v>13</v>
      </c>
      <c r="BJ901" t="s">
        <v>6728</v>
      </c>
      <c r="BK901" t="s">
        <v>104</v>
      </c>
      <c r="BL901" t="s">
        <v>6729</v>
      </c>
      <c r="BM901" t="s">
        <v>17163</v>
      </c>
      <c r="BN901">
        <v>36274563</v>
      </c>
      <c r="BO901" t="s">
        <v>74</v>
      </c>
      <c r="BP901" t="s">
        <v>74</v>
      </c>
      <c r="BQ901" t="s">
        <v>74</v>
      </c>
      <c r="BR901" t="s">
        <v>108</v>
      </c>
      <c r="BS901" t="s">
        <v>17164</v>
      </c>
      <c r="BT901" t="str">
        <f>HYPERLINK("https%3A%2F%2Fwww.webofscience.com%2Fwos%2Fwoscc%2Ffull-record%2FWOS:000878515600006","View Full Record in Web of Science")</f>
        <v>View Full Record in Web of Science</v>
      </c>
    </row>
    <row r="902" spans="1:72" x14ac:dyDescent="0.15">
      <c r="A902" t="s">
        <v>72</v>
      </c>
      <c r="B902" t="s">
        <v>17165</v>
      </c>
      <c r="C902" t="s">
        <v>74</v>
      </c>
      <c r="D902" t="s">
        <v>74</v>
      </c>
      <c r="E902" t="s">
        <v>74</v>
      </c>
      <c r="F902" t="s">
        <v>17166</v>
      </c>
      <c r="G902" t="s">
        <v>74</v>
      </c>
      <c r="H902" t="s">
        <v>74</v>
      </c>
      <c r="I902" t="s">
        <v>17167</v>
      </c>
      <c r="J902" t="s">
        <v>17168</v>
      </c>
      <c r="K902" t="s">
        <v>74</v>
      </c>
      <c r="L902" t="s">
        <v>74</v>
      </c>
      <c r="M902" t="s">
        <v>78</v>
      </c>
      <c r="N902" t="s">
        <v>743</v>
      </c>
      <c r="O902" t="s">
        <v>74</v>
      </c>
      <c r="P902" t="s">
        <v>74</v>
      </c>
      <c r="Q902" t="s">
        <v>74</v>
      </c>
      <c r="R902" t="s">
        <v>74</v>
      </c>
      <c r="S902" t="s">
        <v>74</v>
      </c>
      <c r="T902" t="s">
        <v>74</v>
      </c>
      <c r="U902" t="s">
        <v>74</v>
      </c>
      <c r="V902" t="s">
        <v>74</v>
      </c>
      <c r="W902" t="s">
        <v>17169</v>
      </c>
      <c r="X902" t="s">
        <v>17170</v>
      </c>
      <c r="Y902" t="s">
        <v>17171</v>
      </c>
      <c r="Z902" t="s">
        <v>17172</v>
      </c>
      <c r="AA902" t="s">
        <v>17173</v>
      </c>
      <c r="AB902" t="s">
        <v>17174</v>
      </c>
      <c r="AC902" t="s">
        <v>74</v>
      </c>
      <c r="AD902" t="s">
        <v>74</v>
      </c>
      <c r="AE902" t="s">
        <v>74</v>
      </c>
      <c r="AF902" t="s">
        <v>74</v>
      </c>
      <c r="AG902">
        <v>0</v>
      </c>
      <c r="AH902">
        <v>4</v>
      </c>
      <c r="AI902">
        <v>4</v>
      </c>
      <c r="AJ902">
        <v>4</v>
      </c>
      <c r="AK902">
        <v>21</v>
      </c>
      <c r="AL902" t="s">
        <v>11974</v>
      </c>
      <c r="AM902" t="s">
        <v>576</v>
      </c>
      <c r="AN902" t="s">
        <v>11975</v>
      </c>
      <c r="AO902" t="s">
        <v>17175</v>
      </c>
      <c r="AP902" t="s">
        <v>17176</v>
      </c>
      <c r="AQ902" t="s">
        <v>74</v>
      </c>
      <c r="AR902" t="s">
        <v>17168</v>
      </c>
      <c r="AS902" t="s">
        <v>17177</v>
      </c>
      <c r="AT902" t="s">
        <v>17086</v>
      </c>
      <c r="AU902">
        <v>2022</v>
      </c>
      <c r="AV902">
        <v>378</v>
      </c>
      <c r="AW902">
        <v>6617</v>
      </c>
      <c r="AX902" t="s">
        <v>74</v>
      </c>
      <c r="AY902" t="s">
        <v>74</v>
      </c>
      <c r="AZ902" t="s">
        <v>74</v>
      </c>
      <c r="BA902" t="s">
        <v>74</v>
      </c>
      <c r="BB902">
        <v>230</v>
      </c>
      <c r="BC902">
        <v>231</v>
      </c>
      <c r="BD902" t="s">
        <v>74</v>
      </c>
      <c r="BE902" t="s">
        <v>17178</v>
      </c>
      <c r="BF902" t="str">
        <f>HYPERLINK("http://dx.doi.org/10.1126/science.adf3606","http://dx.doi.org/10.1126/science.adf3606")</f>
        <v>http://dx.doi.org/10.1126/science.adf3606</v>
      </c>
      <c r="BG902" t="s">
        <v>74</v>
      </c>
      <c r="BH902" t="s">
        <v>74</v>
      </c>
      <c r="BI902">
        <v>2</v>
      </c>
      <c r="BJ902" t="s">
        <v>189</v>
      </c>
      <c r="BK902" t="s">
        <v>104</v>
      </c>
      <c r="BL902" t="s">
        <v>190</v>
      </c>
      <c r="BM902" t="s">
        <v>17179</v>
      </c>
      <c r="BN902">
        <v>36264805</v>
      </c>
      <c r="BO902" t="s">
        <v>3561</v>
      </c>
      <c r="BP902" t="s">
        <v>74</v>
      </c>
      <c r="BQ902" t="s">
        <v>74</v>
      </c>
      <c r="BR902" t="s">
        <v>108</v>
      </c>
      <c r="BS902" t="s">
        <v>17180</v>
      </c>
      <c r="BT902" t="str">
        <f>HYPERLINK("https%3A%2F%2Fwww.webofscience.com%2Fwos%2Fwoscc%2Ffull-record%2FWOS:000877815400002","View Full Record in Web of Science")</f>
        <v>View Full Record in Web of Science</v>
      </c>
    </row>
    <row r="903" spans="1:72" x14ac:dyDescent="0.15">
      <c r="A903" t="s">
        <v>72</v>
      </c>
      <c r="B903" t="s">
        <v>17181</v>
      </c>
      <c r="C903" t="s">
        <v>74</v>
      </c>
      <c r="D903" t="s">
        <v>74</v>
      </c>
      <c r="E903" t="s">
        <v>74</v>
      </c>
      <c r="F903" t="s">
        <v>17182</v>
      </c>
      <c r="G903" t="s">
        <v>74</v>
      </c>
      <c r="H903" t="s">
        <v>74</v>
      </c>
      <c r="I903" t="s">
        <v>17183</v>
      </c>
      <c r="J903" t="s">
        <v>170</v>
      </c>
      <c r="K903" t="s">
        <v>74</v>
      </c>
      <c r="L903" t="s">
        <v>74</v>
      </c>
      <c r="M903" t="s">
        <v>78</v>
      </c>
      <c r="N903" t="s">
        <v>79</v>
      </c>
      <c r="O903" t="s">
        <v>74</v>
      </c>
      <c r="P903" t="s">
        <v>74</v>
      </c>
      <c r="Q903" t="s">
        <v>74</v>
      </c>
      <c r="R903" t="s">
        <v>74</v>
      </c>
      <c r="S903" t="s">
        <v>74</v>
      </c>
      <c r="T903" t="s">
        <v>74</v>
      </c>
      <c r="U903" t="s">
        <v>17184</v>
      </c>
      <c r="V903" t="s">
        <v>17185</v>
      </c>
      <c r="W903" t="s">
        <v>17186</v>
      </c>
      <c r="X903" t="s">
        <v>17187</v>
      </c>
      <c r="Y903" t="s">
        <v>17188</v>
      </c>
      <c r="Z903" t="s">
        <v>17189</v>
      </c>
      <c r="AA903" t="s">
        <v>74</v>
      </c>
      <c r="AB903" t="s">
        <v>74</v>
      </c>
      <c r="AC903" t="s">
        <v>17190</v>
      </c>
      <c r="AD903" t="s">
        <v>17191</v>
      </c>
      <c r="AE903" t="s">
        <v>17192</v>
      </c>
      <c r="AF903" t="s">
        <v>74</v>
      </c>
      <c r="AG903">
        <v>39</v>
      </c>
      <c r="AH903">
        <v>1</v>
      </c>
      <c r="AI903">
        <v>1</v>
      </c>
      <c r="AJ903">
        <v>0</v>
      </c>
      <c r="AK903">
        <v>2</v>
      </c>
      <c r="AL903" t="s">
        <v>182</v>
      </c>
      <c r="AM903" t="s">
        <v>183</v>
      </c>
      <c r="AN903" t="s">
        <v>184</v>
      </c>
      <c r="AO903" t="s">
        <v>185</v>
      </c>
      <c r="AP903" t="s">
        <v>74</v>
      </c>
      <c r="AQ903" t="s">
        <v>74</v>
      </c>
      <c r="AR903" t="s">
        <v>186</v>
      </c>
      <c r="AS903" t="s">
        <v>187</v>
      </c>
      <c r="AT903" t="s">
        <v>17086</v>
      </c>
      <c r="AU903">
        <v>2022</v>
      </c>
      <c r="AV903">
        <v>12</v>
      </c>
      <c r="AW903">
        <v>1</v>
      </c>
      <c r="AX903" t="s">
        <v>74</v>
      </c>
      <c r="AY903" t="s">
        <v>74</v>
      </c>
      <c r="AZ903" t="s">
        <v>74</v>
      </c>
      <c r="BA903" t="s">
        <v>74</v>
      </c>
      <c r="BB903" t="s">
        <v>74</v>
      </c>
      <c r="BC903" t="s">
        <v>74</v>
      </c>
      <c r="BD903">
        <v>17693</v>
      </c>
      <c r="BE903" t="s">
        <v>17193</v>
      </c>
      <c r="BF903" t="str">
        <f>HYPERLINK("http://dx.doi.org/10.1038/s41598-022-22450-3","http://dx.doi.org/10.1038/s41598-022-22450-3")</f>
        <v>http://dx.doi.org/10.1038/s41598-022-22450-3</v>
      </c>
      <c r="BG903" t="s">
        <v>74</v>
      </c>
      <c r="BH903" t="s">
        <v>74</v>
      </c>
      <c r="BI903">
        <v>8</v>
      </c>
      <c r="BJ903" t="s">
        <v>189</v>
      </c>
      <c r="BK903" t="s">
        <v>104</v>
      </c>
      <c r="BL903" t="s">
        <v>190</v>
      </c>
      <c r="BM903" t="s">
        <v>17194</v>
      </c>
      <c r="BN903">
        <v>36271134</v>
      </c>
      <c r="BO903" t="s">
        <v>3181</v>
      </c>
      <c r="BP903" t="s">
        <v>74</v>
      </c>
      <c r="BQ903" t="s">
        <v>74</v>
      </c>
      <c r="BR903" t="s">
        <v>108</v>
      </c>
      <c r="BS903" t="s">
        <v>17195</v>
      </c>
      <c r="BT903" t="str">
        <f>HYPERLINK("https%3A%2F%2Fwww.webofscience.com%2Fwos%2Fwoscc%2Ffull-record%2FWOS:000871116800044","View Full Record in Web of Science")</f>
        <v>View Full Record in Web of Science</v>
      </c>
    </row>
    <row r="904" spans="1:72" x14ac:dyDescent="0.15">
      <c r="A904" t="s">
        <v>72</v>
      </c>
      <c r="B904" t="s">
        <v>17196</v>
      </c>
      <c r="C904" t="s">
        <v>74</v>
      </c>
      <c r="D904" t="s">
        <v>74</v>
      </c>
      <c r="E904" t="s">
        <v>74</v>
      </c>
      <c r="F904" t="s">
        <v>17197</v>
      </c>
      <c r="G904" t="s">
        <v>74</v>
      </c>
      <c r="H904" t="s">
        <v>74</v>
      </c>
      <c r="I904" t="s">
        <v>17198</v>
      </c>
      <c r="J904" t="s">
        <v>8444</v>
      </c>
      <c r="K904" t="s">
        <v>74</v>
      </c>
      <c r="L904" t="s">
        <v>74</v>
      </c>
      <c r="M904" t="s">
        <v>78</v>
      </c>
      <c r="N904" t="s">
        <v>79</v>
      </c>
      <c r="O904" t="s">
        <v>74</v>
      </c>
      <c r="P904" t="s">
        <v>74</v>
      </c>
      <c r="Q904" t="s">
        <v>74</v>
      </c>
      <c r="R904" t="s">
        <v>74</v>
      </c>
      <c r="S904" t="s">
        <v>74</v>
      </c>
      <c r="T904" t="s">
        <v>74</v>
      </c>
      <c r="U904" t="s">
        <v>17199</v>
      </c>
      <c r="V904" t="s">
        <v>17200</v>
      </c>
      <c r="W904" t="s">
        <v>17201</v>
      </c>
      <c r="X904" t="s">
        <v>17202</v>
      </c>
      <c r="Y904" t="s">
        <v>17203</v>
      </c>
      <c r="Z904" t="s">
        <v>17204</v>
      </c>
      <c r="AA904" t="s">
        <v>17205</v>
      </c>
      <c r="AB904" t="s">
        <v>17206</v>
      </c>
      <c r="AC904" t="s">
        <v>17207</v>
      </c>
      <c r="AD904" t="s">
        <v>17208</v>
      </c>
      <c r="AE904" t="s">
        <v>17209</v>
      </c>
      <c r="AF904" t="s">
        <v>74</v>
      </c>
      <c r="AG904">
        <v>53</v>
      </c>
      <c r="AH904">
        <v>9</v>
      </c>
      <c r="AI904">
        <v>9</v>
      </c>
      <c r="AJ904">
        <v>8</v>
      </c>
      <c r="AK904">
        <v>20</v>
      </c>
      <c r="AL904" t="s">
        <v>126</v>
      </c>
      <c r="AM904" t="s">
        <v>127</v>
      </c>
      <c r="AN904" t="s">
        <v>128</v>
      </c>
      <c r="AO904" t="s">
        <v>8456</v>
      </c>
      <c r="AP904" t="s">
        <v>8457</v>
      </c>
      <c r="AQ904" t="s">
        <v>74</v>
      </c>
      <c r="AR904" t="s">
        <v>8458</v>
      </c>
      <c r="AS904" t="s">
        <v>8459</v>
      </c>
      <c r="AT904" t="s">
        <v>17086</v>
      </c>
      <c r="AU904">
        <v>2022</v>
      </c>
      <c r="AV904">
        <v>22</v>
      </c>
      <c r="AW904">
        <v>20</v>
      </c>
      <c r="AX904" t="s">
        <v>74</v>
      </c>
      <c r="AY904" t="s">
        <v>74</v>
      </c>
      <c r="AZ904" t="s">
        <v>74</v>
      </c>
      <c r="BA904" t="s">
        <v>74</v>
      </c>
      <c r="BB904">
        <v>13695</v>
      </c>
      <c r="BC904">
        <v>13711</v>
      </c>
      <c r="BD904" t="s">
        <v>74</v>
      </c>
      <c r="BE904" t="s">
        <v>17210</v>
      </c>
      <c r="BF904" t="str">
        <f>HYPERLINK("http://dx.doi.org/10.5194/acp-22-13695-2022","http://dx.doi.org/10.5194/acp-22-13695-2022")</f>
        <v>http://dx.doi.org/10.5194/acp-22-13695-2022</v>
      </c>
      <c r="BG904" t="s">
        <v>74</v>
      </c>
      <c r="BH904" t="s">
        <v>74</v>
      </c>
      <c r="BI904">
        <v>17</v>
      </c>
      <c r="BJ904" t="s">
        <v>5429</v>
      </c>
      <c r="BK904" t="s">
        <v>104</v>
      </c>
      <c r="BL904" t="s">
        <v>355</v>
      </c>
      <c r="BM904" t="s">
        <v>17211</v>
      </c>
      <c r="BN904" t="s">
        <v>74</v>
      </c>
      <c r="BO904" t="s">
        <v>1464</v>
      </c>
      <c r="BP904" t="s">
        <v>74</v>
      </c>
      <c r="BQ904" t="s">
        <v>74</v>
      </c>
      <c r="BR904" t="s">
        <v>108</v>
      </c>
      <c r="BS904" t="s">
        <v>17212</v>
      </c>
      <c r="BT904" t="str">
        <f>HYPERLINK("https%3A%2F%2Fwww.webofscience.com%2Fwos%2Fwoscc%2Ffull-record%2FWOS:000870782300001","View Full Record in Web of Science")</f>
        <v>View Full Record in Web of Science</v>
      </c>
    </row>
    <row r="905" spans="1:72" x14ac:dyDescent="0.15">
      <c r="A905" t="s">
        <v>72</v>
      </c>
      <c r="B905" t="s">
        <v>17213</v>
      </c>
      <c r="C905" t="s">
        <v>74</v>
      </c>
      <c r="D905" t="s">
        <v>74</v>
      </c>
      <c r="E905" t="s">
        <v>74</v>
      </c>
      <c r="F905" t="s">
        <v>17214</v>
      </c>
      <c r="G905" t="s">
        <v>74</v>
      </c>
      <c r="H905" t="s">
        <v>74</v>
      </c>
      <c r="I905" t="s">
        <v>17215</v>
      </c>
      <c r="J905" t="s">
        <v>7392</v>
      </c>
      <c r="K905" t="s">
        <v>74</v>
      </c>
      <c r="L905" t="s">
        <v>74</v>
      </c>
      <c r="M905" t="s">
        <v>78</v>
      </c>
      <c r="N905" t="s">
        <v>79</v>
      </c>
      <c r="O905" t="s">
        <v>74</v>
      </c>
      <c r="P905" t="s">
        <v>74</v>
      </c>
      <c r="Q905" t="s">
        <v>74</v>
      </c>
      <c r="R905" t="s">
        <v>74</v>
      </c>
      <c r="S905" t="s">
        <v>74</v>
      </c>
      <c r="T905" t="s">
        <v>74</v>
      </c>
      <c r="U905" t="s">
        <v>17216</v>
      </c>
      <c r="V905" t="s">
        <v>17217</v>
      </c>
      <c r="W905" t="s">
        <v>17218</v>
      </c>
      <c r="X905" t="s">
        <v>17219</v>
      </c>
      <c r="Y905" t="s">
        <v>17220</v>
      </c>
      <c r="Z905" t="s">
        <v>17221</v>
      </c>
      <c r="AA905" t="s">
        <v>17222</v>
      </c>
      <c r="AB905" t="s">
        <v>17223</v>
      </c>
      <c r="AC905" t="s">
        <v>17224</v>
      </c>
      <c r="AD905" t="s">
        <v>17225</v>
      </c>
      <c r="AE905" t="s">
        <v>17226</v>
      </c>
      <c r="AF905" t="s">
        <v>74</v>
      </c>
      <c r="AG905">
        <v>72</v>
      </c>
      <c r="AH905">
        <v>3</v>
      </c>
      <c r="AI905">
        <v>3</v>
      </c>
      <c r="AJ905">
        <v>3</v>
      </c>
      <c r="AK905">
        <v>14</v>
      </c>
      <c r="AL905" t="s">
        <v>126</v>
      </c>
      <c r="AM905" t="s">
        <v>127</v>
      </c>
      <c r="AN905" t="s">
        <v>128</v>
      </c>
      <c r="AO905" t="s">
        <v>7401</v>
      </c>
      <c r="AP905" t="s">
        <v>7402</v>
      </c>
      <c r="AQ905" t="s">
        <v>74</v>
      </c>
      <c r="AR905" t="s">
        <v>7392</v>
      </c>
      <c r="AS905" t="s">
        <v>7403</v>
      </c>
      <c r="AT905" t="s">
        <v>17086</v>
      </c>
      <c r="AU905">
        <v>2022</v>
      </c>
      <c r="AV905">
        <v>16</v>
      </c>
      <c r="AW905">
        <v>10</v>
      </c>
      <c r="AX905" t="s">
        <v>74</v>
      </c>
      <c r="AY905" t="s">
        <v>74</v>
      </c>
      <c r="AZ905" t="s">
        <v>74</v>
      </c>
      <c r="BA905" t="s">
        <v>74</v>
      </c>
      <c r="BB905">
        <v>4473</v>
      </c>
      <c r="BC905">
        <v>4490</v>
      </c>
      <c r="BD905" t="s">
        <v>74</v>
      </c>
      <c r="BE905" t="s">
        <v>17227</v>
      </c>
      <c r="BF905" t="str">
        <f>HYPERLINK("http://dx.doi.org/10.5194/tc-16-4473-2022","http://dx.doi.org/10.5194/tc-16-4473-2022")</f>
        <v>http://dx.doi.org/10.5194/tc-16-4473-2022</v>
      </c>
      <c r="BG905" t="s">
        <v>74</v>
      </c>
      <c r="BH905" t="s">
        <v>74</v>
      </c>
      <c r="BI905">
        <v>18</v>
      </c>
      <c r="BJ905" t="s">
        <v>611</v>
      </c>
      <c r="BK905" t="s">
        <v>104</v>
      </c>
      <c r="BL905" t="s">
        <v>612</v>
      </c>
      <c r="BM905" t="s">
        <v>17228</v>
      </c>
      <c r="BN905" t="s">
        <v>74</v>
      </c>
      <c r="BO905" t="s">
        <v>737</v>
      </c>
      <c r="BP905" t="s">
        <v>74</v>
      </c>
      <c r="BQ905" t="s">
        <v>74</v>
      </c>
      <c r="BR905" t="s">
        <v>108</v>
      </c>
      <c r="BS905" t="s">
        <v>17229</v>
      </c>
      <c r="BT905" t="str">
        <f>HYPERLINK("https%3A%2F%2Fwww.webofscience.com%2Fwos%2Fwoscc%2Ffull-record%2FWOS:000870778800001","View Full Record in Web of Science")</f>
        <v>View Full Record in Web of Science</v>
      </c>
    </row>
    <row r="906" spans="1:72" x14ac:dyDescent="0.15">
      <c r="A906" t="s">
        <v>72</v>
      </c>
      <c r="B906" t="s">
        <v>17230</v>
      </c>
      <c r="C906" t="s">
        <v>74</v>
      </c>
      <c r="D906" t="s">
        <v>74</v>
      </c>
      <c r="E906" t="s">
        <v>74</v>
      </c>
      <c r="F906" t="s">
        <v>17231</v>
      </c>
      <c r="G906" t="s">
        <v>74</v>
      </c>
      <c r="H906" t="s">
        <v>74</v>
      </c>
      <c r="I906" t="s">
        <v>17232</v>
      </c>
      <c r="J906" t="s">
        <v>17233</v>
      </c>
      <c r="K906" t="s">
        <v>74</v>
      </c>
      <c r="L906" t="s">
        <v>74</v>
      </c>
      <c r="M906" t="s">
        <v>78</v>
      </c>
      <c r="N906" t="s">
        <v>79</v>
      </c>
      <c r="O906" t="s">
        <v>74</v>
      </c>
      <c r="P906" t="s">
        <v>74</v>
      </c>
      <c r="Q906" t="s">
        <v>74</v>
      </c>
      <c r="R906" t="s">
        <v>74</v>
      </c>
      <c r="S906" t="s">
        <v>74</v>
      </c>
      <c r="T906" t="s">
        <v>74</v>
      </c>
      <c r="U906" t="s">
        <v>17234</v>
      </c>
      <c r="V906" t="s">
        <v>17235</v>
      </c>
      <c r="W906" t="s">
        <v>17236</v>
      </c>
      <c r="X906" t="s">
        <v>17237</v>
      </c>
      <c r="Y906" t="s">
        <v>17238</v>
      </c>
      <c r="Z906" t="s">
        <v>17239</v>
      </c>
      <c r="AA906" t="s">
        <v>17240</v>
      </c>
      <c r="AB906" t="s">
        <v>17241</v>
      </c>
      <c r="AC906" t="s">
        <v>17242</v>
      </c>
      <c r="AD906" t="s">
        <v>17243</v>
      </c>
      <c r="AE906" t="s">
        <v>17244</v>
      </c>
      <c r="AF906" t="s">
        <v>74</v>
      </c>
      <c r="AG906">
        <v>69</v>
      </c>
      <c r="AH906">
        <v>14</v>
      </c>
      <c r="AI906">
        <v>14</v>
      </c>
      <c r="AJ906">
        <v>0</v>
      </c>
      <c r="AK906">
        <v>8</v>
      </c>
      <c r="AL906" t="s">
        <v>126</v>
      </c>
      <c r="AM906" t="s">
        <v>127</v>
      </c>
      <c r="AN906" t="s">
        <v>128</v>
      </c>
      <c r="AO906" t="s">
        <v>17245</v>
      </c>
      <c r="AP906" t="s">
        <v>17246</v>
      </c>
      <c r="AQ906" t="s">
        <v>74</v>
      </c>
      <c r="AR906" t="s">
        <v>17247</v>
      </c>
      <c r="AS906" t="s">
        <v>17248</v>
      </c>
      <c r="AT906" t="s">
        <v>17086</v>
      </c>
      <c r="AU906">
        <v>2022</v>
      </c>
      <c r="AV906">
        <v>18</v>
      </c>
      <c r="AW906">
        <v>5</v>
      </c>
      <c r="AX906" t="s">
        <v>74</v>
      </c>
      <c r="AY906" t="s">
        <v>74</v>
      </c>
      <c r="AZ906" t="s">
        <v>74</v>
      </c>
      <c r="BA906" t="s">
        <v>74</v>
      </c>
      <c r="BB906">
        <v>1507</v>
      </c>
      <c r="BC906">
        <v>1533</v>
      </c>
      <c r="BD906" t="s">
        <v>74</v>
      </c>
      <c r="BE906" t="s">
        <v>17249</v>
      </c>
      <c r="BF906" t="str">
        <f>HYPERLINK("http://dx.doi.org/10.5194/os-18-1507-2022","http://dx.doi.org/10.5194/os-18-1507-2022")</f>
        <v>http://dx.doi.org/10.5194/os-18-1507-2022</v>
      </c>
      <c r="BG906" t="s">
        <v>74</v>
      </c>
      <c r="BH906" t="s">
        <v>74</v>
      </c>
      <c r="BI906">
        <v>27</v>
      </c>
      <c r="BJ906" t="s">
        <v>8116</v>
      </c>
      <c r="BK906" t="s">
        <v>104</v>
      </c>
      <c r="BL906" t="s">
        <v>8116</v>
      </c>
      <c r="BM906" t="s">
        <v>17250</v>
      </c>
      <c r="BN906" t="s">
        <v>74</v>
      </c>
      <c r="BO906" t="s">
        <v>17251</v>
      </c>
      <c r="BP906" t="s">
        <v>74</v>
      </c>
      <c r="BQ906" t="s">
        <v>74</v>
      </c>
      <c r="BR906" t="s">
        <v>108</v>
      </c>
      <c r="BS906" t="s">
        <v>17252</v>
      </c>
      <c r="BT906" t="str">
        <f>HYPERLINK("https%3A%2F%2Fwww.webofscience.com%2Fwos%2Fwoscc%2Ffull-record%2FWOS:000870781700001","View Full Record in Web of Science")</f>
        <v>View Full Record in Web of Science</v>
      </c>
    </row>
    <row r="907" spans="1:72" x14ac:dyDescent="0.15">
      <c r="A907" t="s">
        <v>72</v>
      </c>
      <c r="B907" t="s">
        <v>17253</v>
      </c>
      <c r="C907" t="s">
        <v>74</v>
      </c>
      <c r="D907" t="s">
        <v>74</v>
      </c>
      <c r="E907" t="s">
        <v>74</v>
      </c>
      <c r="F907" t="s">
        <v>17254</v>
      </c>
      <c r="G907" t="s">
        <v>74</v>
      </c>
      <c r="H907" t="s">
        <v>74</v>
      </c>
      <c r="I907" t="s">
        <v>17255</v>
      </c>
      <c r="J907" t="s">
        <v>17256</v>
      </c>
      <c r="K907" t="s">
        <v>74</v>
      </c>
      <c r="L907" t="s">
        <v>74</v>
      </c>
      <c r="M907" t="s">
        <v>78</v>
      </c>
      <c r="N907" t="s">
        <v>79</v>
      </c>
      <c r="O907" t="s">
        <v>74</v>
      </c>
      <c r="P907" t="s">
        <v>74</v>
      </c>
      <c r="Q907" t="s">
        <v>74</v>
      </c>
      <c r="R907" t="s">
        <v>74</v>
      </c>
      <c r="S907" t="s">
        <v>74</v>
      </c>
      <c r="T907" t="s">
        <v>17257</v>
      </c>
      <c r="U907" t="s">
        <v>17258</v>
      </c>
      <c r="V907" t="s">
        <v>17259</v>
      </c>
      <c r="W907" t="s">
        <v>17260</v>
      </c>
      <c r="X907" t="s">
        <v>17261</v>
      </c>
      <c r="Y907" t="s">
        <v>17262</v>
      </c>
      <c r="Z907" t="s">
        <v>17263</v>
      </c>
      <c r="AA907" t="s">
        <v>17264</v>
      </c>
      <c r="AB907" t="s">
        <v>17265</v>
      </c>
      <c r="AC907" t="s">
        <v>17266</v>
      </c>
      <c r="AD907" t="s">
        <v>17267</v>
      </c>
      <c r="AE907" t="s">
        <v>17268</v>
      </c>
      <c r="AF907" t="s">
        <v>74</v>
      </c>
      <c r="AG907">
        <v>47</v>
      </c>
      <c r="AH907">
        <v>4</v>
      </c>
      <c r="AI907">
        <v>4</v>
      </c>
      <c r="AJ907">
        <v>7</v>
      </c>
      <c r="AK907">
        <v>17</v>
      </c>
      <c r="AL907" t="s">
        <v>12817</v>
      </c>
      <c r="AM907" t="s">
        <v>375</v>
      </c>
      <c r="AN907" t="s">
        <v>12818</v>
      </c>
      <c r="AO907" t="s">
        <v>17269</v>
      </c>
      <c r="AP907" t="s">
        <v>17270</v>
      </c>
      <c r="AQ907" t="s">
        <v>74</v>
      </c>
      <c r="AR907" t="s">
        <v>17271</v>
      </c>
      <c r="AS907" t="s">
        <v>17272</v>
      </c>
      <c r="AT907" t="s">
        <v>14975</v>
      </c>
      <c r="AU907">
        <v>2022</v>
      </c>
      <c r="AV907">
        <v>69</v>
      </c>
      <c r="AW907">
        <v>6</v>
      </c>
      <c r="AX907" t="s">
        <v>74</v>
      </c>
      <c r="AY907" t="s">
        <v>74</v>
      </c>
      <c r="AZ907" t="s">
        <v>74</v>
      </c>
      <c r="BA907" t="s">
        <v>74</v>
      </c>
      <c r="BB907" t="s">
        <v>17273</v>
      </c>
      <c r="BC907" t="s">
        <v>17274</v>
      </c>
      <c r="BD907" t="s">
        <v>74</v>
      </c>
      <c r="BE907" t="s">
        <v>17275</v>
      </c>
      <c r="BF907" t="str">
        <f>HYPERLINK("http://dx.doi.org/10.1111/tbed.14728","http://dx.doi.org/10.1111/tbed.14728")</f>
        <v>http://dx.doi.org/10.1111/tbed.14728</v>
      </c>
      <c r="BG907" t="s">
        <v>74</v>
      </c>
      <c r="BH907" t="s">
        <v>16236</v>
      </c>
      <c r="BI907">
        <v>11</v>
      </c>
      <c r="BJ907" t="s">
        <v>17276</v>
      </c>
      <c r="BK907" t="s">
        <v>104</v>
      </c>
      <c r="BL907" t="s">
        <v>17276</v>
      </c>
      <c r="BM907" t="s">
        <v>17277</v>
      </c>
      <c r="BN907">
        <v>36217218</v>
      </c>
      <c r="BO907" t="s">
        <v>165</v>
      </c>
      <c r="BP907" t="s">
        <v>74</v>
      </c>
      <c r="BQ907" t="s">
        <v>74</v>
      </c>
      <c r="BR907" t="s">
        <v>108</v>
      </c>
      <c r="BS907" t="s">
        <v>17278</v>
      </c>
      <c r="BT907" t="str">
        <f>HYPERLINK("https%3A%2F%2Fwww.webofscience.com%2Fwos%2Fwoscc%2Ffull-record%2FWOS:000870794400001","View Full Record in Web of Science")</f>
        <v>View Full Record in Web of Science</v>
      </c>
    </row>
    <row r="908" spans="1:72" x14ac:dyDescent="0.15">
      <c r="A908" t="s">
        <v>72</v>
      </c>
      <c r="B908" t="s">
        <v>17279</v>
      </c>
      <c r="C908" t="s">
        <v>74</v>
      </c>
      <c r="D908" t="s">
        <v>74</v>
      </c>
      <c r="E908" t="s">
        <v>74</v>
      </c>
      <c r="F908" t="s">
        <v>17280</v>
      </c>
      <c r="G908" t="s">
        <v>74</v>
      </c>
      <c r="H908" t="s">
        <v>74</v>
      </c>
      <c r="I908" t="s">
        <v>17281</v>
      </c>
      <c r="J908" t="s">
        <v>7102</v>
      </c>
      <c r="K908" t="s">
        <v>74</v>
      </c>
      <c r="L908" t="s">
        <v>74</v>
      </c>
      <c r="M908" t="s">
        <v>78</v>
      </c>
      <c r="N908" t="s">
        <v>79</v>
      </c>
      <c r="O908" t="s">
        <v>74</v>
      </c>
      <c r="P908" t="s">
        <v>74</v>
      </c>
      <c r="Q908" t="s">
        <v>74</v>
      </c>
      <c r="R908" t="s">
        <v>74</v>
      </c>
      <c r="S908" t="s">
        <v>74</v>
      </c>
      <c r="T908" t="s">
        <v>17282</v>
      </c>
      <c r="U908" t="s">
        <v>17283</v>
      </c>
      <c r="V908" t="s">
        <v>17284</v>
      </c>
      <c r="W908" t="s">
        <v>17285</v>
      </c>
      <c r="X908" t="s">
        <v>17286</v>
      </c>
      <c r="Y908" t="s">
        <v>17287</v>
      </c>
      <c r="Z908" t="s">
        <v>17288</v>
      </c>
      <c r="AA908" t="s">
        <v>17289</v>
      </c>
      <c r="AB908" t="s">
        <v>17290</v>
      </c>
      <c r="AC908" t="s">
        <v>17291</v>
      </c>
      <c r="AD908" t="s">
        <v>17292</v>
      </c>
      <c r="AE908" t="s">
        <v>17293</v>
      </c>
      <c r="AF908" t="s">
        <v>74</v>
      </c>
      <c r="AG908">
        <v>69</v>
      </c>
      <c r="AH908">
        <v>2</v>
      </c>
      <c r="AI908">
        <v>2</v>
      </c>
      <c r="AJ908">
        <v>2</v>
      </c>
      <c r="AK908">
        <v>9</v>
      </c>
      <c r="AL908" t="s">
        <v>448</v>
      </c>
      <c r="AM908" t="s">
        <v>449</v>
      </c>
      <c r="AN908" t="s">
        <v>450</v>
      </c>
      <c r="AO908" t="s">
        <v>74</v>
      </c>
      <c r="AP908" t="s">
        <v>7115</v>
      </c>
      <c r="AQ908" t="s">
        <v>74</v>
      </c>
      <c r="AR908" t="s">
        <v>7116</v>
      </c>
      <c r="AS908" t="s">
        <v>7117</v>
      </c>
      <c r="AT908" t="s">
        <v>17294</v>
      </c>
      <c r="AU908">
        <v>2022</v>
      </c>
      <c r="AV908">
        <v>9</v>
      </c>
      <c r="AW908" t="s">
        <v>74</v>
      </c>
      <c r="AX908" t="s">
        <v>74</v>
      </c>
      <c r="AY908" t="s">
        <v>74</v>
      </c>
      <c r="AZ908" t="s">
        <v>74</v>
      </c>
      <c r="BA908" t="s">
        <v>74</v>
      </c>
      <c r="BB908" t="s">
        <v>74</v>
      </c>
      <c r="BC908" t="s">
        <v>74</v>
      </c>
      <c r="BD908">
        <v>1022957</v>
      </c>
      <c r="BE908" t="s">
        <v>17295</v>
      </c>
      <c r="BF908" t="str">
        <f>HYPERLINK("http://dx.doi.org/10.3389/fmars.2022.1022957","http://dx.doi.org/10.3389/fmars.2022.1022957")</f>
        <v>http://dx.doi.org/10.3389/fmars.2022.1022957</v>
      </c>
      <c r="BG908" t="s">
        <v>74</v>
      </c>
      <c r="BH908" t="s">
        <v>74</v>
      </c>
      <c r="BI908">
        <v>14</v>
      </c>
      <c r="BJ908" t="s">
        <v>6728</v>
      </c>
      <c r="BK908" t="s">
        <v>104</v>
      </c>
      <c r="BL908" t="s">
        <v>6729</v>
      </c>
      <c r="BM908" t="s">
        <v>17296</v>
      </c>
      <c r="BN908" t="s">
        <v>74</v>
      </c>
      <c r="BO908" t="s">
        <v>2832</v>
      </c>
      <c r="BP908" t="s">
        <v>74</v>
      </c>
      <c r="BQ908" t="s">
        <v>74</v>
      </c>
      <c r="BR908" t="s">
        <v>108</v>
      </c>
      <c r="BS908" t="s">
        <v>17297</v>
      </c>
      <c r="BT908" t="str">
        <f>HYPERLINK("https%3A%2F%2Fwww.webofscience.com%2Fwos%2Fwoscc%2Ffull-record%2FWOS:000888254600001","View Full Record in Web of Science")</f>
        <v>View Full Record in Web of Science</v>
      </c>
    </row>
    <row r="909" spans="1:72" x14ac:dyDescent="0.15">
      <c r="A909" t="s">
        <v>72</v>
      </c>
      <c r="B909" t="s">
        <v>17298</v>
      </c>
      <c r="C909" t="s">
        <v>74</v>
      </c>
      <c r="D909" t="s">
        <v>74</v>
      </c>
      <c r="E909" t="s">
        <v>74</v>
      </c>
      <c r="F909" t="s">
        <v>17299</v>
      </c>
      <c r="G909" t="s">
        <v>74</v>
      </c>
      <c r="H909" t="s">
        <v>74</v>
      </c>
      <c r="I909" t="s">
        <v>17300</v>
      </c>
      <c r="J909" t="s">
        <v>17301</v>
      </c>
      <c r="K909" t="s">
        <v>74</v>
      </c>
      <c r="L909" t="s">
        <v>74</v>
      </c>
      <c r="M909" t="s">
        <v>78</v>
      </c>
      <c r="N909" t="s">
        <v>79</v>
      </c>
      <c r="O909" t="s">
        <v>74</v>
      </c>
      <c r="P909" t="s">
        <v>74</v>
      </c>
      <c r="Q909" t="s">
        <v>74</v>
      </c>
      <c r="R909" t="s">
        <v>74</v>
      </c>
      <c r="S909" t="s">
        <v>74</v>
      </c>
      <c r="T909" t="s">
        <v>17302</v>
      </c>
      <c r="U909" t="s">
        <v>17303</v>
      </c>
      <c r="V909" t="s">
        <v>17304</v>
      </c>
      <c r="W909" t="s">
        <v>17305</v>
      </c>
      <c r="X909" t="s">
        <v>17306</v>
      </c>
      <c r="Y909" t="s">
        <v>17307</v>
      </c>
      <c r="Z909" t="s">
        <v>17308</v>
      </c>
      <c r="AA909" t="s">
        <v>17309</v>
      </c>
      <c r="AB909" t="s">
        <v>17310</v>
      </c>
      <c r="AC909" t="s">
        <v>17311</v>
      </c>
      <c r="AD909" t="s">
        <v>17312</v>
      </c>
      <c r="AE909" t="s">
        <v>17313</v>
      </c>
      <c r="AF909" t="s">
        <v>74</v>
      </c>
      <c r="AG909">
        <v>65</v>
      </c>
      <c r="AH909">
        <v>4</v>
      </c>
      <c r="AI909">
        <v>4</v>
      </c>
      <c r="AJ909">
        <v>4</v>
      </c>
      <c r="AK909">
        <v>13</v>
      </c>
      <c r="AL909" t="s">
        <v>448</v>
      </c>
      <c r="AM909" t="s">
        <v>449</v>
      </c>
      <c r="AN909" t="s">
        <v>450</v>
      </c>
      <c r="AO909" t="s">
        <v>74</v>
      </c>
      <c r="AP909" t="s">
        <v>17314</v>
      </c>
      <c r="AQ909" t="s">
        <v>74</v>
      </c>
      <c r="AR909" t="s">
        <v>17315</v>
      </c>
      <c r="AS909" t="s">
        <v>17316</v>
      </c>
      <c r="AT909" t="s">
        <v>17294</v>
      </c>
      <c r="AU909">
        <v>2022</v>
      </c>
      <c r="AV909">
        <v>9</v>
      </c>
      <c r="AW909" t="s">
        <v>74</v>
      </c>
      <c r="AX909" t="s">
        <v>74</v>
      </c>
      <c r="AY909" t="s">
        <v>74</v>
      </c>
      <c r="AZ909" t="s">
        <v>74</v>
      </c>
      <c r="BA909" t="s">
        <v>74</v>
      </c>
      <c r="BB909" t="s">
        <v>74</v>
      </c>
      <c r="BC909" t="s">
        <v>74</v>
      </c>
      <c r="BD909">
        <v>1042063</v>
      </c>
      <c r="BE909" t="s">
        <v>17317</v>
      </c>
      <c r="BF909" t="str">
        <f>HYPERLINK("http://dx.doi.org/10.3389/fvets.2022.1042063","http://dx.doi.org/10.3389/fvets.2022.1042063")</f>
        <v>http://dx.doi.org/10.3389/fvets.2022.1042063</v>
      </c>
      <c r="BG909" t="s">
        <v>74</v>
      </c>
      <c r="BH909" t="s">
        <v>74</v>
      </c>
      <c r="BI909">
        <v>10</v>
      </c>
      <c r="BJ909" t="s">
        <v>2924</v>
      </c>
      <c r="BK909" t="s">
        <v>104</v>
      </c>
      <c r="BL909" t="s">
        <v>2924</v>
      </c>
      <c r="BM909" t="s">
        <v>17318</v>
      </c>
      <c r="BN909">
        <v>36337198</v>
      </c>
      <c r="BO909" t="s">
        <v>3181</v>
      </c>
      <c r="BP909" t="s">
        <v>74</v>
      </c>
      <c r="BQ909" t="s">
        <v>74</v>
      </c>
      <c r="BR909" t="s">
        <v>108</v>
      </c>
      <c r="BS909" t="s">
        <v>17319</v>
      </c>
      <c r="BT909" t="str">
        <f>HYPERLINK("https%3A%2F%2Fwww.webofscience.com%2Fwos%2Fwoscc%2Ffull-record%2FWOS:000888281800001","View Full Record in Web of Science")</f>
        <v>View Full Record in Web of Science</v>
      </c>
    </row>
    <row r="910" spans="1:72" x14ac:dyDescent="0.15">
      <c r="A910" t="s">
        <v>72</v>
      </c>
      <c r="B910" t="s">
        <v>17320</v>
      </c>
      <c r="C910" t="s">
        <v>74</v>
      </c>
      <c r="D910" t="s">
        <v>74</v>
      </c>
      <c r="E910" t="s">
        <v>74</v>
      </c>
      <c r="F910" t="s">
        <v>17321</v>
      </c>
      <c r="G910" t="s">
        <v>74</v>
      </c>
      <c r="H910" t="s">
        <v>74</v>
      </c>
      <c r="I910" t="s">
        <v>17322</v>
      </c>
      <c r="J910" t="s">
        <v>7102</v>
      </c>
      <c r="K910" t="s">
        <v>74</v>
      </c>
      <c r="L910" t="s">
        <v>74</v>
      </c>
      <c r="M910" t="s">
        <v>78</v>
      </c>
      <c r="N910" t="s">
        <v>79</v>
      </c>
      <c r="O910" t="s">
        <v>74</v>
      </c>
      <c r="P910" t="s">
        <v>74</v>
      </c>
      <c r="Q910" t="s">
        <v>74</v>
      </c>
      <c r="R910" t="s">
        <v>74</v>
      </c>
      <c r="S910" t="s">
        <v>74</v>
      </c>
      <c r="T910" t="s">
        <v>17323</v>
      </c>
      <c r="U910" t="s">
        <v>74</v>
      </c>
      <c r="V910" t="s">
        <v>17324</v>
      </c>
      <c r="W910" t="s">
        <v>17325</v>
      </c>
      <c r="X910" t="s">
        <v>17326</v>
      </c>
      <c r="Y910" t="s">
        <v>17327</v>
      </c>
      <c r="Z910" t="s">
        <v>17328</v>
      </c>
      <c r="AA910" t="s">
        <v>74</v>
      </c>
      <c r="AB910" t="s">
        <v>74</v>
      </c>
      <c r="AC910" t="s">
        <v>17329</v>
      </c>
      <c r="AD910" t="s">
        <v>17330</v>
      </c>
      <c r="AE910" t="s">
        <v>17331</v>
      </c>
      <c r="AF910" t="s">
        <v>74</v>
      </c>
      <c r="AG910">
        <v>17</v>
      </c>
      <c r="AH910">
        <v>0</v>
      </c>
      <c r="AI910">
        <v>0</v>
      </c>
      <c r="AJ910">
        <v>6</v>
      </c>
      <c r="AK910">
        <v>12</v>
      </c>
      <c r="AL910" t="s">
        <v>448</v>
      </c>
      <c r="AM910" t="s">
        <v>449</v>
      </c>
      <c r="AN910" t="s">
        <v>450</v>
      </c>
      <c r="AO910" t="s">
        <v>74</v>
      </c>
      <c r="AP910" t="s">
        <v>7115</v>
      </c>
      <c r="AQ910" t="s">
        <v>74</v>
      </c>
      <c r="AR910" t="s">
        <v>7116</v>
      </c>
      <c r="AS910" t="s">
        <v>7117</v>
      </c>
      <c r="AT910" t="s">
        <v>17294</v>
      </c>
      <c r="AU910">
        <v>2022</v>
      </c>
      <c r="AV910">
        <v>9</v>
      </c>
      <c r="AW910" t="s">
        <v>74</v>
      </c>
      <c r="AX910" t="s">
        <v>74</v>
      </c>
      <c r="AY910" t="s">
        <v>74</v>
      </c>
      <c r="AZ910" t="s">
        <v>74</v>
      </c>
      <c r="BA910" t="s">
        <v>74</v>
      </c>
      <c r="BB910" t="s">
        <v>74</v>
      </c>
      <c r="BC910" t="s">
        <v>74</v>
      </c>
      <c r="BD910">
        <v>1020136</v>
      </c>
      <c r="BE910" t="s">
        <v>17332</v>
      </c>
      <c r="BF910" t="str">
        <f>HYPERLINK("http://dx.doi.org/10.3389/fmars.2022.1020136","http://dx.doi.org/10.3389/fmars.2022.1020136")</f>
        <v>http://dx.doi.org/10.3389/fmars.2022.1020136</v>
      </c>
      <c r="BG910" t="s">
        <v>74</v>
      </c>
      <c r="BH910" t="s">
        <v>74</v>
      </c>
      <c r="BI910">
        <v>10</v>
      </c>
      <c r="BJ910" t="s">
        <v>6728</v>
      </c>
      <c r="BK910" t="s">
        <v>104</v>
      </c>
      <c r="BL910" t="s">
        <v>6729</v>
      </c>
      <c r="BM910" t="s">
        <v>17333</v>
      </c>
      <c r="BN910" t="s">
        <v>74</v>
      </c>
      <c r="BO910" t="s">
        <v>165</v>
      </c>
      <c r="BP910" t="s">
        <v>74</v>
      </c>
      <c r="BQ910" t="s">
        <v>74</v>
      </c>
      <c r="BR910" t="s">
        <v>108</v>
      </c>
      <c r="BS910" t="s">
        <v>17334</v>
      </c>
      <c r="BT910" t="str">
        <f>HYPERLINK("https%3A%2F%2Fwww.webofscience.com%2Fwos%2Fwoscc%2Ffull-record%2FWOS:000879958600001","View Full Record in Web of Science")</f>
        <v>View Full Record in Web of Science</v>
      </c>
    </row>
    <row r="911" spans="1:72" x14ac:dyDescent="0.15">
      <c r="A911" t="s">
        <v>72</v>
      </c>
      <c r="B911" t="s">
        <v>17335</v>
      </c>
      <c r="C911" t="s">
        <v>74</v>
      </c>
      <c r="D911" t="s">
        <v>74</v>
      </c>
      <c r="E911" t="s">
        <v>74</v>
      </c>
      <c r="F911" t="s">
        <v>17336</v>
      </c>
      <c r="G911" t="s">
        <v>74</v>
      </c>
      <c r="H911" t="s">
        <v>74</v>
      </c>
      <c r="I911" t="s">
        <v>17337</v>
      </c>
      <c r="J911" t="s">
        <v>17338</v>
      </c>
      <c r="K911" t="s">
        <v>74</v>
      </c>
      <c r="L911" t="s">
        <v>74</v>
      </c>
      <c r="M911" t="s">
        <v>78</v>
      </c>
      <c r="N911" t="s">
        <v>79</v>
      </c>
      <c r="O911" t="s">
        <v>74</v>
      </c>
      <c r="P911" t="s">
        <v>74</v>
      </c>
      <c r="Q911" t="s">
        <v>74</v>
      </c>
      <c r="R911" t="s">
        <v>74</v>
      </c>
      <c r="S911" t="s">
        <v>74</v>
      </c>
      <c r="T911" t="s">
        <v>17339</v>
      </c>
      <c r="U911" t="s">
        <v>17340</v>
      </c>
      <c r="V911" t="s">
        <v>17341</v>
      </c>
      <c r="W911" t="s">
        <v>17342</v>
      </c>
      <c r="X911" t="s">
        <v>11164</v>
      </c>
      <c r="Y911" t="s">
        <v>17343</v>
      </c>
      <c r="Z911" t="s">
        <v>17344</v>
      </c>
      <c r="AA911" t="s">
        <v>17345</v>
      </c>
      <c r="AB911" t="s">
        <v>17346</v>
      </c>
      <c r="AC911" t="s">
        <v>17347</v>
      </c>
      <c r="AD911" t="s">
        <v>17348</v>
      </c>
      <c r="AE911" t="s">
        <v>17349</v>
      </c>
      <c r="AF911" t="s">
        <v>74</v>
      </c>
      <c r="AG911">
        <v>36</v>
      </c>
      <c r="AH911">
        <v>11</v>
      </c>
      <c r="AI911">
        <v>11</v>
      </c>
      <c r="AJ911">
        <v>21</v>
      </c>
      <c r="AK911">
        <v>90</v>
      </c>
      <c r="AL911" t="s">
        <v>237</v>
      </c>
      <c r="AM911" t="s">
        <v>238</v>
      </c>
      <c r="AN911" t="s">
        <v>239</v>
      </c>
      <c r="AO911" t="s">
        <v>17350</v>
      </c>
      <c r="AP911" t="s">
        <v>17351</v>
      </c>
      <c r="AQ911" t="s">
        <v>74</v>
      </c>
      <c r="AR911" t="s">
        <v>17352</v>
      </c>
      <c r="AS911" t="s">
        <v>17353</v>
      </c>
      <c r="AT911" t="s">
        <v>160</v>
      </c>
      <c r="AU911">
        <v>2023</v>
      </c>
      <c r="AV911">
        <v>656</v>
      </c>
      <c r="AW911" t="s">
        <v>74</v>
      </c>
      <c r="AX911" t="s">
        <v>12005</v>
      </c>
      <c r="AY911" t="s">
        <v>74</v>
      </c>
      <c r="AZ911" t="s">
        <v>74</v>
      </c>
      <c r="BA911" t="s">
        <v>74</v>
      </c>
      <c r="BB911" t="s">
        <v>74</v>
      </c>
      <c r="BC911" t="s">
        <v>74</v>
      </c>
      <c r="BD911">
        <v>130317</v>
      </c>
      <c r="BE911" t="s">
        <v>17354</v>
      </c>
      <c r="BF911" t="str">
        <f>HYPERLINK("http://dx.doi.org/10.1016/j.colsurfa.2022.130317","http://dx.doi.org/10.1016/j.colsurfa.2022.130317")</f>
        <v>http://dx.doi.org/10.1016/j.colsurfa.2022.130317</v>
      </c>
      <c r="BG911" t="s">
        <v>74</v>
      </c>
      <c r="BH911" t="s">
        <v>16236</v>
      </c>
      <c r="BI911">
        <v>11</v>
      </c>
      <c r="BJ911" t="s">
        <v>15307</v>
      </c>
      <c r="BK911" t="s">
        <v>104</v>
      </c>
      <c r="BL911" t="s">
        <v>7535</v>
      </c>
      <c r="BM911" t="s">
        <v>17355</v>
      </c>
      <c r="BN911" t="s">
        <v>74</v>
      </c>
      <c r="BO911" t="s">
        <v>74</v>
      </c>
      <c r="BP911" t="s">
        <v>74</v>
      </c>
      <c r="BQ911" t="s">
        <v>74</v>
      </c>
      <c r="BR911" t="s">
        <v>108</v>
      </c>
      <c r="BS911" t="s">
        <v>17356</v>
      </c>
      <c r="BT911" t="str">
        <f>HYPERLINK("https%3A%2F%2Fwww.webofscience.com%2Fwos%2Fwoscc%2Ffull-record%2FWOS:000877604800004","View Full Record in Web of Science")</f>
        <v>View Full Record in Web of Science</v>
      </c>
    </row>
    <row r="912" spans="1:72" x14ac:dyDescent="0.15">
      <c r="A912" t="s">
        <v>72</v>
      </c>
      <c r="B912" t="s">
        <v>17357</v>
      </c>
      <c r="C912" t="s">
        <v>74</v>
      </c>
      <c r="D912" t="s">
        <v>74</v>
      </c>
      <c r="E912" t="s">
        <v>74</v>
      </c>
      <c r="F912" t="s">
        <v>17358</v>
      </c>
      <c r="G912" t="s">
        <v>74</v>
      </c>
      <c r="H912" t="s">
        <v>74</v>
      </c>
      <c r="I912" t="s">
        <v>17359</v>
      </c>
      <c r="J912" t="s">
        <v>7392</v>
      </c>
      <c r="K912" t="s">
        <v>74</v>
      </c>
      <c r="L912" t="s">
        <v>74</v>
      </c>
      <c r="M912" t="s">
        <v>78</v>
      </c>
      <c r="N912" t="s">
        <v>79</v>
      </c>
      <c r="O912" t="s">
        <v>74</v>
      </c>
      <c r="P912" t="s">
        <v>74</v>
      </c>
      <c r="Q912" t="s">
        <v>74</v>
      </c>
      <c r="R912" t="s">
        <v>74</v>
      </c>
      <c r="S912" t="s">
        <v>74</v>
      </c>
      <c r="T912" t="s">
        <v>74</v>
      </c>
      <c r="U912" t="s">
        <v>17360</v>
      </c>
      <c r="V912" t="s">
        <v>17361</v>
      </c>
      <c r="W912" t="s">
        <v>17362</v>
      </c>
      <c r="X912" t="s">
        <v>16439</v>
      </c>
      <c r="Y912" t="s">
        <v>17363</v>
      </c>
      <c r="Z912" t="s">
        <v>17364</v>
      </c>
      <c r="AA912" t="s">
        <v>74</v>
      </c>
      <c r="AB912" t="s">
        <v>17365</v>
      </c>
      <c r="AC912" t="s">
        <v>17366</v>
      </c>
      <c r="AD912" t="s">
        <v>17367</v>
      </c>
      <c r="AE912" t="s">
        <v>17368</v>
      </c>
      <c r="AF912" t="s">
        <v>74</v>
      </c>
      <c r="AG912">
        <v>87</v>
      </c>
      <c r="AH912">
        <v>5</v>
      </c>
      <c r="AI912">
        <v>6</v>
      </c>
      <c r="AJ912">
        <v>1</v>
      </c>
      <c r="AK912">
        <v>6</v>
      </c>
      <c r="AL912" t="s">
        <v>126</v>
      </c>
      <c r="AM912" t="s">
        <v>127</v>
      </c>
      <c r="AN912" t="s">
        <v>128</v>
      </c>
      <c r="AO912" t="s">
        <v>7401</v>
      </c>
      <c r="AP912" t="s">
        <v>7402</v>
      </c>
      <c r="AQ912" t="s">
        <v>74</v>
      </c>
      <c r="AR912" t="s">
        <v>7392</v>
      </c>
      <c r="AS912" t="s">
        <v>7403</v>
      </c>
      <c r="AT912" t="s">
        <v>17294</v>
      </c>
      <c r="AU912">
        <v>2022</v>
      </c>
      <c r="AV912">
        <v>16</v>
      </c>
      <c r="AW912">
        <v>10</v>
      </c>
      <c r="AX912" t="s">
        <v>74</v>
      </c>
      <c r="AY912" t="s">
        <v>74</v>
      </c>
      <c r="AZ912" t="s">
        <v>74</v>
      </c>
      <c r="BA912" t="s">
        <v>74</v>
      </c>
      <c r="BB912">
        <v>4447</v>
      </c>
      <c r="BC912">
        <v>4472</v>
      </c>
      <c r="BD912" t="s">
        <v>74</v>
      </c>
      <c r="BE912" t="s">
        <v>17369</v>
      </c>
      <c r="BF912" t="str">
        <f>HYPERLINK("http://dx.doi.org/10.5194/tc-16-4447-2022","http://dx.doi.org/10.5194/tc-16-4447-2022")</f>
        <v>http://dx.doi.org/10.5194/tc-16-4447-2022</v>
      </c>
      <c r="BG912" t="s">
        <v>74</v>
      </c>
      <c r="BH912" t="s">
        <v>74</v>
      </c>
      <c r="BI912">
        <v>26</v>
      </c>
      <c r="BJ912" t="s">
        <v>611</v>
      </c>
      <c r="BK912" t="s">
        <v>104</v>
      </c>
      <c r="BL912" t="s">
        <v>612</v>
      </c>
      <c r="BM912" t="s">
        <v>17370</v>
      </c>
      <c r="BN912" t="s">
        <v>74</v>
      </c>
      <c r="BO912" t="s">
        <v>737</v>
      </c>
      <c r="BP912" t="s">
        <v>74</v>
      </c>
      <c r="BQ912" t="s">
        <v>74</v>
      </c>
      <c r="BR912" t="s">
        <v>108</v>
      </c>
      <c r="BS912" t="s">
        <v>17371</v>
      </c>
      <c r="BT912" t="str">
        <f>HYPERLINK("https%3A%2F%2Fwww.webofscience.com%2Fwos%2Fwoscc%2Ffull-record%2FWOS:000870226500001","View Full Record in Web of Science")</f>
        <v>View Full Record in Web of Science</v>
      </c>
    </row>
    <row r="913" spans="1:72" x14ac:dyDescent="0.15">
      <c r="A913" t="s">
        <v>72</v>
      </c>
      <c r="B913" t="s">
        <v>17372</v>
      </c>
      <c r="C913" t="s">
        <v>74</v>
      </c>
      <c r="D913" t="s">
        <v>74</v>
      </c>
      <c r="E913" t="s">
        <v>74</v>
      </c>
      <c r="F913" t="s">
        <v>17373</v>
      </c>
      <c r="G913" t="s">
        <v>74</v>
      </c>
      <c r="H913" t="s">
        <v>74</v>
      </c>
      <c r="I913" t="s">
        <v>17374</v>
      </c>
      <c r="J913" t="s">
        <v>8668</v>
      </c>
      <c r="K913" t="s">
        <v>74</v>
      </c>
      <c r="L913" t="s">
        <v>74</v>
      </c>
      <c r="M913" t="s">
        <v>78</v>
      </c>
      <c r="N913" t="s">
        <v>79</v>
      </c>
      <c r="O913" t="s">
        <v>74</v>
      </c>
      <c r="P913" t="s">
        <v>74</v>
      </c>
      <c r="Q913" t="s">
        <v>74</v>
      </c>
      <c r="R913" t="s">
        <v>74</v>
      </c>
      <c r="S913" t="s">
        <v>74</v>
      </c>
      <c r="T913" t="s">
        <v>74</v>
      </c>
      <c r="U913" t="s">
        <v>17375</v>
      </c>
      <c r="V913" t="s">
        <v>17376</v>
      </c>
      <c r="W913" t="s">
        <v>17377</v>
      </c>
      <c r="X913" t="s">
        <v>17378</v>
      </c>
      <c r="Y913" t="s">
        <v>17379</v>
      </c>
      <c r="Z913" t="s">
        <v>17380</v>
      </c>
      <c r="AA913" t="s">
        <v>17381</v>
      </c>
      <c r="AB913" t="s">
        <v>17382</v>
      </c>
      <c r="AC913" t="s">
        <v>17383</v>
      </c>
      <c r="AD913" t="s">
        <v>17384</v>
      </c>
      <c r="AE913" t="s">
        <v>17385</v>
      </c>
      <c r="AF913" t="s">
        <v>74</v>
      </c>
      <c r="AG913">
        <v>80</v>
      </c>
      <c r="AH913">
        <v>1</v>
      </c>
      <c r="AI913">
        <v>1</v>
      </c>
      <c r="AJ913">
        <v>0</v>
      </c>
      <c r="AK913">
        <v>4</v>
      </c>
      <c r="AL913" t="s">
        <v>297</v>
      </c>
      <c r="AM913" t="s">
        <v>298</v>
      </c>
      <c r="AN913" t="s">
        <v>299</v>
      </c>
      <c r="AO913" t="s">
        <v>8680</v>
      </c>
      <c r="AP913" t="s">
        <v>8681</v>
      </c>
      <c r="AQ913" t="s">
        <v>74</v>
      </c>
      <c r="AR913" t="s">
        <v>8682</v>
      </c>
      <c r="AS913" t="s">
        <v>8683</v>
      </c>
      <c r="AT913" t="s">
        <v>14975</v>
      </c>
      <c r="AU913">
        <v>2022</v>
      </c>
      <c r="AV913">
        <v>57</v>
      </c>
      <c r="AW913">
        <v>11</v>
      </c>
      <c r="AX913" t="s">
        <v>74</v>
      </c>
      <c r="AY913" t="s">
        <v>74</v>
      </c>
      <c r="AZ913" t="s">
        <v>74</v>
      </c>
      <c r="BA913" t="s">
        <v>74</v>
      </c>
      <c r="BB913">
        <v>2042</v>
      </c>
      <c r="BC913">
        <v>2062</v>
      </c>
      <c r="BD913" t="s">
        <v>74</v>
      </c>
      <c r="BE913" t="s">
        <v>17386</v>
      </c>
      <c r="BF913" t="str">
        <f>HYPERLINK("http://dx.doi.org/10.1111/maps.13919","http://dx.doi.org/10.1111/maps.13919")</f>
        <v>http://dx.doi.org/10.1111/maps.13919</v>
      </c>
      <c r="BG913" t="s">
        <v>74</v>
      </c>
      <c r="BH913" t="s">
        <v>16236</v>
      </c>
      <c r="BI913">
        <v>21</v>
      </c>
      <c r="BJ913" t="s">
        <v>430</v>
      </c>
      <c r="BK913" t="s">
        <v>104</v>
      </c>
      <c r="BL913" t="s">
        <v>430</v>
      </c>
      <c r="BM913" t="s">
        <v>17387</v>
      </c>
      <c r="BN913" t="s">
        <v>74</v>
      </c>
      <c r="BO913" t="s">
        <v>74</v>
      </c>
      <c r="BP913" t="s">
        <v>74</v>
      </c>
      <c r="BQ913" t="s">
        <v>74</v>
      </c>
      <c r="BR913" t="s">
        <v>108</v>
      </c>
      <c r="BS913" t="s">
        <v>17388</v>
      </c>
      <c r="BT913" t="str">
        <f>HYPERLINK("https%3A%2F%2Fwww.webofscience.com%2Fwos%2Fwoscc%2Ffull-record%2FWOS:000870413500001","View Full Record in Web of Science")</f>
        <v>View Full Record in Web of Science</v>
      </c>
    </row>
    <row r="914" spans="1:72" x14ac:dyDescent="0.15">
      <c r="A914" t="s">
        <v>72</v>
      </c>
      <c r="B914" t="s">
        <v>17389</v>
      </c>
      <c r="C914" t="s">
        <v>74</v>
      </c>
      <c r="D914" t="s">
        <v>74</v>
      </c>
      <c r="E914" t="s">
        <v>74</v>
      </c>
      <c r="F914" t="s">
        <v>17390</v>
      </c>
      <c r="G914" t="s">
        <v>74</v>
      </c>
      <c r="H914" t="s">
        <v>74</v>
      </c>
      <c r="I914" t="s">
        <v>17391</v>
      </c>
      <c r="J914" t="s">
        <v>17392</v>
      </c>
      <c r="K914" t="s">
        <v>74</v>
      </c>
      <c r="L914" t="s">
        <v>74</v>
      </c>
      <c r="M914" t="s">
        <v>78</v>
      </c>
      <c r="N914" t="s">
        <v>79</v>
      </c>
      <c r="O914" t="s">
        <v>74</v>
      </c>
      <c r="P914" t="s">
        <v>74</v>
      </c>
      <c r="Q914" t="s">
        <v>74</v>
      </c>
      <c r="R914" t="s">
        <v>74</v>
      </c>
      <c r="S914" t="s">
        <v>74</v>
      </c>
      <c r="T914" t="s">
        <v>17393</v>
      </c>
      <c r="U914" t="s">
        <v>17394</v>
      </c>
      <c r="V914" t="s">
        <v>17395</v>
      </c>
      <c r="W914" t="s">
        <v>17396</v>
      </c>
      <c r="X914" t="s">
        <v>17397</v>
      </c>
      <c r="Y914" t="s">
        <v>17398</v>
      </c>
      <c r="Z914" t="s">
        <v>17399</v>
      </c>
      <c r="AA914" t="s">
        <v>74</v>
      </c>
      <c r="AB914" t="s">
        <v>17400</v>
      </c>
      <c r="AC914" t="s">
        <v>17401</v>
      </c>
      <c r="AD914" t="s">
        <v>17401</v>
      </c>
      <c r="AE914" t="s">
        <v>17402</v>
      </c>
      <c r="AF914" t="s">
        <v>74</v>
      </c>
      <c r="AG914">
        <v>62</v>
      </c>
      <c r="AH914">
        <v>2</v>
      </c>
      <c r="AI914">
        <v>2</v>
      </c>
      <c r="AJ914">
        <v>0</v>
      </c>
      <c r="AK914">
        <v>6</v>
      </c>
      <c r="AL914" t="s">
        <v>297</v>
      </c>
      <c r="AM914" t="s">
        <v>298</v>
      </c>
      <c r="AN914" t="s">
        <v>299</v>
      </c>
      <c r="AO914" t="s">
        <v>17403</v>
      </c>
      <c r="AP914" t="s">
        <v>17404</v>
      </c>
      <c r="AQ914" t="s">
        <v>74</v>
      </c>
      <c r="AR914" t="s">
        <v>17405</v>
      </c>
      <c r="AS914" t="s">
        <v>17406</v>
      </c>
      <c r="AT914" t="s">
        <v>276</v>
      </c>
      <c r="AU914">
        <v>2023</v>
      </c>
      <c r="AV914">
        <v>71</v>
      </c>
      <c r="AW914">
        <v>1</v>
      </c>
      <c r="AX914" t="s">
        <v>74</v>
      </c>
      <c r="AY914" t="s">
        <v>74</v>
      </c>
      <c r="AZ914" t="s">
        <v>74</v>
      </c>
      <c r="BA914" t="s">
        <v>74</v>
      </c>
      <c r="BB914">
        <v>56</v>
      </c>
      <c r="BC914">
        <v>71</v>
      </c>
      <c r="BD914" t="s">
        <v>74</v>
      </c>
      <c r="BE914" t="s">
        <v>17407</v>
      </c>
      <c r="BF914" t="str">
        <f>HYPERLINK("http://dx.doi.org/10.1111/pre.12502","http://dx.doi.org/10.1111/pre.12502")</f>
        <v>http://dx.doi.org/10.1111/pre.12502</v>
      </c>
      <c r="BG914" t="s">
        <v>74</v>
      </c>
      <c r="BH914" t="s">
        <v>16236</v>
      </c>
      <c r="BI914">
        <v>16</v>
      </c>
      <c r="BJ914" t="s">
        <v>2572</v>
      </c>
      <c r="BK914" t="s">
        <v>104</v>
      </c>
      <c r="BL914" t="s">
        <v>2572</v>
      </c>
      <c r="BM914" t="s">
        <v>17408</v>
      </c>
      <c r="BN914" t="s">
        <v>74</v>
      </c>
      <c r="BO914" t="s">
        <v>219</v>
      </c>
      <c r="BP914" t="s">
        <v>74</v>
      </c>
      <c r="BQ914" t="s">
        <v>74</v>
      </c>
      <c r="BR914" t="s">
        <v>108</v>
      </c>
      <c r="BS914" t="s">
        <v>17409</v>
      </c>
      <c r="BT914" t="str">
        <f>HYPERLINK("https%3A%2F%2Fwww.webofscience.com%2Fwos%2Fwoscc%2Ffull-record%2FWOS:000870308500001","View Full Record in Web of Science")</f>
        <v>View Full Record in Web of Science</v>
      </c>
    </row>
    <row r="915" spans="1:72" x14ac:dyDescent="0.15">
      <c r="A915" t="s">
        <v>72</v>
      </c>
      <c r="B915" t="s">
        <v>17410</v>
      </c>
      <c r="C915" t="s">
        <v>74</v>
      </c>
      <c r="D915" t="s">
        <v>74</v>
      </c>
      <c r="E915" t="s">
        <v>74</v>
      </c>
      <c r="F915" t="s">
        <v>17411</v>
      </c>
      <c r="G915" t="s">
        <v>74</v>
      </c>
      <c r="H915" t="s">
        <v>74</v>
      </c>
      <c r="I915" t="s">
        <v>17412</v>
      </c>
      <c r="J915" t="s">
        <v>17413</v>
      </c>
      <c r="K915" t="s">
        <v>74</v>
      </c>
      <c r="L915" t="s">
        <v>74</v>
      </c>
      <c r="M915" t="s">
        <v>78</v>
      </c>
      <c r="N915" t="s">
        <v>79</v>
      </c>
      <c r="O915" t="s">
        <v>74</v>
      </c>
      <c r="P915" t="s">
        <v>74</v>
      </c>
      <c r="Q915" t="s">
        <v>74</v>
      </c>
      <c r="R915" t="s">
        <v>74</v>
      </c>
      <c r="S915" t="s">
        <v>74</v>
      </c>
      <c r="T915" t="s">
        <v>74</v>
      </c>
      <c r="U915" t="s">
        <v>17414</v>
      </c>
      <c r="V915" t="s">
        <v>17415</v>
      </c>
      <c r="W915" t="s">
        <v>17416</v>
      </c>
      <c r="X915" t="s">
        <v>17417</v>
      </c>
      <c r="Y915" t="s">
        <v>17418</v>
      </c>
      <c r="Z915" t="s">
        <v>17419</v>
      </c>
      <c r="AA915" t="s">
        <v>17420</v>
      </c>
      <c r="AB915" t="s">
        <v>17421</v>
      </c>
      <c r="AC915" t="s">
        <v>17422</v>
      </c>
      <c r="AD915" t="s">
        <v>17423</v>
      </c>
      <c r="AE915" t="s">
        <v>17424</v>
      </c>
      <c r="AF915" t="s">
        <v>74</v>
      </c>
      <c r="AG915">
        <v>133</v>
      </c>
      <c r="AH915">
        <v>2</v>
      </c>
      <c r="AI915">
        <v>2</v>
      </c>
      <c r="AJ915">
        <v>0</v>
      </c>
      <c r="AK915">
        <v>1</v>
      </c>
      <c r="AL915" t="s">
        <v>7679</v>
      </c>
      <c r="AM915" t="s">
        <v>7680</v>
      </c>
      <c r="AN915" t="s">
        <v>7681</v>
      </c>
      <c r="AO915" t="s">
        <v>17425</v>
      </c>
      <c r="AP915" t="s">
        <v>17426</v>
      </c>
      <c r="AQ915" t="s">
        <v>74</v>
      </c>
      <c r="AR915" t="s">
        <v>17427</v>
      </c>
      <c r="AS915" t="s">
        <v>17428</v>
      </c>
      <c r="AT915" t="s">
        <v>17429</v>
      </c>
      <c r="AU915">
        <v>2022</v>
      </c>
      <c r="AV915">
        <v>135</v>
      </c>
      <c r="AW915" t="s">
        <v>17430</v>
      </c>
      <c r="AX915" t="s">
        <v>74</v>
      </c>
      <c r="AY915" t="s">
        <v>74</v>
      </c>
      <c r="AZ915" t="s">
        <v>74</v>
      </c>
      <c r="BA915" t="s">
        <v>74</v>
      </c>
      <c r="BB915">
        <v>1503</v>
      </c>
      <c r="BC915">
        <v>1529</v>
      </c>
      <c r="BD915" t="s">
        <v>74</v>
      </c>
      <c r="BE915" t="s">
        <v>17431</v>
      </c>
      <c r="BF915" t="str">
        <f>HYPERLINK("http://dx.doi.org/10.1130/B36531.1","http://dx.doi.org/10.1130/B36531.1")</f>
        <v>http://dx.doi.org/10.1130/B36531.1</v>
      </c>
      <c r="BG915" t="s">
        <v>74</v>
      </c>
      <c r="BH915" t="s">
        <v>74</v>
      </c>
      <c r="BI915">
        <v>27</v>
      </c>
      <c r="BJ915" t="s">
        <v>455</v>
      </c>
      <c r="BK915" t="s">
        <v>104</v>
      </c>
      <c r="BL915" t="s">
        <v>456</v>
      </c>
      <c r="BM915" t="s">
        <v>17432</v>
      </c>
      <c r="BN915" t="s">
        <v>74</v>
      </c>
      <c r="BO915" t="s">
        <v>1279</v>
      </c>
      <c r="BP915" t="s">
        <v>74</v>
      </c>
      <c r="BQ915" t="s">
        <v>74</v>
      </c>
      <c r="BR915" t="s">
        <v>108</v>
      </c>
      <c r="BS915" t="s">
        <v>17433</v>
      </c>
      <c r="BT915" t="str">
        <f>HYPERLINK("https%3A%2F%2Fwww.webofscience.com%2Fwos%2Fwoscc%2Ffull-record%2FWOS:000989092000001","View Full Record in Web of Science")</f>
        <v>View Full Record in Web of Science</v>
      </c>
    </row>
    <row r="916" spans="1:72" x14ac:dyDescent="0.15">
      <c r="A916" t="s">
        <v>72</v>
      </c>
      <c r="B916" t="s">
        <v>17434</v>
      </c>
      <c r="C916" t="s">
        <v>74</v>
      </c>
      <c r="D916" t="s">
        <v>74</v>
      </c>
      <c r="E916" t="s">
        <v>74</v>
      </c>
      <c r="F916" t="s">
        <v>17435</v>
      </c>
      <c r="G916" t="s">
        <v>74</v>
      </c>
      <c r="H916" t="s">
        <v>74</v>
      </c>
      <c r="I916" t="s">
        <v>17436</v>
      </c>
      <c r="J916" t="s">
        <v>14406</v>
      </c>
      <c r="K916" t="s">
        <v>74</v>
      </c>
      <c r="L916" t="s">
        <v>74</v>
      </c>
      <c r="M916" t="s">
        <v>78</v>
      </c>
      <c r="N916" t="s">
        <v>79</v>
      </c>
      <c r="O916" t="s">
        <v>74</v>
      </c>
      <c r="P916" t="s">
        <v>74</v>
      </c>
      <c r="Q916" t="s">
        <v>74</v>
      </c>
      <c r="R916" t="s">
        <v>74</v>
      </c>
      <c r="S916" t="s">
        <v>74</v>
      </c>
      <c r="T916" t="s">
        <v>17437</v>
      </c>
      <c r="U916" t="s">
        <v>17438</v>
      </c>
      <c r="V916" t="s">
        <v>17439</v>
      </c>
      <c r="W916" t="s">
        <v>17440</v>
      </c>
      <c r="X916" t="s">
        <v>17441</v>
      </c>
      <c r="Y916" t="s">
        <v>17442</v>
      </c>
      <c r="Z916" t="s">
        <v>17443</v>
      </c>
      <c r="AA916" t="s">
        <v>17444</v>
      </c>
      <c r="AB916" t="s">
        <v>17445</v>
      </c>
      <c r="AC916" t="s">
        <v>17446</v>
      </c>
      <c r="AD916" t="s">
        <v>17447</v>
      </c>
      <c r="AE916" t="s">
        <v>17448</v>
      </c>
      <c r="AF916" t="s">
        <v>74</v>
      </c>
      <c r="AG916">
        <v>70</v>
      </c>
      <c r="AH916">
        <v>2</v>
      </c>
      <c r="AI916">
        <v>3</v>
      </c>
      <c r="AJ916">
        <v>4</v>
      </c>
      <c r="AK916">
        <v>14</v>
      </c>
      <c r="AL916" t="s">
        <v>237</v>
      </c>
      <c r="AM916" t="s">
        <v>238</v>
      </c>
      <c r="AN916" t="s">
        <v>239</v>
      </c>
      <c r="AO916" t="s">
        <v>14418</v>
      </c>
      <c r="AP916" t="s">
        <v>14419</v>
      </c>
      <c r="AQ916" t="s">
        <v>74</v>
      </c>
      <c r="AR916" t="s">
        <v>14420</v>
      </c>
      <c r="AS916" t="s">
        <v>14421</v>
      </c>
      <c r="AT916" t="s">
        <v>9839</v>
      </c>
      <c r="AU916">
        <v>2022</v>
      </c>
      <c r="AV916">
        <v>599</v>
      </c>
      <c r="AW916" t="s">
        <v>74</v>
      </c>
      <c r="AX916" t="s">
        <v>74</v>
      </c>
      <c r="AY916" t="s">
        <v>74</v>
      </c>
      <c r="AZ916" t="s">
        <v>74</v>
      </c>
      <c r="BA916" t="s">
        <v>74</v>
      </c>
      <c r="BB916" t="s">
        <v>74</v>
      </c>
      <c r="BC916" t="s">
        <v>74</v>
      </c>
      <c r="BD916">
        <v>117846</v>
      </c>
      <c r="BE916" t="s">
        <v>17449</v>
      </c>
      <c r="BF916" t="str">
        <f>HYPERLINK("http://dx.doi.org/10.1016/j.epsl.2022.117846","http://dx.doi.org/10.1016/j.epsl.2022.117846")</f>
        <v>http://dx.doi.org/10.1016/j.epsl.2022.117846</v>
      </c>
      <c r="BG916" t="s">
        <v>74</v>
      </c>
      <c r="BH916" t="s">
        <v>16236</v>
      </c>
      <c r="BI916">
        <v>14</v>
      </c>
      <c r="BJ916" t="s">
        <v>430</v>
      </c>
      <c r="BK916" t="s">
        <v>104</v>
      </c>
      <c r="BL916" t="s">
        <v>430</v>
      </c>
      <c r="BM916" t="s">
        <v>17450</v>
      </c>
      <c r="BN916" t="s">
        <v>74</v>
      </c>
      <c r="BO916" t="s">
        <v>248</v>
      </c>
      <c r="BP916" t="s">
        <v>74</v>
      </c>
      <c r="BQ916" t="s">
        <v>74</v>
      </c>
      <c r="BR916" t="s">
        <v>108</v>
      </c>
      <c r="BS916" t="s">
        <v>17451</v>
      </c>
      <c r="BT916" t="str">
        <f>HYPERLINK("https%3A%2F%2Fwww.webofscience.com%2Fwos%2Fwoscc%2Ffull-record%2FWOS:000880090200003","View Full Record in Web of Science")</f>
        <v>View Full Record in Web of Science</v>
      </c>
    </row>
    <row r="917" spans="1:72" x14ac:dyDescent="0.15">
      <c r="A917" t="s">
        <v>72</v>
      </c>
      <c r="B917" t="s">
        <v>17452</v>
      </c>
      <c r="C917" t="s">
        <v>74</v>
      </c>
      <c r="D917" t="s">
        <v>74</v>
      </c>
      <c r="E917" t="s">
        <v>74</v>
      </c>
      <c r="F917" t="s">
        <v>17453</v>
      </c>
      <c r="G917" t="s">
        <v>74</v>
      </c>
      <c r="H917" t="s">
        <v>74</v>
      </c>
      <c r="I917" t="s">
        <v>17454</v>
      </c>
      <c r="J917" t="s">
        <v>618</v>
      </c>
      <c r="K917" t="s">
        <v>74</v>
      </c>
      <c r="L917" t="s">
        <v>74</v>
      </c>
      <c r="M917" t="s">
        <v>78</v>
      </c>
      <c r="N917" t="s">
        <v>79</v>
      </c>
      <c r="O917" t="s">
        <v>74</v>
      </c>
      <c r="P917" t="s">
        <v>74</v>
      </c>
      <c r="Q917" t="s">
        <v>74</v>
      </c>
      <c r="R917" t="s">
        <v>74</v>
      </c>
      <c r="S917" t="s">
        <v>74</v>
      </c>
      <c r="T917" t="s">
        <v>17455</v>
      </c>
      <c r="U917" t="s">
        <v>17456</v>
      </c>
      <c r="V917" t="s">
        <v>17457</v>
      </c>
      <c r="W917" t="s">
        <v>17458</v>
      </c>
      <c r="X917" t="s">
        <v>17459</v>
      </c>
      <c r="Y917" t="s">
        <v>17460</v>
      </c>
      <c r="Z917" t="s">
        <v>17461</v>
      </c>
      <c r="AA917" t="s">
        <v>17462</v>
      </c>
      <c r="AB917" t="s">
        <v>74</v>
      </c>
      <c r="AC917" t="s">
        <v>17463</v>
      </c>
      <c r="AD917" t="s">
        <v>17464</v>
      </c>
      <c r="AE917" t="s">
        <v>17465</v>
      </c>
      <c r="AF917" t="s">
        <v>74</v>
      </c>
      <c r="AG917">
        <v>88</v>
      </c>
      <c r="AH917">
        <v>2</v>
      </c>
      <c r="AI917">
        <v>2</v>
      </c>
      <c r="AJ917">
        <v>4</v>
      </c>
      <c r="AK917">
        <v>16</v>
      </c>
      <c r="AL917" t="s">
        <v>269</v>
      </c>
      <c r="AM917" t="s">
        <v>93</v>
      </c>
      <c r="AN917" t="s">
        <v>397</v>
      </c>
      <c r="AO917" t="s">
        <v>630</v>
      </c>
      <c r="AP917" t="s">
        <v>631</v>
      </c>
      <c r="AQ917" t="s">
        <v>74</v>
      </c>
      <c r="AR917" t="s">
        <v>632</v>
      </c>
      <c r="AS917" t="s">
        <v>633</v>
      </c>
      <c r="AT917" t="s">
        <v>14975</v>
      </c>
      <c r="AU917">
        <v>2022</v>
      </c>
      <c r="AV917">
        <v>45</v>
      </c>
      <c r="AW917">
        <v>11</v>
      </c>
      <c r="AX917" t="s">
        <v>74</v>
      </c>
      <c r="AY917" t="s">
        <v>74</v>
      </c>
      <c r="AZ917" t="s">
        <v>74</v>
      </c>
      <c r="BA917" t="s">
        <v>74</v>
      </c>
      <c r="BB917">
        <v>1635</v>
      </c>
      <c r="BC917">
        <v>1653</v>
      </c>
      <c r="BD917" t="s">
        <v>74</v>
      </c>
      <c r="BE917" t="s">
        <v>17466</v>
      </c>
      <c r="BF917" t="str">
        <f>HYPERLINK("http://dx.doi.org/10.1007/s00300-022-03094-5","http://dx.doi.org/10.1007/s00300-022-03094-5")</f>
        <v>http://dx.doi.org/10.1007/s00300-022-03094-5</v>
      </c>
      <c r="BG917" t="s">
        <v>74</v>
      </c>
      <c r="BH917" t="s">
        <v>16236</v>
      </c>
      <c r="BI917">
        <v>19</v>
      </c>
      <c r="BJ917" t="s">
        <v>305</v>
      </c>
      <c r="BK917" t="s">
        <v>104</v>
      </c>
      <c r="BL917" t="s">
        <v>306</v>
      </c>
      <c r="BM917" t="s">
        <v>17467</v>
      </c>
      <c r="BN917" t="s">
        <v>74</v>
      </c>
      <c r="BO917" t="s">
        <v>14246</v>
      </c>
      <c r="BP917" t="s">
        <v>74</v>
      </c>
      <c r="BQ917" t="s">
        <v>74</v>
      </c>
      <c r="BR917" t="s">
        <v>108</v>
      </c>
      <c r="BS917" t="s">
        <v>17468</v>
      </c>
      <c r="BT917" t="str">
        <f>HYPERLINK("https%3A%2F%2Fwww.webofscience.com%2Fwos%2Fwoscc%2Ffull-record%2FWOS:000869568500001","View Full Record in Web of Science")</f>
        <v>View Full Record in Web of Science</v>
      </c>
    </row>
    <row r="918" spans="1:72" x14ac:dyDescent="0.15">
      <c r="A918" t="s">
        <v>72</v>
      </c>
      <c r="B918" t="s">
        <v>17469</v>
      </c>
      <c r="C918" t="s">
        <v>74</v>
      </c>
      <c r="D918" t="s">
        <v>74</v>
      </c>
      <c r="E918" t="s">
        <v>74</v>
      </c>
      <c r="F918" t="s">
        <v>17470</v>
      </c>
      <c r="G918" t="s">
        <v>74</v>
      </c>
      <c r="H918" t="s">
        <v>74</v>
      </c>
      <c r="I918" t="s">
        <v>17471</v>
      </c>
      <c r="J918" t="s">
        <v>17472</v>
      </c>
      <c r="K918" t="s">
        <v>74</v>
      </c>
      <c r="L918" t="s">
        <v>74</v>
      </c>
      <c r="M918" t="s">
        <v>78</v>
      </c>
      <c r="N918" t="s">
        <v>79</v>
      </c>
      <c r="O918" t="s">
        <v>74</v>
      </c>
      <c r="P918" t="s">
        <v>74</v>
      </c>
      <c r="Q918" t="s">
        <v>74</v>
      </c>
      <c r="R918" t="s">
        <v>74</v>
      </c>
      <c r="S918" t="s">
        <v>74</v>
      </c>
      <c r="T918" t="s">
        <v>17473</v>
      </c>
      <c r="U918" t="s">
        <v>17474</v>
      </c>
      <c r="V918" t="s">
        <v>17475</v>
      </c>
      <c r="W918" t="s">
        <v>17476</v>
      </c>
      <c r="X918" t="s">
        <v>17477</v>
      </c>
      <c r="Y918" t="s">
        <v>17478</v>
      </c>
      <c r="Z918" t="s">
        <v>15815</v>
      </c>
      <c r="AA918" t="s">
        <v>15816</v>
      </c>
      <c r="AB918" t="s">
        <v>15817</v>
      </c>
      <c r="AC918" t="s">
        <v>17479</v>
      </c>
      <c r="AD918" t="s">
        <v>17480</v>
      </c>
      <c r="AE918" t="s">
        <v>17481</v>
      </c>
      <c r="AF918" t="s">
        <v>74</v>
      </c>
      <c r="AG918">
        <v>64</v>
      </c>
      <c r="AH918">
        <v>4</v>
      </c>
      <c r="AI918">
        <v>4</v>
      </c>
      <c r="AJ918">
        <v>6</v>
      </c>
      <c r="AK918">
        <v>27</v>
      </c>
      <c r="AL918" t="s">
        <v>8179</v>
      </c>
      <c r="AM918" t="s">
        <v>375</v>
      </c>
      <c r="AN918" t="s">
        <v>8180</v>
      </c>
      <c r="AO918" t="s">
        <v>17482</v>
      </c>
      <c r="AP918" t="s">
        <v>74</v>
      </c>
      <c r="AQ918" t="s">
        <v>74</v>
      </c>
      <c r="AR918" t="s">
        <v>17472</v>
      </c>
      <c r="AS918" t="s">
        <v>17483</v>
      </c>
      <c r="AT918" t="s">
        <v>17429</v>
      </c>
      <c r="AU918">
        <v>2022</v>
      </c>
      <c r="AV918">
        <v>23</v>
      </c>
      <c r="AW918">
        <v>1</v>
      </c>
      <c r="AX918" t="s">
        <v>74</v>
      </c>
      <c r="AY918" t="s">
        <v>74</v>
      </c>
      <c r="AZ918" t="s">
        <v>74</v>
      </c>
      <c r="BA918" t="s">
        <v>74</v>
      </c>
      <c r="BB918" t="s">
        <v>74</v>
      </c>
      <c r="BC918" t="s">
        <v>74</v>
      </c>
      <c r="BD918">
        <v>713</v>
      </c>
      <c r="BE918" t="s">
        <v>17484</v>
      </c>
      <c r="BF918" t="str">
        <f>HYPERLINK("http://dx.doi.org/10.1186/s12864-022-08942-6","http://dx.doi.org/10.1186/s12864-022-08942-6")</f>
        <v>http://dx.doi.org/10.1186/s12864-022-08942-6</v>
      </c>
      <c r="BG918" t="s">
        <v>74</v>
      </c>
      <c r="BH918" t="s">
        <v>74</v>
      </c>
      <c r="BI918">
        <v>16</v>
      </c>
      <c r="BJ918" t="s">
        <v>17485</v>
      </c>
      <c r="BK918" t="s">
        <v>104</v>
      </c>
      <c r="BL918" t="s">
        <v>17485</v>
      </c>
      <c r="BM918" t="s">
        <v>17486</v>
      </c>
      <c r="BN918">
        <v>36261793</v>
      </c>
      <c r="BO918" t="s">
        <v>11422</v>
      </c>
      <c r="BP918" t="s">
        <v>74</v>
      </c>
      <c r="BQ918" t="s">
        <v>74</v>
      </c>
      <c r="BR918" t="s">
        <v>108</v>
      </c>
      <c r="BS918" t="s">
        <v>17487</v>
      </c>
      <c r="BT918" t="str">
        <f>HYPERLINK("https%3A%2F%2Fwww.webofscience.com%2Fwos%2Fwoscc%2Ffull-record%2FWOS:000870272500001","View Full Record in Web of Science")</f>
        <v>View Full Record in Web of Science</v>
      </c>
    </row>
    <row r="919" spans="1:72" x14ac:dyDescent="0.15">
      <c r="A919" t="s">
        <v>72</v>
      </c>
      <c r="B919" t="s">
        <v>17488</v>
      </c>
      <c r="C919" t="s">
        <v>74</v>
      </c>
      <c r="D919" t="s">
        <v>74</v>
      </c>
      <c r="E919" t="s">
        <v>74</v>
      </c>
      <c r="F919" t="s">
        <v>17489</v>
      </c>
      <c r="G919" t="s">
        <v>74</v>
      </c>
      <c r="H919" t="s">
        <v>74</v>
      </c>
      <c r="I919" t="s">
        <v>17490</v>
      </c>
      <c r="J919" t="s">
        <v>8532</v>
      </c>
      <c r="K919" t="s">
        <v>74</v>
      </c>
      <c r="L919" t="s">
        <v>74</v>
      </c>
      <c r="M919" t="s">
        <v>78</v>
      </c>
      <c r="N919" t="s">
        <v>79</v>
      </c>
      <c r="O919" t="s">
        <v>74</v>
      </c>
      <c r="P919" t="s">
        <v>74</v>
      </c>
      <c r="Q919" t="s">
        <v>74</v>
      </c>
      <c r="R919" t="s">
        <v>74</v>
      </c>
      <c r="S919" t="s">
        <v>74</v>
      </c>
      <c r="T919" t="s">
        <v>17491</v>
      </c>
      <c r="U919" t="s">
        <v>17492</v>
      </c>
      <c r="V919" t="s">
        <v>17493</v>
      </c>
      <c r="W919" t="s">
        <v>17494</v>
      </c>
      <c r="X919" t="s">
        <v>17495</v>
      </c>
      <c r="Y919" t="s">
        <v>17496</v>
      </c>
      <c r="Z919" t="s">
        <v>17497</v>
      </c>
      <c r="AA919" t="s">
        <v>74</v>
      </c>
      <c r="AB919" t="s">
        <v>17498</v>
      </c>
      <c r="AC919" t="s">
        <v>17499</v>
      </c>
      <c r="AD919" t="s">
        <v>17500</v>
      </c>
      <c r="AE919" t="s">
        <v>17501</v>
      </c>
      <c r="AF919" t="s">
        <v>74</v>
      </c>
      <c r="AG919">
        <v>93</v>
      </c>
      <c r="AH919">
        <v>7</v>
      </c>
      <c r="AI919">
        <v>7</v>
      </c>
      <c r="AJ919">
        <v>6</v>
      </c>
      <c r="AK919">
        <v>15</v>
      </c>
      <c r="AL919" t="s">
        <v>297</v>
      </c>
      <c r="AM919" t="s">
        <v>298</v>
      </c>
      <c r="AN919" t="s">
        <v>299</v>
      </c>
      <c r="AO919" t="s">
        <v>8544</v>
      </c>
      <c r="AP919" t="s">
        <v>8545</v>
      </c>
      <c r="AQ919" t="s">
        <v>74</v>
      </c>
      <c r="AR919" t="s">
        <v>8546</v>
      </c>
      <c r="AS919" t="s">
        <v>8547</v>
      </c>
      <c r="AT919" t="s">
        <v>9001</v>
      </c>
      <c r="AU919">
        <v>2022</v>
      </c>
      <c r="AV919">
        <v>36</v>
      </c>
      <c r="AW919">
        <v>6</v>
      </c>
      <c r="AX919" t="s">
        <v>74</v>
      </c>
      <c r="AY919" t="s">
        <v>74</v>
      </c>
      <c r="AZ919" t="s">
        <v>74</v>
      </c>
      <c r="BA919" t="s">
        <v>74</v>
      </c>
      <c r="BB919" t="s">
        <v>74</v>
      </c>
      <c r="BC919" t="s">
        <v>74</v>
      </c>
      <c r="BD919" t="s">
        <v>17502</v>
      </c>
      <c r="BE919" t="s">
        <v>17503</v>
      </c>
      <c r="BF919" t="str">
        <f>HYPERLINK("http://dx.doi.org/10.1111/cobi.13977","http://dx.doi.org/10.1111/cobi.13977")</f>
        <v>http://dx.doi.org/10.1111/cobi.13977</v>
      </c>
      <c r="BG919" t="s">
        <v>74</v>
      </c>
      <c r="BH919" t="s">
        <v>16236</v>
      </c>
      <c r="BI919">
        <v>16</v>
      </c>
      <c r="BJ919" t="s">
        <v>8549</v>
      </c>
      <c r="BK919" t="s">
        <v>104</v>
      </c>
      <c r="BL919" t="s">
        <v>306</v>
      </c>
      <c r="BM919" t="s">
        <v>17504</v>
      </c>
      <c r="BN919">
        <v>35866368</v>
      </c>
      <c r="BO919" t="s">
        <v>8017</v>
      </c>
      <c r="BP919" t="s">
        <v>74</v>
      </c>
      <c r="BQ919" t="s">
        <v>74</v>
      </c>
      <c r="BR919" t="s">
        <v>108</v>
      </c>
      <c r="BS919" t="s">
        <v>17505</v>
      </c>
      <c r="BT919" t="str">
        <f>HYPERLINK("https%3A%2F%2Fwww.webofscience.com%2Fwos%2Fwoscc%2Ffull-record%2FWOS:000869688900001","View Full Record in Web of Science")</f>
        <v>View Full Record in Web of Science</v>
      </c>
    </row>
    <row r="920" spans="1:72" x14ac:dyDescent="0.15">
      <c r="A920" t="s">
        <v>72</v>
      </c>
      <c r="B920" t="s">
        <v>17506</v>
      </c>
      <c r="C920" t="s">
        <v>74</v>
      </c>
      <c r="D920" t="s">
        <v>74</v>
      </c>
      <c r="E920" t="s">
        <v>74</v>
      </c>
      <c r="F920" t="s">
        <v>17507</v>
      </c>
      <c r="G920" t="s">
        <v>74</v>
      </c>
      <c r="H920" t="s">
        <v>74</v>
      </c>
      <c r="I920" t="s">
        <v>17508</v>
      </c>
      <c r="J920" t="s">
        <v>8444</v>
      </c>
      <c r="K920" t="s">
        <v>74</v>
      </c>
      <c r="L920" t="s">
        <v>74</v>
      </c>
      <c r="M920" t="s">
        <v>78</v>
      </c>
      <c r="N920" t="s">
        <v>79</v>
      </c>
      <c r="O920" t="s">
        <v>74</v>
      </c>
      <c r="P920" t="s">
        <v>74</v>
      </c>
      <c r="Q920" t="s">
        <v>74</v>
      </c>
      <c r="R920" t="s">
        <v>74</v>
      </c>
      <c r="S920" t="s">
        <v>74</v>
      </c>
      <c r="T920" t="s">
        <v>74</v>
      </c>
      <c r="U920" t="s">
        <v>17509</v>
      </c>
      <c r="V920" t="s">
        <v>17510</v>
      </c>
      <c r="W920" t="s">
        <v>17511</v>
      </c>
      <c r="X920" t="s">
        <v>17512</v>
      </c>
      <c r="Y920" t="s">
        <v>17513</v>
      </c>
      <c r="Z920" t="s">
        <v>17514</v>
      </c>
      <c r="AA920" t="s">
        <v>17515</v>
      </c>
      <c r="AB920" t="s">
        <v>17516</v>
      </c>
      <c r="AC920" t="s">
        <v>17517</v>
      </c>
      <c r="AD920" t="s">
        <v>17518</v>
      </c>
      <c r="AE920" t="s">
        <v>17519</v>
      </c>
      <c r="AF920" t="s">
        <v>74</v>
      </c>
      <c r="AG920">
        <v>100</v>
      </c>
      <c r="AH920">
        <v>6</v>
      </c>
      <c r="AI920">
        <v>6</v>
      </c>
      <c r="AJ920">
        <v>0</v>
      </c>
      <c r="AK920">
        <v>6</v>
      </c>
      <c r="AL920" t="s">
        <v>126</v>
      </c>
      <c r="AM920" t="s">
        <v>127</v>
      </c>
      <c r="AN920" t="s">
        <v>128</v>
      </c>
      <c r="AO920" t="s">
        <v>8456</v>
      </c>
      <c r="AP920" t="s">
        <v>8457</v>
      </c>
      <c r="AQ920" t="s">
        <v>74</v>
      </c>
      <c r="AR920" t="s">
        <v>8458</v>
      </c>
      <c r="AS920" t="s">
        <v>8459</v>
      </c>
      <c r="AT920" t="s">
        <v>17429</v>
      </c>
      <c r="AU920">
        <v>2022</v>
      </c>
      <c r="AV920">
        <v>22</v>
      </c>
      <c r="AW920">
        <v>20</v>
      </c>
      <c r="AX920" t="s">
        <v>74</v>
      </c>
      <c r="AY920" t="s">
        <v>74</v>
      </c>
      <c r="AZ920" t="s">
        <v>74</v>
      </c>
      <c r="BA920" t="s">
        <v>74</v>
      </c>
      <c r="BB920">
        <v>13495</v>
      </c>
      <c r="BC920">
        <v>13526</v>
      </c>
      <c r="BD920" t="s">
        <v>74</v>
      </c>
      <c r="BE920" t="s">
        <v>17520</v>
      </c>
      <c r="BF920" t="str">
        <f>HYPERLINK("http://dx.doi.org/10.5194/acp-22-13495-2022","http://dx.doi.org/10.5194/acp-22-13495-2022")</f>
        <v>http://dx.doi.org/10.5194/acp-22-13495-2022</v>
      </c>
      <c r="BG920" t="s">
        <v>74</v>
      </c>
      <c r="BH920" t="s">
        <v>74</v>
      </c>
      <c r="BI920">
        <v>32</v>
      </c>
      <c r="BJ920" t="s">
        <v>5429</v>
      </c>
      <c r="BK920" t="s">
        <v>104</v>
      </c>
      <c r="BL920" t="s">
        <v>355</v>
      </c>
      <c r="BM920" t="s">
        <v>17521</v>
      </c>
      <c r="BN920" t="s">
        <v>74</v>
      </c>
      <c r="BO920" t="s">
        <v>737</v>
      </c>
      <c r="BP920" t="s">
        <v>74</v>
      </c>
      <c r="BQ920" t="s">
        <v>74</v>
      </c>
      <c r="BR920" t="s">
        <v>108</v>
      </c>
      <c r="BS920" t="s">
        <v>17522</v>
      </c>
      <c r="BT920" t="str">
        <f>HYPERLINK("https%3A%2F%2Fwww.webofscience.com%2Fwos%2Fwoscc%2Ffull-record%2FWOS:000869702500001","View Full Record in Web of Science")</f>
        <v>View Full Record in Web of Science</v>
      </c>
    </row>
    <row r="921" spans="1:72" x14ac:dyDescent="0.15">
      <c r="A921" t="s">
        <v>72</v>
      </c>
      <c r="B921" t="s">
        <v>17523</v>
      </c>
      <c r="C921" t="s">
        <v>74</v>
      </c>
      <c r="D921" t="s">
        <v>74</v>
      </c>
      <c r="E921" t="s">
        <v>74</v>
      </c>
      <c r="F921" t="s">
        <v>17524</v>
      </c>
      <c r="G921" t="s">
        <v>74</v>
      </c>
      <c r="H921" t="s">
        <v>74</v>
      </c>
      <c r="I921" t="s">
        <v>17525</v>
      </c>
      <c r="J921" t="s">
        <v>17526</v>
      </c>
      <c r="K921" t="s">
        <v>74</v>
      </c>
      <c r="L921" t="s">
        <v>74</v>
      </c>
      <c r="M921" t="s">
        <v>78</v>
      </c>
      <c r="N921" t="s">
        <v>79</v>
      </c>
      <c r="O921" t="s">
        <v>74</v>
      </c>
      <c r="P921" t="s">
        <v>74</v>
      </c>
      <c r="Q921" t="s">
        <v>74</v>
      </c>
      <c r="R921" t="s">
        <v>74</v>
      </c>
      <c r="S921" t="s">
        <v>74</v>
      </c>
      <c r="T921" t="s">
        <v>17527</v>
      </c>
      <c r="U921" t="s">
        <v>17528</v>
      </c>
      <c r="V921" t="s">
        <v>17529</v>
      </c>
      <c r="W921" t="s">
        <v>17530</v>
      </c>
      <c r="X921" t="s">
        <v>17531</v>
      </c>
      <c r="Y921" t="s">
        <v>17532</v>
      </c>
      <c r="Z921" t="s">
        <v>17533</v>
      </c>
      <c r="AA921" t="s">
        <v>74</v>
      </c>
      <c r="AB921" t="s">
        <v>74</v>
      </c>
      <c r="AC921" t="s">
        <v>17534</v>
      </c>
      <c r="AD921" t="s">
        <v>17535</v>
      </c>
      <c r="AE921" t="s">
        <v>17536</v>
      </c>
      <c r="AF921" t="s">
        <v>74</v>
      </c>
      <c r="AG921">
        <v>32</v>
      </c>
      <c r="AH921">
        <v>1</v>
      </c>
      <c r="AI921">
        <v>1</v>
      </c>
      <c r="AJ921">
        <v>0</v>
      </c>
      <c r="AK921">
        <v>2</v>
      </c>
      <c r="AL921" t="s">
        <v>297</v>
      </c>
      <c r="AM921" t="s">
        <v>298</v>
      </c>
      <c r="AN921" t="s">
        <v>299</v>
      </c>
      <c r="AO921" t="s">
        <v>17537</v>
      </c>
      <c r="AP921" t="s">
        <v>74</v>
      </c>
      <c r="AQ921" t="s">
        <v>74</v>
      </c>
      <c r="AR921" t="s">
        <v>17538</v>
      </c>
      <c r="AS921" t="s">
        <v>17539</v>
      </c>
      <c r="AT921" t="s">
        <v>214</v>
      </c>
      <c r="AU921">
        <v>2023</v>
      </c>
      <c r="AV921">
        <v>24</v>
      </c>
      <c r="AW921">
        <v>3</v>
      </c>
      <c r="AX921" t="s">
        <v>74</v>
      </c>
      <c r="AY921" t="s">
        <v>74</v>
      </c>
      <c r="AZ921" t="s">
        <v>74</v>
      </c>
      <c r="BA921" t="s">
        <v>74</v>
      </c>
      <c r="BB921" t="s">
        <v>74</v>
      </c>
      <c r="BC921" t="s">
        <v>74</v>
      </c>
      <c r="BD921" t="s">
        <v>74</v>
      </c>
      <c r="BE921" t="s">
        <v>17540</v>
      </c>
      <c r="BF921" t="str">
        <f>HYPERLINK("http://dx.doi.org/10.1002/asl.1138","http://dx.doi.org/10.1002/asl.1138")</f>
        <v>http://dx.doi.org/10.1002/asl.1138</v>
      </c>
      <c r="BG921" t="s">
        <v>74</v>
      </c>
      <c r="BH921" t="s">
        <v>16236</v>
      </c>
      <c r="BI921">
        <v>11</v>
      </c>
      <c r="BJ921" t="s">
        <v>12447</v>
      </c>
      <c r="BK921" t="s">
        <v>104</v>
      </c>
      <c r="BL921" t="s">
        <v>12447</v>
      </c>
      <c r="BM921" t="s">
        <v>17541</v>
      </c>
      <c r="BN921" t="s">
        <v>74</v>
      </c>
      <c r="BO921" t="s">
        <v>165</v>
      </c>
      <c r="BP921" t="s">
        <v>74</v>
      </c>
      <c r="BQ921" t="s">
        <v>74</v>
      </c>
      <c r="BR921" t="s">
        <v>108</v>
      </c>
      <c r="BS921" t="s">
        <v>17542</v>
      </c>
      <c r="BT921" t="str">
        <f>HYPERLINK("https%3A%2F%2Fwww.webofscience.com%2Fwos%2Fwoscc%2Ffull-record%2FWOS:000869917700001","View Full Record in Web of Science")</f>
        <v>View Full Record in Web of Science</v>
      </c>
    </row>
    <row r="922" spans="1:72" x14ac:dyDescent="0.15">
      <c r="A922" t="s">
        <v>72</v>
      </c>
      <c r="B922" t="s">
        <v>17543</v>
      </c>
      <c r="C922" t="s">
        <v>74</v>
      </c>
      <c r="D922" t="s">
        <v>74</v>
      </c>
      <c r="E922" t="s">
        <v>74</v>
      </c>
      <c r="F922" t="s">
        <v>17544</v>
      </c>
      <c r="G922" t="s">
        <v>74</v>
      </c>
      <c r="H922" t="s">
        <v>74</v>
      </c>
      <c r="I922" t="s">
        <v>17545</v>
      </c>
      <c r="J922" t="s">
        <v>11871</v>
      </c>
      <c r="K922" t="s">
        <v>74</v>
      </c>
      <c r="L922" t="s">
        <v>74</v>
      </c>
      <c r="M922" t="s">
        <v>78</v>
      </c>
      <c r="N922" t="s">
        <v>79</v>
      </c>
      <c r="O922" t="s">
        <v>74</v>
      </c>
      <c r="P922" t="s">
        <v>74</v>
      </c>
      <c r="Q922" t="s">
        <v>74</v>
      </c>
      <c r="R922" t="s">
        <v>74</v>
      </c>
      <c r="S922" t="s">
        <v>74</v>
      </c>
      <c r="T922" t="s">
        <v>17546</v>
      </c>
      <c r="U922" t="s">
        <v>17547</v>
      </c>
      <c r="V922" t="s">
        <v>17548</v>
      </c>
      <c r="W922" t="s">
        <v>17549</v>
      </c>
      <c r="X922" t="s">
        <v>17550</v>
      </c>
      <c r="Y922" t="s">
        <v>17551</v>
      </c>
      <c r="Z922" t="s">
        <v>17552</v>
      </c>
      <c r="AA922" t="s">
        <v>17553</v>
      </c>
      <c r="AB922" t="s">
        <v>17554</v>
      </c>
      <c r="AC922" t="s">
        <v>17555</v>
      </c>
      <c r="AD922" t="s">
        <v>17556</v>
      </c>
      <c r="AE922" t="s">
        <v>17557</v>
      </c>
      <c r="AF922" t="s">
        <v>74</v>
      </c>
      <c r="AG922">
        <v>84</v>
      </c>
      <c r="AH922">
        <v>6</v>
      </c>
      <c r="AI922">
        <v>6</v>
      </c>
      <c r="AJ922">
        <v>6</v>
      </c>
      <c r="AK922">
        <v>12</v>
      </c>
      <c r="AL922" t="s">
        <v>297</v>
      </c>
      <c r="AM922" t="s">
        <v>298</v>
      </c>
      <c r="AN922" t="s">
        <v>299</v>
      </c>
      <c r="AO922" t="s">
        <v>11884</v>
      </c>
      <c r="AP922" t="s">
        <v>11885</v>
      </c>
      <c r="AQ922" t="s">
        <v>74</v>
      </c>
      <c r="AR922" t="s">
        <v>11886</v>
      </c>
      <c r="AS922" t="s">
        <v>11887</v>
      </c>
      <c r="AT922" t="s">
        <v>9001</v>
      </c>
      <c r="AU922">
        <v>2022</v>
      </c>
      <c r="AV922">
        <v>31</v>
      </c>
      <c r="AW922">
        <v>12</v>
      </c>
      <c r="AX922" t="s">
        <v>74</v>
      </c>
      <c r="AY922" t="s">
        <v>74</v>
      </c>
      <c r="AZ922" t="s">
        <v>74</v>
      </c>
      <c r="BA922" t="s">
        <v>74</v>
      </c>
      <c r="BB922">
        <v>2483</v>
      </c>
      <c r="BC922">
        <v>2497</v>
      </c>
      <c r="BD922" t="s">
        <v>74</v>
      </c>
      <c r="BE922" t="s">
        <v>17558</v>
      </c>
      <c r="BF922" t="str">
        <f>HYPERLINK("http://dx.doi.org/10.1111/geb.13601","http://dx.doi.org/10.1111/geb.13601")</f>
        <v>http://dx.doi.org/10.1111/geb.13601</v>
      </c>
      <c r="BG922" t="s">
        <v>74</v>
      </c>
      <c r="BH922" t="s">
        <v>16236</v>
      </c>
      <c r="BI922">
        <v>15</v>
      </c>
      <c r="BJ922" t="s">
        <v>11889</v>
      </c>
      <c r="BK922" t="s">
        <v>104</v>
      </c>
      <c r="BL922" t="s">
        <v>5819</v>
      </c>
      <c r="BM922" t="s">
        <v>17559</v>
      </c>
      <c r="BN922" t="s">
        <v>74</v>
      </c>
      <c r="BO922" t="s">
        <v>248</v>
      </c>
      <c r="BP922" t="s">
        <v>74</v>
      </c>
      <c r="BQ922" t="s">
        <v>74</v>
      </c>
      <c r="BR922" t="s">
        <v>108</v>
      </c>
      <c r="BS922" t="s">
        <v>17560</v>
      </c>
      <c r="BT922" t="str">
        <f>HYPERLINK("https%3A%2F%2Fwww.webofscience.com%2Fwos%2Fwoscc%2Ffull-record%2FWOS:000869696600001","View Full Record in Web of Science")</f>
        <v>View Full Record in Web of Science</v>
      </c>
    </row>
    <row r="923" spans="1:72" x14ac:dyDescent="0.15">
      <c r="A923" t="s">
        <v>72</v>
      </c>
      <c r="B923" t="s">
        <v>17561</v>
      </c>
      <c r="C923" t="s">
        <v>74</v>
      </c>
      <c r="D923" t="s">
        <v>74</v>
      </c>
      <c r="E923" t="s">
        <v>74</v>
      </c>
      <c r="F923" t="s">
        <v>17562</v>
      </c>
      <c r="G923" t="s">
        <v>74</v>
      </c>
      <c r="H923" t="s">
        <v>74</v>
      </c>
      <c r="I923" t="s">
        <v>17563</v>
      </c>
      <c r="J923" t="s">
        <v>17564</v>
      </c>
      <c r="K923" t="s">
        <v>74</v>
      </c>
      <c r="L923" t="s">
        <v>74</v>
      </c>
      <c r="M923" t="s">
        <v>78</v>
      </c>
      <c r="N923" t="s">
        <v>79</v>
      </c>
      <c r="O923" t="s">
        <v>74</v>
      </c>
      <c r="P923" t="s">
        <v>74</v>
      </c>
      <c r="Q923" t="s">
        <v>74</v>
      </c>
      <c r="R923" t="s">
        <v>74</v>
      </c>
      <c r="S923" t="s">
        <v>74</v>
      </c>
      <c r="T923" t="s">
        <v>74</v>
      </c>
      <c r="U923" t="s">
        <v>17565</v>
      </c>
      <c r="V923" t="s">
        <v>17566</v>
      </c>
      <c r="W923" t="s">
        <v>17567</v>
      </c>
      <c r="X923" t="s">
        <v>17568</v>
      </c>
      <c r="Y923" t="s">
        <v>17569</v>
      </c>
      <c r="Z923" t="s">
        <v>17570</v>
      </c>
      <c r="AA923" t="s">
        <v>74</v>
      </c>
      <c r="AB923" t="s">
        <v>74</v>
      </c>
      <c r="AC923" t="s">
        <v>17571</v>
      </c>
      <c r="AD923" t="s">
        <v>17572</v>
      </c>
      <c r="AE923" t="s">
        <v>17573</v>
      </c>
      <c r="AF923" t="s">
        <v>74</v>
      </c>
      <c r="AG923">
        <v>87</v>
      </c>
      <c r="AH923">
        <v>3</v>
      </c>
      <c r="AI923">
        <v>3</v>
      </c>
      <c r="AJ923">
        <v>0</v>
      </c>
      <c r="AK923">
        <v>7</v>
      </c>
      <c r="AL923" t="s">
        <v>297</v>
      </c>
      <c r="AM923" t="s">
        <v>298</v>
      </c>
      <c r="AN923" t="s">
        <v>299</v>
      </c>
      <c r="AO923" t="s">
        <v>17574</v>
      </c>
      <c r="AP923" t="s">
        <v>74</v>
      </c>
      <c r="AQ923" t="s">
        <v>74</v>
      </c>
      <c r="AR923" t="s">
        <v>17575</v>
      </c>
      <c r="AS923" t="s">
        <v>17576</v>
      </c>
      <c r="AT923" t="s">
        <v>9001</v>
      </c>
      <c r="AU923">
        <v>2022</v>
      </c>
      <c r="AV923">
        <v>20</v>
      </c>
      <c r="AW923">
        <v>12</v>
      </c>
      <c r="AX923" t="s">
        <v>74</v>
      </c>
      <c r="AY923" t="s">
        <v>74</v>
      </c>
      <c r="AZ923" t="s">
        <v>74</v>
      </c>
      <c r="BA923" t="s">
        <v>74</v>
      </c>
      <c r="BB923">
        <v>789</v>
      </c>
      <c r="BC923">
        <v>810</v>
      </c>
      <c r="BD923" t="s">
        <v>74</v>
      </c>
      <c r="BE923" t="s">
        <v>17577</v>
      </c>
      <c r="BF923" t="str">
        <f>HYPERLINK("http://dx.doi.org/10.1002/lom3.10522","http://dx.doi.org/10.1002/lom3.10522")</f>
        <v>http://dx.doi.org/10.1002/lom3.10522</v>
      </c>
      <c r="BG923" t="s">
        <v>74</v>
      </c>
      <c r="BH923" t="s">
        <v>16236</v>
      </c>
      <c r="BI923">
        <v>22</v>
      </c>
      <c r="BJ923" t="s">
        <v>555</v>
      </c>
      <c r="BK923" t="s">
        <v>104</v>
      </c>
      <c r="BL923" t="s">
        <v>556</v>
      </c>
      <c r="BM923" t="s">
        <v>17578</v>
      </c>
      <c r="BN923" t="s">
        <v>74</v>
      </c>
      <c r="BO923" t="s">
        <v>219</v>
      </c>
      <c r="BP923" t="s">
        <v>74</v>
      </c>
      <c r="BQ923" t="s">
        <v>74</v>
      </c>
      <c r="BR923" t="s">
        <v>108</v>
      </c>
      <c r="BS923" t="s">
        <v>17579</v>
      </c>
      <c r="BT923" t="str">
        <f>HYPERLINK("https%3A%2F%2Fwww.webofscience.com%2Fwos%2Fwoscc%2Ffull-record%2FWOS:000869719200001","View Full Record in Web of Science")</f>
        <v>View Full Record in Web of Science</v>
      </c>
    </row>
    <row r="924" spans="1:72" x14ac:dyDescent="0.15">
      <c r="A924" t="s">
        <v>72</v>
      </c>
      <c r="B924" t="s">
        <v>17580</v>
      </c>
      <c r="C924" t="s">
        <v>74</v>
      </c>
      <c r="D924" t="s">
        <v>74</v>
      </c>
      <c r="E924" t="s">
        <v>74</v>
      </c>
      <c r="F924" t="s">
        <v>17581</v>
      </c>
      <c r="G924" t="s">
        <v>74</v>
      </c>
      <c r="H924" t="s">
        <v>74</v>
      </c>
      <c r="I924" t="s">
        <v>17582</v>
      </c>
      <c r="J924" t="s">
        <v>1001</v>
      </c>
      <c r="K924" t="s">
        <v>74</v>
      </c>
      <c r="L924" t="s">
        <v>74</v>
      </c>
      <c r="M924" t="s">
        <v>78</v>
      </c>
      <c r="N924" t="s">
        <v>79</v>
      </c>
      <c r="O924" t="s">
        <v>74</v>
      </c>
      <c r="P924" t="s">
        <v>74</v>
      </c>
      <c r="Q924" t="s">
        <v>74</v>
      </c>
      <c r="R924" t="s">
        <v>74</v>
      </c>
      <c r="S924" t="s">
        <v>74</v>
      </c>
      <c r="T924" t="s">
        <v>17583</v>
      </c>
      <c r="U924" t="s">
        <v>17584</v>
      </c>
      <c r="V924" t="s">
        <v>17585</v>
      </c>
      <c r="W924" t="s">
        <v>17586</v>
      </c>
      <c r="X924" t="s">
        <v>17587</v>
      </c>
      <c r="Y924" t="s">
        <v>17588</v>
      </c>
      <c r="Z924" t="s">
        <v>17589</v>
      </c>
      <c r="AA924" t="s">
        <v>74</v>
      </c>
      <c r="AB924" t="s">
        <v>17590</v>
      </c>
      <c r="AC924" t="s">
        <v>74</v>
      </c>
      <c r="AD924" t="s">
        <v>74</v>
      </c>
      <c r="AE924" t="s">
        <v>74</v>
      </c>
      <c r="AF924" t="s">
        <v>74</v>
      </c>
      <c r="AG924">
        <v>37</v>
      </c>
      <c r="AH924">
        <v>0</v>
      </c>
      <c r="AI924">
        <v>0</v>
      </c>
      <c r="AJ924">
        <v>2</v>
      </c>
      <c r="AK924">
        <v>7</v>
      </c>
      <c r="AL924" t="s">
        <v>1010</v>
      </c>
      <c r="AM924" t="s">
        <v>1011</v>
      </c>
      <c r="AN924" t="s">
        <v>1012</v>
      </c>
      <c r="AO924" t="s">
        <v>1013</v>
      </c>
      <c r="AP924" t="s">
        <v>1014</v>
      </c>
      <c r="AQ924" t="s">
        <v>74</v>
      </c>
      <c r="AR924" t="s">
        <v>1015</v>
      </c>
      <c r="AS924" t="s">
        <v>1016</v>
      </c>
      <c r="AT924" t="s">
        <v>74</v>
      </c>
      <c r="AU924">
        <v>2022</v>
      </c>
      <c r="AV924">
        <v>73</v>
      </c>
      <c r="AW924">
        <v>12</v>
      </c>
      <c r="AX924" t="s">
        <v>74</v>
      </c>
      <c r="AY924" t="s">
        <v>74</v>
      </c>
      <c r="AZ924" t="s">
        <v>74</v>
      </c>
      <c r="BA924" t="s">
        <v>74</v>
      </c>
      <c r="BB924">
        <v>1520</v>
      </c>
      <c r="BC924">
        <v>1526</v>
      </c>
      <c r="BD924" t="s">
        <v>74</v>
      </c>
      <c r="BE924" t="s">
        <v>17591</v>
      </c>
      <c r="BF924" t="str">
        <f>HYPERLINK("http://dx.doi.org/10.1071/MF22156","http://dx.doi.org/10.1071/MF22156")</f>
        <v>http://dx.doi.org/10.1071/MF22156</v>
      </c>
      <c r="BG924" t="s">
        <v>74</v>
      </c>
      <c r="BH924" t="s">
        <v>16236</v>
      </c>
      <c r="BI924">
        <v>7</v>
      </c>
      <c r="BJ924" t="s">
        <v>1018</v>
      </c>
      <c r="BK924" t="s">
        <v>104</v>
      </c>
      <c r="BL924" t="s">
        <v>1019</v>
      </c>
      <c r="BM924" t="s">
        <v>17592</v>
      </c>
      <c r="BN924" t="s">
        <v>74</v>
      </c>
      <c r="BO924" t="s">
        <v>219</v>
      </c>
      <c r="BP924" t="s">
        <v>74</v>
      </c>
      <c r="BQ924" t="s">
        <v>74</v>
      </c>
      <c r="BR924" t="s">
        <v>108</v>
      </c>
      <c r="BS924" t="s">
        <v>17593</v>
      </c>
      <c r="BT924" t="str">
        <f>HYPERLINK("https%3A%2F%2Fwww.webofscience.com%2Fwos%2Fwoscc%2Ffull-record%2FWOS:000869655100001","View Full Record in Web of Science")</f>
        <v>View Full Record in Web of Science</v>
      </c>
    </row>
    <row r="925" spans="1:72" x14ac:dyDescent="0.15">
      <c r="A925" t="s">
        <v>72</v>
      </c>
      <c r="B925" t="s">
        <v>17594</v>
      </c>
      <c r="C925" t="s">
        <v>74</v>
      </c>
      <c r="D925" t="s">
        <v>74</v>
      </c>
      <c r="E925" t="s">
        <v>74</v>
      </c>
      <c r="F925" t="s">
        <v>17595</v>
      </c>
      <c r="G925" t="s">
        <v>74</v>
      </c>
      <c r="H925" t="s">
        <v>74</v>
      </c>
      <c r="I925" t="s">
        <v>17596</v>
      </c>
      <c r="J925" t="s">
        <v>12203</v>
      </c>
      <c r="K925" t="s">
        <v>74</v>
      </c>
      <c r="L925" t="s">
        <v>74</v>
      </c>
      <c r="M925" t="s">
        <v>78</v>
      </c>
      <c r="N925" t="s">
        <v>743</v>
      </c>
      <c r="O925" t="s">
        <v>74</v>
      </c>
      <c r="P925" t="s">
        <v>74</v>
      </c>
      <c r="Q925" t="s">
        <v>74</v>
      </c>
      <c r="R925" t="s">
        <v>74</v>
      </c>
      <c r="S925" t="s">
        <v>74</v>
      </c>
      <c r="T925" t="s">
        <v>17597</v>
      </c>
      <c r="U925" t="s">
        <v>17598</v>
      </c>
      <c r="V925" t="s">
        <v>17599</v>
      </c>
      <c r="W925" t="s">
        <v>17600</v>
      </c>
      <c r="X925" t="s">
        <v>17601</v>
      </c>
      <c r="Y925" t="s">
        <v>17602</v>
      </c>
      <c r="Z925" t="s">
        <v>17603</v>
      </c>
      <c r="AA925" t="s">
        <v>17604</v>
      </c>
      <c r="AB925" t="s">
        <v>17605</v>
      </c>
      <c r="AC925" t="s">
        <v>17606</v>
      </c>
      <c r="AD925" t="s">
        <v>17607</v>
      </c>
      <c r="AE925" t="s">
        <v>17608</v>
      </c>
      <c r="AF925" t="s">
        <v>74</v>
      </c>
      <c r="AG925">
        <v>36</v>
      </c>
      <c r="AH925">
        <v>0</v>
      </c>
      <c r="AI925">
        <v>0</v>
      </c>
      <c r="AJ925">
        <v>0</v>
      </c>
      <c r="AK925">
        <v>3</v>
      </c>
      <c r="AL925" t="s">
        <v>92</v>
      </c>
      <c r="AM925" t="s">
        <v>93</v>
      </c>
      <c r="AN925" t="s">
        <v>94</v>
      </c>
      <c r="AO925" t="s">
        <v>12211</v>
      </c>
      <c r="AP925" t="s">
        <v>12212</v>
      </c>
      <c r="AQ925" t="s">
        <v>74</v>
      </c>
      <c r="AR925" t="s">
        <v>12213</v>
      </c>
      <c r="AS925" t="s">
        <v>12214</v>
      </c>
      <c r="AT925" t="s">
        <v>17429</v>
      </c>
      <c r="AU925">
        <v>2022</v>
      </c>
      <c r="AV925">
        <v>58</v>
      </c>
      <c r="AW925" t="s">
        <v>74</v>
      </c>
      <c r="AX925" t="s">
        <v>74</v>
      </c>
      <c r="AY925" t="s">
        <v>74</v>
      </c>
      <c r="AZ925" t="s">
        <v>74</v>
      </c>
      <c r="BA925" t="s">
        <v>74</v>
      </c>
      <c r="BB925" t="s">
        <v>74</v>
      </c>
      <c r="BC925" t="s">
        <v>74</v>
      </c>
      <c r="BD925" t="s">
        <v>17609</v>
      </c>
      <c r="BE925" t="s">
        <v>17610</v>
      </c>
      <c r="BF925" t="str">
        <f>HYPERLINK("http://dx.doi.org/10.1017/S0032247422000304","http://dx.doi.org/10.1017/S0032247422000304")</f>
        <v>http://dx.doi.org/10.1017/S0032247422000304</v>
      </c>
      <c r="BG925" t="s">
        <v>74</v>
      </c>
      <c r="BH925" t="s">
        <v>74</v>
      </c>
      <c r="BI925">
        <v>7</v>
      </c>
      <c r="BJ925" t="s">
        <v>6907</v>
      </c>
      <c r="BK925" t="s">
        <v>104</v>
      </c>
      <c r="BL925" t="s">
        <v>217</v>
      </c>
      <c r="BM925" t="s">
        <v>17611</v>
      </c>
      <c r="BN925" t="s">
        <v>74</v>
      </c>
      <c r="BO925" t="s">
        <v>74</v>
      </c>
      <c r="BP925" t="s">
        <v>74</v>
      </c>
      <c r="BQ925" t="s">
        <v>74</v>
      </c>
      <c r="BR925" t="s">
        <v>108</v>
      </c>
      <c r="BS925" t="s">
        <v>17612</v>
      </c>
      <c r="BT925" t="str">
        <f>HYPERLINK("https%3A%2F%2Fwww.webofscience.com%2Fwos%2Fwoscc%2Ffull-record%2FWOS:000869690600001","View Full Record in Web of Science")</f>
        <v>View Full Record in Web of Science</v>
      </c>
    </row>
    <row r="926" spans="1:72" x14ac:dyDescent="0.15">
      <c r="A926" t="s">
        <v>72</v>
      </c>
      <c r="B926" t="s">
        <v>17613</v>
      </c>
      <c r="C926" t="s">
        <v>74</v>
      </c>
      <c r="D926" t="s">
        <v>74</v>
      </c>
      <c r="E926" t="s">
        <v>74</v>
      </c>
      <c r="F926" t="s">
        <v>17614</v>
      </c>
      <c r="G926" t="s">
        <v>74</v>
      </c>
      <c r="H926" t="s">
        <v>74</v>
      </c>
      <c r="I926" t="s">
        <v>17615</v>
      </c>
      <c r="J926" t="s">
        <v>8511</v>
      </c>
      <c r="K926" t="s">
        <v>74</v>
      </c>
      <c r="L926" t="s">
        <v>74</v>
      </c>
      <c r="M926" t="s">
        <v>78</v>
      </c>
      <c r="N926" t="s">
        <v>79</v>
      </c>
      <c r="O926" t="s">
        <v>74</v>
      </c>
      <c r="P926" t="s">
        <v>74</v>
      </c>
      <c r="Q926" t="s">
        <v>74</v>
      </c>
      <c r="R926" t="s">
        <v>74</v>
      </c>
      <c r="S926" t="s">
        <v>74</v>
      </c>
      <c r="T926" t="s">
        <v>17616</v>
      </c>
      <c r="U926" t="s">
        <v>17617</v>
      </c>
      <c r="V926" t="s">
        <v>17618</v>
      </c>
      <c r="W926" t="s">
        <v>17619</v>
      </c>
      <c r="X926" t="s">
        <v>17620</v>
      </c>
      <c r="Y926" t="s">
        <v>17621</v>
      </c>
      <c r="Z926" t="s">
        <v>17622</v>
      </c>
      <c r="AA926" t="s">
        <v>17623</v>
      </c>
      <c r="AB926" t="s">
        <v>17624</v>
      </c>
      <c r="AC926" t="s">
        <v>17625</v>
      </c>
      <c r="AD926" t="s">
        <v>17626</v>
      </c>
      <c r="AE926" t="s">
        <v>17627</v>
      </c>
      <c r="AF926" t="s">
        <v>74</v>
      </c>
      <c r="AG926">
        <v>49</v>
      </c>
      <c r="AH926">
        <v>4</v>
      </c>
      <c r="AI926">
        <v>4</v>
      </c>
      <c r="AJ926">
        <v>3</v>
      </c>
      <c r="AK926">
        <v>3</v>
      </c>
      <c r="AL926" t="s">
        <v>448</v>
      </c>
      <c r="AM926" t="s">
        <v>449</v>
      </c>
      <c r="AN926" t="s">
        <v>450</v>
      </c>
      <c r="AO926" t="s">
        <v>8522</v>
      </c>
      <c r="AP926" t="s">
        <v>74</v>
      </c>
      <c r="AQ926" t="s">
        <v>74</v>
      </c>
      <c r="AR926" t="s">
        <v>8523</v>
      </c>
      <c r="AS926" t="s">
        <v>8524</v>
      </c>
      <c r="AT926" t="s">
        <v>17628</v>
      </c>
      <c r="AU926">
        <v>2022</v>
      </c>
      <c r="AV926">
        <v>10</v>
      </c>
      <c r="AW926" t="s">
        <v>74</v>
      </c>
      <c r="AX926" t="s">
        <v>74</v>
      </c>
      <c r="AY926" t="s">
        <v>74</v>
      </c>
      <c r="AZ926" t="s">
        <v>74</v>
      </c>
      <c r="BA926" t="s">
        <v>74</v>
      </c>
      <c r="BB926" t="s">
        <v>74</v>
      </c>
      <c r="BC926" t="s">
        <v>74</v>
      </c>
      <c r="BD926">
        <v>973485</v>
      </c>
      <c r="BE926" t="s">
        <v>17629</v>
      </c>
      <c r="BF926" t="str">
        <f>HYPERLINK("http://dx.doi.org/10.3389/fevo.2022.973485","http://dx.doi.org/10.3389/fevo.2022.973485")</f>
        <v>http://dx.doi.org/10.3389/fevo.2022.973485</v>
      </c>
      <c r="BG926" t="s">
        <v>74</v>
      </c>
      <c r="BH926" t="s">
        <v>74</v>
      </c>
      <c r="BI926">
        <v>12</v>
      </c>
      <c r="BJ926" t="s">
        <v>2639</v>
      </c>
      <c r="BK926" t="s">
        <v>104</v>
      </c>
      <c r="BL926" t="s">
        <v>217</v>
      </c>
      <c r="BM926" t="s">
        <v>17630</v>
      </c>
      <c r="BN926" t="s">
        <v>74</v>
      </c>
      <c r="BO926" t="s">
        <v>4658</v>
      </c>
      <c r="BP926" t="s">
        <v>74</v>
      </c>
      <c r="BQ926" t="s">
        <v>74</v>
      </c>
      <c r="BR926" t="s">
        <v>108</v>
      </c>
      <c r="BS926" t="s">
        <v>17631</v>
      </c>
      <c r="BT926" t="str">
        <f>HYPERLINK("https%3A%2F%2Fwww.webofscience.com%2Fwos%2Fwoscc%2Ffull-record%2FWOS:000996088700001","View Full Record in Web of Science")</f>
        <v>View Full Record in Web of Science</v>
      </c>
    </row>
    <row r="927" spans="1:72" x14ac:dyDescent="0.15">
      <c r="A927" t="s">
        <v>72</v>
      </c>
      <c r="B927" t="s">
        <v>17632</v>
      </c>
      <c r="C927" t="s">
        <v>74</v>
      </c>
      <c r="D927" t="s">
        <v>74</v>
      </c>
      <c r="E927" t="s">
        <v>74</v>
      </c>
      <c r="F927" t="s">
        <v>17633</v>
      </c>
      <c r="G927" t="s">
        <v>74</v>
      </c>
      <c r="H927" t="s">
        <v>74</v>
      </c>
      <c r="I927" t="s">
        <v>17634</v>
      </c>
      <c r="J927" t="s">
        <v>13509</v>
      </c>
      <c r="K927" t="s">
        <v>74</v>
      </c>
      <c r="L927" t="s">
        <v>74</v>
      </c>
      <c r="M927" t="s">
        <v>78</v>
      </c>
      <c r="N927" t="s">
        <v>79</v>
      </c>
      <c r="O927" t="s">
        <v>74</v>
      </c>
      <c r="P927" t="s">
        <v>74</v>
      </c>
      <c r="Q927" t="s">
        <v>74</v>
      </c>
      <c r="R927" t="s">
        <v>74</v>
      </c>
      <c r="S927" t="s">
        <v>74</v>
      </c>
      <c r="T927" t="s">
        <v>17635</v>
      </c>
      <c r="U927" t="s">
        <v>17636</v>
      </c>
      <c r="V927" t="s">
        <v>17637</v>
      </c>
      <c r="W927" t="s">
        <v>17638</v>
      </c>
      <c r="X927" t="s">
        <v>17639</v>
      </c>
      <c r="Y927" t="s">
        <v>17640</v>
      </c>
      <c r="Z927" t="s">
        <v>17641</v>
      </c>
      <c r="AA927" t="s">
        <v>17642</v>
      </c>
      <c r="AB927" t="s">
        <v>17643</v>
      </c>
      <c r="AC927" t="s">
        <v>17644</v>
      </c>
      <c r="AD927" t="s">
        <v>17645</v>
      </c>
      <c r="AE927" t="s">
        <v>17646</v>
      </c>
      <c r="AF927" t="s">
        <v>74</v>
      </c>
      <c r="AG927">
        <v>117</v>
      </c>
      <c r="AH927">
        <v>1</v>
      </c>
      <c r="AI927">
        <v>1</v>
      </c>
      <c r="AJ927">
        <v>8</v>
      </c>
      <c r="AK927">
        <v>19</v>
      </c>
      <c r="AL927" t="s">
        <v>237</v>
      </c>
      <c r="AM927" t="s">
        <v>238</v>
      </c>
      <c r="AN927" t="s">
        <v>239</v>
      </c>
      <c r="AO927" t="s">
        <v>13520</v>
      </c>
      <c r="AP927" t="s">
        <v>13521</v>
      </c>
      <c r="AQ927" t="s">
        <v>74</v>
      </c>
      <c r="AR927" t="s">
        <v>13522</v>
      </c>
      <c r="AS927" t="s">
        <v>13523</v>
      </c>
      <c r="AT927" t="s">
        <v>9839</v>
      </c>
      <c r="AU927">
        <v>2022</v>
      </c>
      <c r="AV927">
        <v>607</v>
      </c>
      <c r="AW927" t="s">
        <v>74</v>
      </c>
      <c r="AX927" t="s">
        <v>74</v>
      </c>
      <c r="AY927" t="s">
        <v>74</v>
      </c>
      <c r="AZ927" t="s">
        <v>74</v>
      </c>
      <c r="BA927" t="s">
        <v>74</v>
      </c>
      <c r="BB927" t="s">
        <v>74</v>
      </c>
      <c r="BC927" t="s">
        <v>74</v>
      </c>
      <c r="BD927">
        <v>111265</v>
      </c>
      <c r="BE927" t="s">
        <v>17647</v>
      </c>
      <c r="BF927" t="str">
        <f>HYPERLINK("http://dx.doi.org/10.1016/j.palaeo.2022.111265","http://dx.doi.org/10.1016/j.palaeo.2022.111265")</f>
        <v>http://dx.doi.org/10.1016/j.palaeo.2022.111265</v>
      </c>
      <c r="BG927" t="s">
        <v>74</v>
      </c>
      <c r="BH927" t="s">
        <v>16236</v>
      </c>
      <c r="BI927">
        <v>14</v>
      </c>
      <c r="BJ927" t="s">
        <v>13525</v>
      </c>
      <c r="BK927" t="s">
        <v>104</v>
      </c>
      <c r="BL927" t="s">
        <v>13526</v>
      </c>
      <c r="BM927" t="s">
        <v>17648</v>
      </c>
      <c r="BN927" t="s">
        <v>74</v>
      </c>
      <c r="BO927" t="s">
        <v>219</v>
      </c>
      <c r="BP927" t="s">
        <v>74</v>
      </c>
      <c r="BQ927" t="s">
        <v>74</v>
      </c>
      <c r="BR927" t="s">
        <v>108</v>
      </c>
      <c r="BS927" t="s">
        <v>17649</v>
      </c>
      <c r="BT927" t="str">
        <f>HYPERLINK("https%3A%2F%2Fwww.webofscience.com%2Fwos%2Fwoscc%2Ffull-record%2FWOS:000917301400001","View Full Record in Web of Science")</f>
        <v>View Full Record in Web of Science</v>
      </c>
    </row>
    <row r="928" spans="1:72" x14ac:dyDescent="0.15">
      <c r="A928" t="s">
        <v>72</v>
      </c>
      <c r="B928" t="s">
        <v>17650</v>
      </c>
      <c r="C928" t="s">
        <v>74</v>
      </c>
      <c r="D928" t="s">
        <v>74</v>
      </c>
      <c r="E928" t="s">
        <v>74</v>
      </c>
      <c r="F928" t="s">
        <v>17651</v>
      </c>
      <c r="G928" t="s">
        <v>74</v>
      </c>
      <c r="H928" t="s">
        <v>74</v>
      </c>
      <c r="I928" t="s">
        <v>17652</v>
      </c>
      <c r="J928" t="s">
        <v>13509</v>
      </c>
      <c r="K928" t="s">
        <v>74</v>
      </c>
      <c r="L928" t="s">
        <v>74</v>
      </c>
      <c r="M928" t="s">
        <v>78</v>
      </c>
      <c r="N928" t="s">
        <v>79</v>
      </c>
      <c r="O928" t="s">
        <v>74</v>
      </c>
      <c r="P928" t="s">
        <v>74</v>
      </c>
      <c r="Q928" t="s">
        <v>74</v>
      </c>
      <c r="R928" t="s">
        <v>74</v>
      </c>
      <c r="S928" t="s">
        <v>74</v>
      </c>
      <c r="T928" t="s">
        <v>17653</v>
      </c>
      <c r="U928" t="s">
        <v>17654</v>
      </c>
      <c r="V928" t="s">
        <v>17655</v>
      </c>
      <c r="W928" t="s">
        <v>17656</v>
      </c>
      <c r="X928" t="s">
        <v>17657</v>
      </c>
      <c r="Y928" t="s">
        <v>17658</v>
      </c>
      <c r="Z928" t="s">
        <v>17659</v>
      </c>
      <c r="AA928" t="s">
        <v>17660</v>
      </c>
      <c r="AB928" t="s">
        <v>17661</v>
      </c>
      <c r="AC928" t="s">
        <v>17662</v>
      </c>
      <c r="AD928" t="s">
        <v>17663</v>
      </c>
      <c r="AE928" t="s">
        <v>17664</v>
      </c>
      <c r="AF928" t="s">
        <v>74</v>
      </c>
      <c r="AG928">
        <v>119</v>
      </c>
      <c r="AH928">
        <v>1</v>
      </c>
      <c r="AI928">
        <v>2</v>
      </c>
      <c r="AJ928">
        <v>4</v>
      </c>
      <c r="AK928">
        <v>17</v>
      </c>
      <c r="AL928" t="s">
        <v>237</v>
      </c>
      <c r="AM928" t="s">
        <v>238</v>
      </c>
      <c r="AN928" t="s">
        <v>239</v>
      </c>
      <c r="AO928" t="s">
        <v>13520</v>
      </c>
      <c r="AP928" t="s">
        <v>13521</v>
      </c>
      <c r="AQ928" t="s">
        <v>74</v>
      </c>
      <c r="AR928" t="s">
        <v>13522</v>
      </c>
      <c r="AS928" t="s">
        <v>13523</v>
      </c>
      <c r="AT928" t="s">
        <v>9839</v>
      </c>
      <c r="AU928">
        <v>2022</v>
      </c>
      <c r="AV928">
        <v>607</v>
      </c>
      <c r="AW928" t="s">
        <v>74</v>
      </c>
      <c r="AX928" t="s">
        <v>74</v>
      </c>
      <c r="AY928" t="s">
        <v>74</v>
      </c>
      <c r="AZ928" t="s">
        <v>74</v>
      </c>
      <c r="BA928" t="s">
        <v>74</v>
      </c>
      <c r="BB928" t="s">
        <v>74</v>
      </c>
      <c r="BC928" t="s">
        <v>74</v>
      </c>
      <c r="BD928">
        <v>111267</v>
      </c>
      <c r="BE928" t="s">
        <v>17665</v>
      </c>
      <c r="BF928" t="str">
        <f>HYPERLINK("http://dx.doi.org/10.1016/j.palaeo.2022.111267","http://dx.doi.org/10.1016/j.palaeo.2022.111267")</f>
        <v>http://dx.doi.org/10.1016/j.palaeo.2022.111267</v>
      </c>
      <c r="BG928" t="s">
        <v>74</v>
      </c>
      <c r="BH928" t="s">
        <v>16236</v>
      </c>
      <c r="BI928">
        <v>12</v>
      </c>
      <c r="BJ928" t="s">
        <v>13525</v>
      </c>
      <c r="BK928" t="s">
        <v>104</v>
      </c>
      <c r="BL928" t="s">
        <v>13526</v>
      </c>
      <c r="BM928" t="s">
        <v>17666</v>
      </c>
      <c r="BN928" t="s">
        <v>74</v>
      </c>
      <c r="BO928" t="s">
        <v>1279</v>
      </c>
      <c r="BP928" t="s">
        <v>74</v>
      </c>
      <c r="BQ928" t="s">
        <v>74</v>
      </c>
      <c r="BR928" t="s">
        <v>108</v>
      </c>
      <c r="BS928" t="s">
        <v>17667</v>
      </c>
      <c r="BT928" t="str">
        <f>HYPERLINK("https%3A%2F%2Fwww.webofscience.com%2Fwos%2Fwoscc%2Ffull-record%2FWOS:000888065800002","View Full Record in Web of Science")</f>
        <v>View Full Record in Web of Science</v>
      </c>
    </row>
    <row r="929" spans="1:72" x14ac:dyDescent="0.15">
      <c r="A929" t="s">
        <v>72</v>
      </c>
      <c r="B929" t="s">
        <v>17668</v>
      </c>
      <c r="C929" t="s">
        <v>74</v>
      </c>
      <c r="D929" t="s">
        <v>74</v>
      </c>
      <c r="E929" t="s">
        <v>74</v>
      </c>
      <c r="F929" t="s">
        <v>17669</v>
      </c>
      <c r="G929" t="s">
        <v>74</v>
      </c>
      <c r="H929" t="s">
        <v>74</v>
      </c>
      <c r="I929" t="s">
        <v>17670</v>
      </c>
      <c r="J929" t="s">
        <v>8330</v>
      </c>
      <c r="K929" t="s">
        <v>74</v>
      </c>
      <c r="L929" t="s">
        <v>74</v>
      </c>
      <c r="M929" t="s">
        <v>78</v>
      </c>
      <c r="N929" t="s">
        <v>79</v>
      </c>
      <c r="O929" t="s">
        <v>74</v>
      </c>
      <c r="P929" t="s">
        <v>74</v>
      </c>
      <c r="Q929" t="s">
        <v>74</v>
      </c>
      <c r="R929" t="s">
        <v>74</v>
      </c>
      <c r="S929" t="s">
        <v>74</v>
      </c>
      <c r="T929" t="s">
        <v>17671</v>
      </c>
      <c r="U929" t="s">
        <v>17672</v>
      </c>
      <c r="V929" t="s">
        <v>17673</v>
      </c>
      <c r="W929" t="s">
        <v>17674</v>
      </c>
      <c r="X929" t="s">
        <v>17675</v>
      </c>
      <c r="Y929" t="s">
        <v>17676</v>
      </c>
      <c r="Z929" t="s">
        <v>17677</v>
      </c>
      <c r="AA929" t="s">
        <v>74</v>
      </c>
      <c r="AB929" t="s">
        <v>17678</v>
      </c>
      <c r="AC929" t="s">
        <v>17679</v>
      </c>
      <c r="AD929" t="s">
        <v>17680</v>
      </c>
      <c r="AE929" t="s">
        <v>17681</v>
      </c>
      <c r="AF929" t="s">
        <v>74</v>
      </c>
      <c r="AG929">
        <v>79</v>
      </c>
      <c r="AH929">
        <v>4</v>
      </c>
      <c r="AI929">
        <v>4</v>
      </c>
      <c r="AJ929">
        <v>5</v>
      </c>
      <c r="AK929">
        <v>22</v>
      </c>
      <c r="AL929" t="s">
        <v>207</v>
      </c>
      <c r="AM929" t="s">
        <v>208</v>
      </c>
      <c r="AN929" t="s">
        <v>209</v>
      </c>
      <c r="AO929" t="s">
        <v>8342</v>
      </c>
      <c r="AP929" t="s">
        <v>8343</v>
      </c>
      <c r="AQ929" t="s">
        <v>74</v>
      </c>
      <c r="AR929" t="s">
        <v>8344</v>
      </c>
      <c r="AS929" t="s">
        <v>8345</v>
      </c>
      <c r="AT929" t="s">
        <v>13402</v>
      </c>
      <c r="AU929">
        <v>2022</v>
      </c>
      <c r="AV929">
        <v>315</v>
      </c>
      <c r="AW929" t="s">
        <v>74</v>
      </c>
      <c r="AX929" t="s">
        <v>74</v>
      </c>
      <c r="AY929" t="s">
        <v>74</v>
      </c>
      <c r="AZ929" t="s">
        <v>74</v>
      </c>
      <c r="BA929" t="s">
        <v>74</v>
      </c>
      <c r="BB929" t="s">
        <v>74</v>
      </c>
      <c r="BC929" t="s">
        <v>74</v>
      </c>
      <c r="BD929">
        <v>120398</v>
      </c>
      <c r="BE929" t="s">
        <v>17682</v>
      </c>
      <c r="BF929" t="str">
        <f>HYPERLINK("http://dx.doi.org/10.1016/j.envpol.2022.120398","http://dx.doi.org/10.1016/j.envpol.2022.120398")</f>
        <v>http://dx.doi.org/10.1016/j.envpol.2022.120398</v>
      </c>
      <c r="BG929" t="s">
        <v>74</v>
      </c>
      <c r="BH929" t="s">
        <v>16236</v>
      </c>
      <c r="BI929">
        <v>9</v>
      </c>
      <c r="BJ929" t="s">
        <v>216</v>
      </c>
      <c r="BK929" t="s">
        <v>104</v>
      </c>
      <c r="BL929" t="s">
        <v>217</v>
      </c>
      <c r="BM929" t="s">
        <v>17683</v>
      </c>
      <c r="BN929">
        <v>36228845</v>
      </c>
      <c r="BO929" t="s">
        <v>74</v>
      </c>
      <c r="BP929" t="s">
        <v>74</v>
      </c>
      <c r="BQ929" t="s">
        <v>74</v>
      </c>
      <c r="BR929" t="s">
        <v>108</v>
      </c>
      <c r="BS929" t="s">
        <v>17684</v>
      </c>
      <c r="BT929" t="str">
        <f>HYPERLINK("https%3A%2F%2Fwww.webofscience.com%2Fwos%2Fwoscc%2Ffull-record%2FWOS:000887464800001","View Full Record in Web of Science")</f>
        <v>View Full Record in Web of Science</v>
      </c>
    </row>
    <row r="930" spans="1:72" x14ac:dyDescent="0.15">
      <c r="A930" t="s">
        <v>72</v>
      </c>
      <c r="B930" t="s">
        <v>17685</v>
      </c>
      <c r="C930" t="s">
        <v>74</v>
      </c>
      <c r="D930" t="s">
        <v>74</v>
      </c>
      <c r="E930" t="s">
        <v>74</v>
      </c>
      <c r="F930" t="s">
        <v>17686</v>
      </c>
      <c r="G930" t="s">
        <v>74</v>
      </c>
      <c r="H930" t="s">
        <v>74</v>
      </c>
      <c r="I930" t="s">
        <v>17687</v>
      </c>
      <c r="J930" t="s">
        <v>6600</v>
      </c>
      <c r="K930" t="s">
        <v>74</v>
      </c>
      <c r="L930" t="s">
        <v>74</v>
      </c>
      <c r="M930" t="s">
        <v>78</v>
      </c>
      <c r="N930" t="s">
        <v>79</v>
      </c>
      <c r="O930" t="s">
        <v>74</v>
      </c>
      <c r="P930" t="s">
        <v>74</v>
      </c>
      <c r="Q930" t="s">
        <v>74</v>
      </c>
      <c r="R930" t="s">
        <v>74</v>
      </c>
      <c r="S930" t="s">
        <v>74</v>
      </c>
      <c r="T930" t="s">
        <v>17688</v>
      </c>
      <c r="U930" t="s">
        <v>17689</v>
      </c>
      <c r="V930" t="s">
        <v>17690</v>
      </c>
      <c r="W930" t="s">
        <v>17691</v>
      </c>
      <c r="X930" t="s">
        <v>17692</v>
      </c>
      <c r="Y930" t="s">
        <v>17693</v>
      </c>
      <c r="Z930" t="s">
        <v>17694</v>
      </c>
      <c r="AA930" t="s">
        <v>74</v>
      </c>
      <c r="AB930" t="s">
        <v>17695</v>
      </c>
      <c r="AC930" t="s">
        <v>17696</v>
      </c>
      <c r="AD930" t="s">
        <v>8377</v>
      </c>
      <c r="AE930" t="s">
        <v>17697</v>
      </c>
      <c r="AF930" t="s">
        <v>74</v>
      </c>
      <c r="AG930">
        <v>20</v>
      </c>
      <c r="AH930">
        <v>1</v>
      </c>
      <c r="AI930">
        <v>1</v>
      </c>
      <c r="AJ930">
        <v>0</v>
      </c>
      <c r="AK930">
        <v>1</v>
      </c>
      <c r="AL930" t="s">
        <v>6610</v>
      </c>
      <c r="AM930" t="s">
        <v>1372</v>
      </c>
      <c r="AN930" t="s">
        <v>6611</v>
      </c>
      <c r="AO930" t="s">
        <v>6612</v>
      </c>
      <c r="AP930" t="s">
        <v>6613</v>
      </c>
      <c r="AQ930" t="s">
        <v>74</v>
      </c>
      <c r="AR930" t="s">
        <v>6614</v>
      </c>
      <c r="AS930" t="s">
        <v>6615</v>
      </c>
      <c r="AT930" t="s">
        <v>17628</v>
      </c>
      <c r="AU930">
        <v>2022</v>
      </c>
      <c r="AV930">
        <v>10</v>
      </c>
      <c r="AW930" t="s">
        <v>74</v>
      </c>
      <c r="AX930" t="s">
        <v>74</v>
      </c>
      <c r="AY930" t="s">
        <v>74</v>
      </c>
      <c r="AZ930" t="s">
        <v>74</v>
      </c>
      <c r="BA930" t="s">
        <v>74</v>
      </c>
      <c r="BB930" t="s">
        <v>74</v>
      </c>
      <c r="BC930" t="s">
        <v>74</v>
      </c>
      <c r="BD930" t="s">
        <v>17698</v>
      </c>
      <c r="BE930" t="s">
        <v>17699</v>
      </c>
      <c r="BF930" t="str">
        <f>HYPERLINK("http://dx.doi.org/10.3897/BDJ.10.e94051","http://dx.doi.org/10.3897/BDJ.10.e94051")</f>
        <v>http://dx.doi.org/10.3897/BDJ.10.e94051</v>
      </c>
      <c r="BG930" t="s">
        <v>74</v>
      </c>
      <c r="BH930" t="s">
        <v>74</v>
      </c>
      <c r="BI930">
        <v>6</v>
      </c>
      <c r="BJ930" t="s">
        <v>6619</v>
      </c>
      <c r="BK930" t="s">
        <v>104</v>
      </c>
      <c r="BL930" t="s">
        <v>6620</v>
      </c>
      <c r="BM930" t="s">
        <v>17700</v>
      </c>
      <c r="BN930">
        <v>36761499</v>
      </c>
      <c r="BO930" t="s">
        <v>3181</v>
      </c>
      <c r="BP930" t="s">
        <v>74</v>
      </c>
      <c r="BQ930" t="s">
        <v>74</v>
      </c>
      <c r="BR930" t="s">
        <v>108</v>
      </c>
      <c r="BS930" t="s">
        <v>17701</v>
      </c>
      <c r="BT930" t="str">
        <f>HYPERLINK("https%3A%2F%2Fwww.webofscience.com%2Fwos%2Fwoscc%2Ffull-record%2FWOS:000888286300001","View Full Record in Web of Science")</f>
        <v>View Full Record in Web of Science</v>
      </c>
    </row>
    <row r="931" spans="1:72" x14ac:dyDescent="0.15">
      <c r="A931" t="s">
        <v>72</v>
      </c>
      <c r="B931" t="s">
        <v>17702</v>
      </c>
      <c r="C931" t="s">
        <v>74</v>
      </c>
      <c r="D931" t="s">
        <v>74</v>
      </c>
      <c r="E931" t="s">
        <v>74</v>
      </c>
      <c r="F931" t="s">
        <v>17703</v>
      </c>
      <c r="G931" t="s">
        <v>74</v>
      </c>
      <c r="H931" t="s">
        <v>74</v>
      </c>
      <c r="I931" t="s">
        <v>17704</v>
      </c>
      <c r="J931" t="s">
        <v>13172</v>
      </c>
      <c r="K931" t="s">
        <v>74</v>
      </c>
      <c r="L931" t="s">
        <v>74</v>
      </c>
      <c r="M931" t="s">
        <v>78</v>
      </c>
      <c r="N931" t="s">
        <v>256</v>
      </c>
      <c r="O931" t="s">
        <v>74</v>
      </c>
      <c r="P931" t="s">
        <v>74</v>
      </c>
      <c r="Q931" t="s">
        <v>74</v>
      </c>
      <c r="R931" t="s">
        <v>74</v>
      </c>
      <c r="S931" t="s">
        <v>74</v>
      </c>
      <c r="T931" t="s">
        <v>74</v>
      </c>
      <c r="U931" t="s">
        <v>17705</v>
      </c>
      <c r="V931" t="s">
        <v>17706</v>
      </c>
      <c r="W931" t="s">
        <v>17707</v>
      </c>
      <c r="X931" t="s">
        <v>17708</v>
      </c>
      <c r="Y931" t="s">
        <v>17709</v>
      </c>
      <c r="Z931" t="s">
        <v>13145</v>
      </c>
      <c r="AA931" t="s">
        <v>17710</v>
      </c>
      <c r="AB931" t="s">
        <v>17711</v>
      </c>
      <c r="AC931" t="s">
        <v>17712</v>
      </c>
      <c r="AD931" t="s">
        <v>17713</v>
      </c>
      <c r="AE931" t="s">
        <v>17714</v>
      </c>
      <c r="AF931" t="s">
        <v>74</v>
      </c>
      <c r="AG931">
        <v>272</v>
      </c>
      <c r="AH931">
        <v>36</v>
      </c>
      <c r="AI931">
        <v>40</v>
      </c>
      <c r="AJ931">
        <v>35</v>
      </c>
      <c r="AK931">
        <v>128</v>
      </c>
      <c r="AL931" t="s">
        <v>374</v>
      </c>
      <c r="AM931" t="s">
        <v>375</v>
      </c>
      <c r="AN931" t="s">
        <v>376</v>
      </c>
      <c r="AO931" t="s">
        <v>74</v>
      </c>
      <c r="AP931" t="s">
        <v>13176</v>
      </c>
      <c r="AQ931" t="s">
        <v>74</v>
      </c>
      <c r="AR931" t="s">
        <v>13177</v>
      </c>
      <c r="AS931" t="s">
        <v>13178</v>
      </c>
      <c r="AT931" t="s">
        <v>14975</v>
      </c>
      <c r="AU931">
        <v>2022</v>
      </c>
      <c r="AV931">
        <v>3</v>
      </c>
      <c r="AW931">
        <v>11</v>
      </c>
      <c r="AX931" t="s">
        <v>74</v>
      </c>
      <c r="AY931" t="s">
        <v>74</v>
      </c>
      <c r="AZ931" t="s">
        <v>74</v>
      </c>
      <c r="BA931" t="s">
        <v>74</v>
      </c>
      <c r="BB931">
        <v>776</v>
      </c>
      <c r="BC931">
        <v>794</v>
      </c>
      <c r="BD931" t="s">
        <v>74</v>
      </c>
      <c r="BE931" t="s">
        <v>17715</v>
      </c>
      <c r="BF931" t="str">
        <f>HYPERLINK("http://dx.doi.org/10.1038/s43017-022-00345-1","http://dx.doi.org/10.1038/s43017-022-00345-1")</f>
        <v>http://dx.doi.org/10.1038/s43017-022-00345-1</v>
      </c>
      <c r="BG931" t="s">
        <v>74</v>
      </c>
      <c r="BH931" t="s">
        <v>16236</v>
      </c>
      <c r="BI931">
        <v>19</v>
      </c>
      <c r="BJ931" t="s">
        <v>10435</v>
      </c>
      <c r="BK931" t="s">
        <v>104</v>
      </c>
      <c r="BL931" t="s">
        <v>735</v>
      </c>
      <c r="BM931" t="s">
        <v>17716</v>
      </c>
      <c r="BN931" t="s">
        <v>74</v>
      </c>
      <c r="BO931" t="s">
        <v>1279</v>
      </c>
      <c r="BP931" t="s">
        <v>74</v>
      </c>
      <c r="BQ931" t="s">
        <v>74</v>
      </c>
      <c r="BR931" t="s">
        <v>108</v>
      </c>
      <c r="BS931" t="s">
        <v>17717</v>
      </c>
      <c r="BT931" t="str">
        <f>HYPERLINK("https%3A%2F%2Fwww.webofscience.com%2Fwos%2Fwoscc%2Ffull-record%2FWOS:000869605500001","View Full Record in Web of Science")</f>
        <v>View Full Record in Web of Science</v>
      </c>
    </row>
    <row r="932" spans="1:72" x14ac:dyDescent="0.15">
      <c r="A932" t="s">
        <v>72</v>
      </c>
      <c r="B932" t="s">
        <v>17718</v>
      </c>
      <c r="C932" t="s">
        <v>74</v>
      </c>
      <c r="D932" t="s">
        <v>74</v>
      </c>
      <c r="E932" t="s">
        <v>74</v>
      </c>
      <c r="F932" t="s">
        <v>17719</v>
      </c>
      <c r="G932" t="s">
        <v>74</v>
      </c>
      <c r="H932" t="s">
        <v>74</v>
      </c>
      <c r="I932" t="s">
        <v>17720</v>
      </c>
      <c r="J932" t="s">
        <v>8444</v>
      </c>
      <c r="K932" t="s">
        <v>74</v>
      </c>
      <c r="L932" t="s">
        <v>74</v>
      </c>
      <c r="M932" t="s">
        <v>78</v>
      </c>
      <c r="N932" t="s">
        <v>79</v>
      </c>
      <c r="O932" t="s">
        <v>74</v>
      </c>
      <c r="P932" t="s">
        <v>74</v>
      </c>
      <c r="Q932" t="s">
        <v>74</v>
      </c>
      <c r="R932" t="s">
        <v>74</v>
      </c>
      <c r="S932" t="s">
        <v>74</v>
      </c>
      <c r="T932" t="s">
        <v>74</v>
      </c>
      <c r="U932" t="s">
        <v>17721</v>
      </c>
      <c r="V932" t="s">
        <v>17722</v>
      </c>
      <c r="W932" t="s">
        <v>17723</v>
      </c>
      <c r="X932" t="s">
        <v>17724</v>
      </c>
      <c r="Y932" t="s">
        <v>17725</v>
      </c>
      <c r="Z932" t="s">
        <v>17726</v>
      </c>
      <c r="AA932" t="s">
        <v>17727</v>
      </c>
      <c r="AB932" t="s">
        <v>17728</v>
      </c>
      <c r="AC932" t="s">
        <v>17729</v>
      </c>
      <c r="AD932" t="s">
        <v>17730</v>
      </c>
      <c r="AE932" t="s">
        <v>17731</v>
      </c>
      <c r="AF932" t="s">
        <v>74</v>
      </c>
      <c r="AG932">
        <v>81</v>
      </c>
      <c r="AH932">
        <v>3</v>
      </c>
      <c r="AI932">
        <v>3</v>
      </c>
      <c r="AJ932">
        <v>10</v>
      </c>
      <c r="AK932">
        <v>16</v>
      </c>
      <c r="AL932" t="s">
        <v>126</v>
      </c>
      <c r="AM932" t="s">
        <v>127</v>
      </c>
      <c r="AN932" t="s">
        <v>128</v>
      </c>
      <c r="AO932" t="s">
        <v>8456</v>
      </c>
      <c r="AP932" t="s">
        <v>8457</v>
      </c>
      <c r="AQ932" t="s">
        <v>74</v>
      </c>
      <c r="AR932" t="s">
        <v>8458</v>
      </c>
      <c r="AS932" t="s">
        <v>8459</v>
      </c>
      <c r="AT932" t="s">
        <v>17628</v>
      </c>
      <c r="AU932">
        <v>2022</v>
      </c>
      <c r="AV932">
        <v>22</v>
      </c>
      <c r="AW932">
        <v>20</v>
      </c>
      <c r="AX932" t="s">
        <v>74</v>
      </c>
      <c r="AY932" t="s">
        <v>74</v>
      </c>
      <c r="AZ932" t="s">
        <v>74</v>
      </c>
      <c r="BA932" t="s">
        <v>74</v>
      </c>
      <c r="BB932">
        <v>13407</v>
      </c>
      <c r="BC932">
        <v>13422</v>
      </c>
      <c r="BD932" t="s">
        <v>74</v>
      </c>
      <c r="BE932" t="s">
        <v>17732</v>
      </c>
      <c r="BF932" t="str">
        <f>HYPERLINK("http://dx.doi.org/10.5194/acp-22-13407-2022","http://dx.doi.org/10.5194/acp-22-13407-2022")</f>
        <v>http://dx.doi.org/10.5194/acp-22-13407-2022</v>
      </c>
      <c r="BG932" t="s">
        <v>74</v>
      </c>
      <c r="BH932" t="s">
        <v>74</v>
      </c>
      <c r="BI932">
        <v>16</v>
      </c>
      <c r="BJ932" t="s">
        <v>5429</v>
      </c>
      <c r="BK932" t="s">
        <v>104</v>
      </c>
      <c r="BL932" t="s">
        <v>355</v>
      </c>
      <c r="BM932" t="s">
        <v>17733</v>
      </c>
      <c r="BN932" t="s">
        <v>74</v>
      </c>
      <c r="BO932" t="s">
        <v>1464</v>
      </c>
      <c r="BP932" t="s">
        <v>74</v>
      </c>
      <c r="BQ932" t="s">
        <v>74</v>
      </c>
      <c r="BR932" t="s">
        <v>108</v>
      </c>
      <c r="BS932" t="s">
        <v>17734</v>
      </c>
      <c r="BT932" t="str">
        <f>HYPERLINK("https%3A%2F%2Fwww.webofscience.com%2Fwos%2Fwoscc%2Ffull-record%2FWOS:000869125300001","View Full Record in Web of Science")</f>
        <v>View Full Record in Web of Science</v>
      </c>
    </row>
    <row r="933" spans="1:72" x14ac:dyDescent="0.15">
      <c r="A933" t="s">
        <v>72</v>
      </c>
      <c r="B933" t="s">
        <v>17735</v>
      </c>
      <c r="C933" t="s">
        <v>74</v>
      </c>
      <c r="D933" t="s">
        <v>74</v>
      </c>
      <c r="E933" t="s">
        <v>74</v>
      </c>
      <c r="F933" t="s">
        <v>17736</v>
      </c>
      <c r="G933" t="s">
        <v>74</v>
      </c>
      <c r="H933" t="s">
        <v>74</v>
      </c>
      <c r="I933" t="s">
        <v>17737</v>
      </c>
      <c r="J933" t="s">
        <v>14406</v>
      </c>
      <c r="K933" t="s">
        <v>74</v>
      </c>
      <c r="L933" t="s">
        <v>74</v>
      </c>
      <c r="M933" t="s">
        <v>78</v>
      </c>
      <c r="N933" t="s">
        <v>79</v>
      </c>
      <c r="O933" t="s">
        <v>74</v>
      </c>
      <c r="P933" t="s">
        <v>74</v>
      </c>
      <c r="Q933" t="s">
        <v>74</v>
      </c>
      <c r="R933" t="s">
        <v>74</v>
      </c>
      <c r="S933" t="s">
        <v>74</v>
      </c>
      <c r="T933" t="s">
        <v>17738</v>
      </c>
      <c r="U933" t="s">
        <v>17739</v>
      </c>
      <c r="V933" t="s">
        <v>17740</v>
      </c>
      <c r="W933" t="s">
        <v>17741</v>
      </c>
      <c r="X933" t="s">
        <v>17742</v>
      </c>
      <c r="Y933" t="s">
        <v>17658</v>
      </c>
      <c r="Z933" t="s">
        <v>17659</v>
      </c>
      <c r="AA933" t="s">
        <v>17660</v>
      </c>
      <c r="AB933" t="s">
        <v>17743</v>
      </c>
      <c r="AC933" t="s">
        <v>17744</v>
      </c>
      <c r="AD933" t="s">
        <v>17663</v>
      </c>
      <c r="AE933" t="s">
        <v>17745</v>
      </c>
      <c r="AF933" t="s">
        <v>74</v>
      </c>
      <c r="AG933">
        <v>54</v>
      </c>
      <c r="AH933">
        <v>0</v>
      </c>
      <c r="AI933">
        <v>2</v>
      </c>
      <c r="AJ933">
        <v>5</v>
      </c>
      <c r="AK933">
        <v>14</v>
      </c>
      <c r="AL933" t="s">
        <v>237</v>
      </c>
      <c r="AM933" t="s">
        <v>238</v>
      </c>
      <c r="AN933" t="s">
        <v>239</v>
      </c>
      <c r="AO933" t="s">
        <v>14418</v>
      </c>
      <c r="AP933" t="s">
        <v>14419</v>
      </c>
      <c r="AQ933" t="s">
        <v>74</v>
      </c>
      <c r="AR933" t="s">
        <v>14420</v>
      </c>
      <c r="AS933" t="s">
        <v>14421</v>
      </c>
      <c r="AT933" t="s">
        <v>9839</v>
      </c>
      <c r="AU933">
        <v>2022</v>
      </c>
      <c r="AV933">
        <v>599</v>
      </c>
      <c r="AW933" t="s">
        <v>74</v>
      </c>
      <c r="AX933" t="s">
        <v>74</v>
      </c>
      <c r="AY933" t="s">
        <v>74</v>
      </c>
      <c r="AZ933" t="s">
        <v>74</v>
      </c>
      <c r="BA933" t="s">
        <v>74</v>
      </c>
      <c r="BB933" t="s">
        <v>74</v>
      </c>
      <c r="BC933" t="s">
        <v>74</v>
      </c>
      <c r="BD933">
        <v>117868</v>
      </c>
      <c r="BE933" t="s">
        <v>17746</v>
      </c>
      <c r="BF933" t="str">
        <f>HYPERLINK("http://dx.doi.org/10.1016/j.epsl.2022.117868","http://dx.doi.org/10.1016/j.epsl.2022.117868")</f>
        <v>http://dx.doi.org/10.1016/j.epsl.2022.117868</v>
      </c>
      <c r="BG933" t="s">
        <v>74</v>
      </c>
      <c r="BH933" t="s">
        <v>16236</v>
      </c>
      <c r="BI933">
        <v>11</v>
      </c>
      <c r="BJ933" t="s">
        <v>430</v>
      </c>
      <c r="BK933" t="s">
        <v>104</v>
      </c>
      <c r="BL933" t="s">
        <v>430</v>
      </c>
      <c r="BM933" t="s">
        <v>17747</v>
      </c>
      <c r="BN933" t="s">
        <v>74</v>
      </c>
      <c r="BO933" t="s">
        <v>74</v>
      </c>
      <c r="BP933" t="s">
        <v>74</v>
      </c>
      <c r="BQ933" t="s">
        <v>74</v>
      </c>
      <c r="BR933" t="s">
        <v>108</v>
      </c>
      <c r="BS933" t="s">
        <v>17748</v>
      </c>
      <c r="BT933" t="str">
        <f>HYPERLINK("https%3A%2F%2Fwww.webofscience.com%2Fwos%2Fwoscc%2Ffull-record%2FWOS:000880832000008","View Full Record in Web of Science")</f>
        <v>View Full Record in Web of Science</v>
      </c>
    </row>
    <row r="934" spans="1:72" x14ac:dyDescent="0.15">
      <c r="A934" t="s">
        <v>72</v>
      </c>
      <c r="B934" t="s">
        <v>17749</v>
      </c>
      <c r="C934" t="s">
        <v>74</v>
      </c>
      <c r="D934" t="s">
        <v>74</v>
      </c>
      <c r="E934" t="s">
        <v>74</v>
      </c>
      <c r="F934" t="s">
        <v>17750</v>
      </c>
      <c r="G934" t="s">
        <v>74</v>
      </c>
      <c r="H934" t="s">
        <v>74</v>
      </c>
      <c r="I934" t="s">
        <v>17751</v>
      </c>
      <c r="J934" t="s">
        <v>462</v>
      </c>
      <c r="K934" t="s">
        <v>74</v>
      </c>
      <c r="L934" t="s">
        <v>74</v>
      </c>
      <c r="M934" t="s">
        <v>78</v>
      </c>
      <c r="N934" t="s">
        <v>79</v>
      </c>
      <c r="O934" t="s">
        <v>74</v>
      </c>
      <c r="P934" t="s">
        <v>74</v>
      </c>
      <c r="Q934" t="s">
        <v>74</v>
      </c>
      <c r="R934" t="s">
        <v>74</v>
      </c>
      <c r="S934" t="s">
        <v>74</v>
      </c>
      <c r="T934" t="s">
        <v>17752</v>
      </c>
      <c r="U934" t="s">
        <v>17753</v>
      </c>
      <c r="V934" t="s">
        <v>17754</v>
      </c>
      <c r="W934" t="s">
        <v>17755</v>
      </c>
      <c r="X934" t="s">
        <v>17756</v>
      </c>
      <c r="Y934" t="s">
        <v>17757</v>
      </c>
      <c r="Z934" t="s">
        <v>17758</v>
      </c>
      <c r="AA934" t="s">
        <v>17759</v>
      </c>
      <c r="AB934" t="s">
        <v>17760</v>
      </c>
      <c r="AC934" t="s">
        <v>17761</v>
      </c>
      <c r="AD934" t="s">
        <v>17762</v>
      </c>
      <c r="AE934" t="s">
        <v>17763</v>
      </c>
      <c r="AF934" t="s">
        <v>74</v>
      </c>
      <c r="AG934">
        <v>101</v>
      </c>
      <c r="AH934">
        <v>1</v>
      </c>
      <c r="AI934">
        <v>1</v>
      </c>
      <c r="AJ934">
        <v>5</v>
      </c>
      <c r="AK934">
        <v>22</v>
      </c>
      <c r="AL934" t="s">
        <v>237</v>
      </c>
      <c r="AM934" t="s">
        <v>238</v>
      </c>
      <c r="AN934" t="s">
        <v>239</v>
      </c>
      <c r="AO934" t="s">
        <v>475</v>
      </c>
      <c r="AP934" t="s">
        <v>476</v>
      </c>
      <c r="AQ934" t="s">
        <v>74</v>
      </c>
      <c r="AR934" t="s">
        <v>477</v>
      </c>
      <c r="AS934" t="s">
        <v>478</v>
      </c>
      <c r="AT934" t="s">
        <v>12004</v>
      </c>
      <c r="AU934">
        <v>2023</v>
      </c>
      <c r="AV934">
        <v>856</v>
      </c>
      <c r="AW934" t="s">
        <v>74</v>
      </c>
      <c r="AX934">
        <v>2</v>
      </c>
      <c r="AY934" t="s">
        <v>74</v>
      </c>
      <c r="AZ934" t="s">
        <v>74</v>
      </c>
      <c r="BA934" t="s">
        <v>74</v>
      </c>
      <c r="BB934" t="s">
        <v>74</v>
      </c>
      <c r="BC934" t="s">
        <v>74</v>
      </c>
      <c r="BD934">
        <v>159284</v>
      </c>
      <c r="BE934" t="s">
        <v>17764</v>
      </c>
      <c r="BF934" t="str">
        <f>HYPERLINK("http://dx.doi.org/10.1016/j.scitotenv.2022.159284","http://dx.doi.org/10.1016/j.scitotenv.2022.159284")</f>
        <v>http://dx.doi.org/10.1016/j.scitotenv.2022.159284</v>
      </c>
      <c r="BG934" t="s">
        <v>74</v>
      </c>
      <c r="BH934" t="s">
        <v>16236</v>
      </c>
      <c r="BI934">
        <v>12</v>
      </c>
      <c r="BJ934" t="s">
        <v>216</v>
      </c>
      <c r="BK934" t="s">
        <v>104</v>
      </c>
      <c r="BL934" t="s">
        <v>217</v>
      </c>
      <c r="BM934" t="s">
        <v>17765</v>
      </c>
      <c r="BN934">
        <v>36209875</v>
      </c>
      <c r="BO934" t="s">
        <v>3561</v>
      </c>
      <c r="BP934" t="s">
        <v>74</v>
      </c>
      <c r="BQ934" t="s">
        <v>74</v>
      </c>
      <c r="BR934" t="s">
        <v>108</v>
      </c>
      <c r="BS934" t="s">
        <v>17766</v>
      </c>
      <c r="BT934" t="str">
        <f>HYPERLINK("https%3A%2F%2Fwww.webofscience.com%2Fwos%2Fwoscc%2Ffull-record%2FWOS:000875215500003","View Full Record in Web of Science")</f>
        <v>View Full Record in Web of Science</v>
      </c>
    </row>
    <row r="935" spans="1:72" x14ac:dyDescent="0.15">
      <c r="A935" t="s">
        <v>72</v>
      </c>
      <c r="B935" t="s">
        <v>17767</v>
      </c>
      <c r="C935" t="s">
        <v>74</v>
      </c>
      <c r="D935" t="s">
        <v>74</v>
      </c>
      <c r="E935" t="s">
        <v>74</v>
      </c>
      <c r="F935" t="s">
        <v>17768</v>
      </c>
      <c r="G935" t="s">
        <v>74</v>
      </c>
      <c r="H935" t="s">
        <v>74</v>
      </c>
      <c r="I935" t="s">
        <v>17769</v>
      </c>
      <c r="J935" t="s">
        <v>12550</v>
      </c>
      <c r="K935" t="s">
        <v>74</v>
      </c>
      <c r="L935" t="s">
        <v>74</v>
      </c>
      <c r="M935" t="s">
        <v>78</v>
      </c>
      <c r="N935" t="s">
        <v>79</v>
      </c>
      <c r="O935" t="s">
        <v>74</v>
      </c>
      <c r="P935" t="s">
        <v>74</v>
      </c>
      <c r="Q935" t="s">
        <v>74</v>
      </c>
      <c r="R935" t="s">
        <v>74</v>
      </c>
      <c r="S935" t="s">
        <v>74</v>
      </c>
      <c r="T935" t="s">
        <v>17770</v>
      </c>
      <c r="U935" t="s">
        <v>17771</v>
      </c>
      <c r="V935" t="s">
        <v>17772</v>
      </c>
      <c r="W935" t="s">
        <v>17773</v>
      </c>
      <c r="X935" t="s">
        <v>17774</v>
      </c>
      <c r="Y935" t="s">
        <v>17775</v>
      </c>
      <c r="Z935" t="s">
        <v>17776</v>
      </c>
      <c r="AA935" t="s">
        <v>74</v>
      </c>
      <c r="AB935" t="s">
        <v>17777</v>
      </c>
      <c r="AC935" t="s">
        <v>17778</v>
      </c>
      <c r="AD935" t="s">
        <v>17779</v>
      </c>
      <c r="AE935" t="s">
        <v>17780</v>
      </c>
      <c r="AF935" t="s">
        <v>74</v>
      </c>
      <c r="AG935">
        <v>40</v>
      </c>
      <c r="AH935">
        <v>1</v>
      </c>
      <c r="AI935">
        <v>1</v>
      </c>
      <c r="AJ935">
        <v>8</v>
      </c>
      <c r="AK935">
        <v>25</v>
      </c>
      <c r="AL935" t="s">
        <v>603</v>
      </c>
      <c r="AM935" t="s">
        <v>208</v>
      </c>
      <c r="AN935" t="s">
        <v>604</v>
      </c>
      <c r="AO935" t="s">
        <v>12563</v>
      </c>
      <c r="AP935" t="s">
        <v>12564</v>
      </c>
      <c r="AQ935" t="s">
        <v>74</v>
      </c>
      <c r="AR935" t="s">
        <v>12565</v>
      </c>
      <c r="AS935" t="s">
        <v>12566</v>
      </c>
      <c r="AT935" t="s">
        <v>2592</v>
      </c>
      <c r="AU935">
        <v>2023</v>
      </c>
      <c r="AV935">
        <v>292</v>
      </c>
      <c r="AW935" t="s">
        <v>74</v>
      </c>
      <c r="AX935" t="s">
        <v>74</v>
      </c>
      <c r="AY935" t="s">
        <v>74</v>
      </c>
      <c r="AZ935" t="s">
        <v>74</v>
      </c>
      <c r="BA935" t="s">
        <v>74</v>
      </c>
      <c r="BB935" t="s">
        <v>74</v>
      </c>
      <c r="BC935" t="s">
        <v>74</v>
      </c>
      <c r="BD935">
        <v>119420</v>
      </c>
      <c r="BE935" t="s">
        <v>17781</v>
      </c>
      <c r="BF935" t="str">
        <f>HYPERLINK("http://dx.doi.org/10.1016/j.atmosenv.2022.119420","http://dx.doi.org/10.1016/j.atmosenv.2022.119420")</f>
        <v>http://dx.doi.org/10.1016/j.atmosenv.2022.119420</v>
      </c>
      <c r="BG935" t="s">
        <v>74</v>
      </c>
      <c r="BH935" t="s">
        <v>16236</v>
      </c>
      <c r="BI935">
        <v>10</v>
      </c>
      <c r="BJ935" t="s">
        <v>5429</v>
      </c>
      <c r="BK935" t="s">
        <v>104</v>
      </c>
      <c r="BL935" t="s">
        <v>355</v>
      </c>
      <c r="BM935" t="s">
        <v>17782</v>
      </c>
      <c r="BN935" t="s">
        <v>74</v>
      </c>
      <c r="BO935" t="s">
        <v>660</v>
      </c>
      <c r="BP935" t="s">
        <v>74</v>
      </c>
      <c r="BQ935" t="s">
        <v>74</v>
      </c>
      <c r="BR935" t="s">
        <v>108</v>
      </c>
      <c r="BS935" t="s">
        <v>17783</v>
      </c>
      <c r="BT935" t="str">
        <f>HYPERLINK("https%3A%2F%2Fwww.webofscience.com%2Fwos%2Fwoscc%2Ffull-record%2FWOS:000875322900003","View Full Record in Web of Science")</f>
        <v>View Full Record in Web of Science</v>
      </c>
    </row>
    <row r="936" spans="1:72" x14ac:dyDescent="0.15">
      <c r="A936" t="s">
        <v>72</v>
      </c>
      <c r="B936" t="s">
        <v>17784</v>
      </c>
      <c r="C936" t="s">
        <v>74</v>
      </c>
      <c r="D936" t="s">
        <v>74</v>
      </c>
      <c r="E936" t="s">
        <v>74</v>
      </c>
      <c r="F936" t="s">
        <v>17785</v>
      </c>
      <c r="G936" t="s">
        <v>74</v>
      </c>
      <c r="H936" t="s">
        <v>74</v>
      </c>
      <c r="I936" t="s">
        <v>17786</v>
      </c>
      <c r="J936" t="s">
        <v>17787</v>
      </c>
      <c r="K936" t="s">
        <v>74</v>
      </c>
      <c r="L936" t="s">
        <v>74</v>
      </c>
      <c r="M936" t="s">
        <v>78</v>
      </c>
      <c r="N936" t="s">
        <v>256</v>
      </c>
      <c r="O936" t="s">
        <v>74</v>
      </c>
      <c r="P936" t="s">
        <v>74</v>
      </c>
      <c r="Q936" t="s">
        <v>74</v>
      </c>
      <c r="R936" t="s">
        <v>74</v>
      </c>
      <c r="S936" t="s">
        <v>74</v>
      </c>
      <c r="T936" t="s">
        <v>17788</v>
      </c>
      <c r="U936" t="s">
        <v>17789</v>
      </c>
      <c r="V936" t="s">
        <v>17790</v>
      </c>
      <c r="W936" t="s">
        <v>17791</v>
      </c>
      <c r="X936" t="s">
        <v>74</v>
      </c>
      <c r="Y936" t="s">
        <v>17792</v>
      </c>
      <c r="Z936" t="s">
        <v>17793</v>
      </c>
      <c r="AA936" t="s">
        <v>74</v>
      </c>
      <c r="AB936" t="s">
        <v>17794</v>
      </c>
      <c r="AC936" t="s">
        <v>74</v>
      </c>
      <c r="AD936" t="s">
        <v>74</v>
      </c>
      <c r="AE936" t="s">
        <v>74</v>
      </c>
      <c r="AF936" t="s">
        <v>74</v>
      </c>
      <c r="AG936">
        <v>35</v>
      </c>
      <c r="AH936">
        <v>1</v>
      </c>
      <c r="AI936">
        <v>1</v>
      </c>
      <c r="AJ936">
        <v>0</v>
      </c>
      <c r="AK936">
        <v>3</v>
      </c>
      <c r="AL936" t="s">
        <v>297</v>
      </c>
      <c r="AM936" t="s">
        <v>298</v>
      </c>
      <c r="AN936" t="s">
        <v>299</v>
      </c>
      <c r="AO936" t="s">
        <v>17795</v>
      </c>
      <c r="AP936" t="s">
        <v>17796</v>
      </c>
      <c r="AQ936" t="s">
        <v>74</v>
      </c>
      <c r="AR936" t="s">
        <v>17797</v>
      </c>
      <c r="AS936" t="s">
        <v>17798</v>
      </c>
      <c r="AT936" t="s">
        <v>13002</v>
      </c>
      <c r="AU936">
        <v>2023</v>
      </c>
      <c r="AV936">
        <v>34</v>
      </c>
      <c r="AW936">
        <v>3</v>
      </c>
      <c r="AX936" t="s">
        <v>74</v>
      </c>
      <c r="AY936" t="s">
        <v>74</v>
      </c>
      <c r="AZ936" t="s">
        <v>754</v>
      </c>
      <c r="BA936" t="s">
        <v>74</v>
      </c>
      <c r="BB936">
        <v>287</v>
      </c>
      <c r="BC936">
        <v>295</v>
      </c>
      <c r="BD936" t="s">
        <v>74</v>
      </c>
      <c r="BE936" t="s">
        <v>17799</v>
      </c>
      <c r="BF936" t="str">
        <f>HYPERLINK("http://dx.doi.org/10.1002/ppp.2175","http://dx.doi.org/10.1002/ppp.2175")</f>
        <v>http://dx.doi.org/10.1002/ppp.2175</v>
      </c>
      <c r="BG936" t="s">
        <v>74</v>
      </c>
      <c r="BH936" t="s">
        <v>16236</v>
      </c>
      <c r="BI936">
        <v>9</v>
      </c>
      <c r="BJ936" t="s">
        <v>17800</v>
      </c>
      <c r="BK936" t="s">
        <v>104</v>
      </c>
      <c r="BL936" t="s">
        <v>612</v>
      </c>
      <c r="BM936" t="s">
        <v>17801</v>
      </c>
      <c r="BN936" t="s">
        <v>74</v>
      </c>
      <c r="BO936" t="s">
        <v>74</v>
      </c>
      <c r="BP936" t="s">
        <v>74</v>
      </c>
      <c r="BQ936" t="s">
        <v>74</v>
      </c>
      <c r="BR936" t="s">
        <v>108</v>
      </c>
      <c r="BS936" t="s">
        <v>17802</v>
      </c>
      <c r="BT936" t="str">
        <f>HYPERLINK("https%3A%2F%2Fwww.webofscience.com%2Fwos%2Fwoscc%2Ffull-record%2FWOS:000868937200001","View Full Record in Web of Science")</f>
        <v>View Full Record in Web of Science</v>
      </c>
    </row>
    <row r="937" spans="1:72" x14ac:dyDescent="0.15">
      <c r="A937" t="s">
        <v>72</v>
      </c>
      <c r="B937" t="s">
        <v>17803</v>
      </c>
      <c r="C937" t="s">
        <v>74</v>
      </c>
      <c r="D937" t="s">
        <v>74</v>
      </c>
      <c r="E937" t="s">
        <v>74</v>
      </c>
      <c r="F937" t="s">
        <v>17804</v>
      </c>
      <c r="G937" t="s">
        <v>74</v>
      </c>
      <c r="H937" t="s">
        <v>74</v>
      </c>
      <c r="I937" t="s">
        <v>17805</v>
      </c>
      <c r="J937" t="s">
        <v>114</v>
      </c>
      <c r="K937" t="s">
        <v>74</v>
      </c>
      <c r="L937" t="s">
        <v>74</v>
      </c>
      <c r="M937" t="s">
        <v>78</v>
      </c>
      <c r="N937" t="s">
        <v>79</v>
      </c>
      <c r="O937" t="s">
        <v>74</v>
      </c>
      <c r="P937" t="s">
        <v>74</v>
      </c>
      <c r="Q937" t="s">
        <v>74</v>
      </c>
      <c r="R937" t="s">
        <v>74</v>
      </c>
      <c r="S937" t="s">
        <v>74</v>
      </c>
      <c r="T937" t="s">
        <v>74</v>
      </c>
      <c r="U937" t="s">
        <v>17806</v>
      </c>
      <c r="V937" t="s">
        <v>17807</v>
      </c>
      <c r="W937" t="s">
        <v>17808</v>
      </c>
      <c r="X937" t="s">
        <v>17809</v>
      </c>
      <c r="Y937" t="s">
        <v>17810</v>
      </c>
      <c r="Z937" t="s">
        <v>17811</v>
      </c>
      <c r="AA937" t="s">
        <v>17812</v>
      </c>
      <c r="AB937" t="s">
        <v>17813</v>
      </c>
      <c r="AC937" t="s">
        <v>17814</v>
      </c>
      <c r="AD937" t="s">
        <v>17815</v>
      </c>
      <c r="AE937" t="s">
        <v>17816</v>
      </c>
      <c r="AF937" t="s">
        <v>74</v>
      </c>
      <c r="AG937">
        <v>46</v>
      </c>
      <c r="AH937">
        <v>2</v>
      </c>
      <c r="AI937">
        <v>2</v>
      </c>
      <c r="AJ937">
        <v>2</v>
      </c>
      <c r="AK937">
        <v>7</v>
      </c>
      <c r="AL937" t="s">
        <v>126</v>
      </c>
      <c r="AM937" t="s">
        <v>127</v>
      </c>
      <c r="AN937" t="s">
        <v>128</v>
      </c>
      <c r="AO937" t="s">
        <v>129</v>
      </c>
      <c r="AP937" t="s">
        <v>130</v>
      </c>
      <c r="AQ937" t="s">
        <v>74</v>
      </c>
      <c r="AR937" t="s">
        <v>131</v>
      </c>
      <c r="AS937" t="s">
        <v>132</v>
      </c>
      <c r="AT937" t="s">
        <v>17817</v>
      </c>
      <c r="AU937">
        <v>2022</v>
      </c>
      <c r="AV937">
        <v>18</v>
      </c>
      <c r="AW937">
        <v>10</v>
      </c>
      <c r="AX937" t="s">
        <v>74</v>
      </c>
      <c r="AY937" t="s">
        <v>74</v>
      </c>
      <c r="AZ937" t="s">
        <v>74</v>
      </c>
      <c r="BA937" t="s">
        <v>74</v>
      </c>
      <c r="BB937">
        <v>2289</v>
      </c>
      <c r="BC937">
        <v>2301</v>
      </c>
      <c r="BD937" t="s">
        <v>74</v>
      </c>
      <c r="BE937" t="s">
        <v>17818</v>
      </c>
      <c r="BF937" t="str">
        <f>HYPERLINK("http://dx.doi.org/10.5194/cp-18-2289-2022","http://dx.doi.org/10.5194/cp-18-2289-2022")</f>
        <v>http://dx.doi.org/10.5194/cp-18-2289-2022</v>
      </c>
      <c r="BG937" t="s">
        <v>74</v>
      </c>
      <c r="BH937" t="s">
        <v>74</v>
      </c>
      <c r="BI937">
        <v>13</v>
      </c>
      <c r="BJ937" t="s">
        <v>135</v>
      </c>
      <c r="BK937" t="s">
        <v>104</v>
      </c>
      <c r="BL937" t="s">
        <v>136</v>
      </c>
      <c r="BM937" t="s">
        <v>17819</v>
      </c>
      <c r="BN937" t="s">
        <v>74</v>
      </c>
      <c r="BO937" t="s">
        <v>737</v>
      </c>
      <c r="BP937" t="s">
        <v>74</v>
      </c>
      <c r="BQ937" t="s">
        <v>74</v>
      </c>
      <c r="BR937" t="s">
        <v>108</v>
      </c>
      <c r="BS937" t="s">
        <v>17820</v>
      </c>
      <c r="BT937" t="str">
        <f>HYPERLINK("https%3A%2F%2Fwww.webofscience.com%2Fwos%2Fwoscc%2Ffull-record%2FWOS:000868740200001","View Full Record in Web of Science")</f>
        <v>View Full Record in Web of Science</v>
      </c>
    </row>
    <row r="938" spans="1:72" x14ac:dyDescent="0.15">
      <c r="A938" t="s">
        <v>72</v>
      </c>
      <c r="B938" t="s">
        <v>17821</v>
      </c>
      <c r="C938" t="s">
        <v>74</v>
      </c>
      <c r="D938" t="s">
        <v>74</v>
      </c>
      <c r="E938" t="s">
        <v>74</v>
      </c>
      <c r="F938" t="s">
        <v>17822</v>
      </c>
      <c r="G938" t="s">
        <v>74</v>
      </c>
      <c r="H938" t="s">
        <v>74</v>
      </c>
      <c r="I938" t="s">
        <v>17823</v>
      </c>
      <c r="J938" t="s">
        <v>17824</v>
      </c>
      <c r="K938" t="s">
        <v>74</v>
      </c>
      <c r="L938" t="s">
        <v>74</v>
      </c>
      <c r="M938" t="s">
        <v>78</v>
      </c>
      <c r="N938" t="s">
        <v>79</v>
      </c>
      <c r="O938" t="s">
        <v>74</v>
      </c>
      <c r="P938" t="s">
        <v>74</v>
      </c>
      <c r="Q938" t="s">
        <v>74</v>
      </c>
      <c r="R938" t="s">
        <v>74</v>
      </c>
      <c r="S938" t="s">
        <v>74</v>
      </c>
      <c r="T938" t="s">
        <v>74</v>
      </c>
      <c r="U938" t="s">
        <v>17825</v>
      </c>
      <c r="V938" t="s">
        <v>17826</v>
      </c>
      <c r="W938" t="s">
        <v>17827</v>
      </c>
      <c r="X938" t="s">
        <v>17828</v>
      </c>
      <c r="Y938" t="s">
        <v>17829</v>
      </c>
      <c r="Z938" t="s">
        <v>17830</v>
      </c>
      <c r="AA938" t="s">
        <v>17831</v>
      </c>
      <c r="AB938" t="s">
        <v>17832</v>
      </c>
      <c r="AC938" t="s">
        <v>17833</v>
      </c>
      <c r="AD938" t="s">
        <v>17834</v>
      </c>
      <c r="AE938" t="s">
        <v>17835</v>
      </c>
      <c r="AF938" t="s">
        <v>74</v>
      </c>
      <c r="AG938">
        <v>85</v>
      </c>
      <c r="AH938">
        <v>0</v>
      </c>
      <c r="AI938">
        <v>0</v>
      </c>
      <c r="AJ938">
        <v>2</v>
      </c>
      <c r="AK938">
        <v>3</v>
      </c>
      <c r="AL938" t="s">
        <v>126</v>
      </c>
      <c r="AM938" t="s">
        <v>127</v>
      </c>
      <c r="AN938" t="s">
        <v>128</v>
      </c>
      <c r="AO938" t="s">
        <v>17836</v>
      </c>
      <c r="AP938" t="s">
        <v>17837</v>
      </c>
      <c r="AQ938" t="s">
        <v>74</v>
      </c>
      <c r="AR938" t="s">
        <v>17838</v>
      </c>
      <c r="AS938" t="s">
        <v>17839</v>
      </c>
      <c r="AT938" t="s">
        <v>17817</v>
      </c>
      <c r="AU938">
        <v>2022</v>
      </c>
      <c r="AV938">
        <v>13</v>
      </c>
      <c r="AW938">
        <v>4</v>
      </c>
      <c r="AX938" t="s">
        <v>74</v>
      </c>
      <c r="AY938" t="s">
        <v>74</v>
      </c>
      <c r="AZ938" t="s">
        <v>74</v>
      </c>
      <c r="BA938" t="s">
        <v>74</v>
      </c>
      <c r="BB938">
        <v>1417</v>
      </c>
      <c r="BC938">
        <v>1435</v>
      </c>
      <c r="BD938" t="s">
        <v>74</v>
      </c>
      <c r="BE938" t="s">
        <v>17840</v>
      </c>
      <c r="BF938" t="str">
        <f>HYPERLINK("http://dx.doi.org/10.5194/esd-13-1417-2022","http://dx.doi.org/10.5194/esd-13-1417-2022")</f>
        <v>http://dx.doi.org/10.5194/esd-13-1417-2022</v>
      </c>
      <c r="BG938" t="s">
        <v>74</v>
      </c>
      <c r="BH938" t="s">
        <v>74</v>
      </c>
      <c r="BI938">
        <v>19</v>
      </c>
      <c r="BJ938" t="s">
        <v>455</v>
      </c>
      <c r="BK938" t="s">
        <v>104</v>
      </c>
      <c r="BL938" t="s">
        <v>456</v>
      </c>
      <c r="BM938" t="s">
        <v>17841</v>
      </c>
      <c r="BN938" t="s">
        <v>74</v>
      </c>
      <c r="BO938" t="s">
        <v>8139</v>
      </c>
      <c r="BP938" t="s">
        <v>74</v>
      </c>
      <c r="BQ938" t="s">
        <v>74</v>
      </c>
      <c r="BR938" t="s">
        <v>108</v>
      </c>
      <c r="BS938" t="s">
        <v>17842</v>
      </c>
      <c r="BT938" t="str">
        <f>HYPERLINK("https%3A%2F%2Fwww.webofscience.com%2Fwos%2Fwoscc%2Ffull-record%2FWOS:000868613200001","View Full Record in Web of Science")</f>
        <v>View Full Record in Web of Science</v>
      </c>
    </row>
    <row r="939" spans="1:72" x14ac:dyDescent="0.15">
      <c r="A939" t="s">
        <v>72</v>
      </c>
      <c r="B939" t="s">
        <v>17843</v>
      </c>
      <c r="C939" t="s">
        <v>74</v>
      </c>
      <c r="D939" t="s">
        <v>74</v>
      </c>
      <c r="E939" t="s">
        <v>74</v>
      </c>
      <c r="F939" t="s">
        <v>17844</v>
      </c>
      <c r="G939" t="s">
        <v>74</v>
      </c>
      <c r="H939" t="s">
        <v>74</v>
      </c>
      <c r="I939" t="s">
        <v>17845</v>
      </c>
      <c r="J939" t="s">
        <v>17846</v>
      </c>
      <c r="K939" t="s">
        <v>74</v>
      </c>
      <c r="L939" t="s">
        <v>74</v>
      </c>
      <c r="M939" t="s">
        <v>78</v>
      </c>
      <c r="N939" t="s">
        <v>79</v>
      </c>
      <c r="O939" t="s">
        <v>74</v>
      </c>
      <c r="P939" t="s">
        <v>74</v>
      </c>
      <c r="Q939" t="s">
        <v>74</v>
      </c>
      <c r="R939" t="s">
        <v>74</v>
      </c>
      <c r="S939" t="s">
        <v>74</v>
      </c>
      <c r="T939" t="s">
        <v>17847</v>
      </c>
      <c r="U939" t="s">
        <v>17848</v>
      </c>
      <c r="V939" t="s">
        <v>17849</v>
      </c>
      <c r="W939" t="s">
        <v>17850</v>
      </c>
      <c r="X939" t="s">
        <v>17851</v>
      </c>
      <c r="Y939" t="s">
        <v>17852</v>
      </c>
      <c r="Z939" t="s">
        <v>17853</v>
      </c>
      <c r="AA939" t="s">
        <v>74</v>
      </c>
      <c r="AB939" t="s">
        <v>17854</v>
      </c>
      <c r="AC939" t="s">
        <v>17855</v>
      </c>
      <c r="AD939" t="s">
        <v>17855</v>
      </c>
      <c r="AE939" t="s">
        <v>17856</v>
      </c>
      <c r="AF939" t="s">
        <v>74</v>
      </c>
      <c r="AG939">
        <v>106</v>
      </c>
      <c r="AH939">
        <v>0</v>
      </c>
      <c r="AI939">
        <v>0</v>
      </c>
      <c r="AJ939">
        <v>1</v>
      </c>
      <c r="AK939">
        <v>5</v>
      </c>
      <c r="AL939" t="s">
        <v>92</v>
      </c>
      <c r="AM939" t="s">
        <v>93</v>
      </c>
      <c r="AN939" t="s">
        <v>94</v>
      </c>
      <c r="AO939" t="s">
        <v>17857</v>
      </c>
      <c r="AP939" t="s">
        <v>17858</v>
      </c>
      <c r="AQ939" t="s">
        <v>74</v>
      </c>
      <c r="AR939" t="s">
        <v>17859</v>
      </c>
      <c r="AS939" t="s">
        <v>17860</v>
      </c>
      <c r="AT939" t="s">
        <v>214</v>
      </c>
      <c r="AU939">
        <v>2023</v>
      </c>
      <c r="AV939">
        <v>112</v>
      </c>
      <c r="AW939" t="s">
        <v>74</v>
      </c>
      <c r="AX939" t="s">
        <v>74</v>
      </c>
      <c r="AY939" t="s">
        <v>74</v>
      </c>
      <c r="AZ939" t="s">
        <v>74</v>
      </c>
      <c r="BA939" t="s">
        <v>74</v>
      </c>
      <c r="BB939">
        <v>1</v>
      </c>
      <c r="BC939">
        <v>19</v>
      </c>
      <c r="BD939" t="s">
        <v>17861</v>
      </c>
      <c r="BE939" t="s">
        <v>17862</v>
      </c>
      <c r="BF939" t="str">
        <f>HYPERLINK("http://dx.doi.org/10.1017/qua.2022.42","http://dx.doi.org/10.1017/qua.2022.42")</f>
        <v>http://dx.doi.org/10.1017/qua.2022.42</v>
      </c>
      <c r="BG939" t="s">
        <v>74</v>
      </c>
      <c r="BH939" t="s">
        <v>16236</v>
      </c>
      <c r="BI939">
        <v>19</v>
      </c>
      <c r="BJ939" t="s">
        <v>611</v>
      </c>
      <c r="BK939" t="s">
        <v>104</v>
      </c>
      <c r="BL939" t="s">
        <v>612</v>
      </c>
      <c r="BM939" t="s">
        <v>17863</v>
      </c>
      <c r="BN939" t="s">
        <v>74</v>
      </c>
      <c r="BO939" t="s">
        <v>219</v>
      </c>
      <c r="BP939" t="s">
        <v>74</v>
      </c>
      <c r="BQ939" t="s">
        <v>74</v>
      </c>
      <c r="BR939" t="s">
        <v>108</v>
      </c>
      <c r="BS939" t="s">
        <v>17864</v>
      </c>
      <c r="BT939" t="str">
        <f>HYPERLINK("https%3A%2F%2Fwww.webofscience.com%2Fwos%2Fwoscc%2Ffull-record%2FWOS:000868459900001","View Full Record in Web of Science")</f>
        <v>View Full Record in Web of Science</v>
      </c>
    </row>
    <row r="940" spans="1:72" x14ac:dyDescent="0.15">
      <c r="A940" t="s">
        <v>72</v>
      </c>
      <c r="B940" t="s">
        <v>17865</v>
      </c>
      <c r="C940" t="s">
        <v>74</v>
      </c>
      <c r="D940" t="s">
        <v>74</v>
      </c>
      <c r="E940" t="s">
        <v>74</v>
      </c>
      <c r="F940" t="s">
        <v>17866</v>
      </c>
      <c r="G940" t="s">
        <v>74</v>
      </c>
      <c r="H940" t="s">
        <v>74</v>
      </c>
      <c r="I940" t="s">
        <v>17867</v>
      </c>
      <c r="J940" t="s">
        <v>14324</v>
      </c>
      <c r="K940" t="s">
        <v>74</v>
      </c>
      <c r="L940" t="s">
        <v>74</v>
      </c>
      <c r="M940" t="s">
        <v>78</v>
      </c>
      <c r="N940" t="s">
        <v>743</v>
      </c>
      <c r="O940" t="s">
        <v>74</v>
      </c>
      <c r="P940" t="s">
        <v>74</v>
      </c>
      <c r="Q940" t="s">
        <v>74</v>
      </c>
      <c r="R940" t="s">
        <v>74</v>
      </c>
      <c r="S940" t="s">
        <v>74</v>
      </c>
      <c r="T940" t="s">
        <v>74</v>
      </c>
      <c r="U940" t="s">
        <v>17868</v>
      </c>
      <c r="V940" t="s">
        <v>74</v>
      </c>
      <c r="W940" t="s">
        <v>17869</v>
      </c>
      <c r="X940" t="s">
        <v>17096</v>
      </c>
      <c r="Y940" t="s">
        <v>17870</v>
      </c>
      <c r="Z940" t="s">
        <v>17871</v>
      </c>
      <c r="AA940" t="s">
        <v>74</v>
      </c>
      <c r="AB940" t="s">
        <v>74</v>
      </c>
      <c r="AC940" t="s">
        <v>17872</v>
      </c>
      <c r="AD940" t="s">
        <v>17872</v>
      </c>
      <c r="AE940" t="s">
        <v>17872</v>
      </c>
      <c r="AF940" t="s">
        <v>74</v>
      </c>
      <c r="AG940">
        <v>10</v>
      </c>
      <c r="AH940">
        <v>0</v>
      </c>
      <c r="AI940">
        <v>0</v>
      </c>
      <c r="AJ940">
        <v>0</v>
      </c>
      <c r="AK940">
        <v>1</v>
      </c>
      <c r="AL940" t="s">
        <v>297</v>
      </c>
      <c r="AM940" t="s">
        <v>298</v>
      </c>
      <c r="AN940" t="s">
        <v>299</v>
      </c>
      <c r="AO940" t="s">
        <v>14336</v>
      </c>
      <c r="AP940" t="s">
        <v>14337</v>
      </c>
      <c r="AQ940" t="s">
        <v>74</v>
      </c>
      <c r="AR940" t="s">
        <v>14338</v>
      </c>
      <c r="AS940" t="s">
        <v>14339</v>
      </c>
      <c r="AT940" t="s">
        <v>276</v>
      </c>
      <c r="AU940">
        <v>2023</v>
      </c>
      <c r="AV940">
        <v>29</v>
      </c>
      <c r="AW940">
        <v>1</v>
      </c>
      <c r="AX940" t="s">
        <v>74</v>
      </c>
      <c r="AY940" t="s">
        <v>74</v>
      </c>
      <c r="AZ940" t="s">
        <v>74</v>
      </c>
      <c r="BA940" t="s">
        <v>74</v>
      </c>
      <c r="BB940">
        <v>5</v>
      </c>
      <c r="BC940">
        <v>6</v>
      </c>
      <c r="BD940" t="s">
        <v>74</v>
      </c>
      <c r="BE940" t="s">
        <v>17873</v>
      </c>
      <c r="BF940" t="str">
        <f>HYPERLINK("http://dx.doi.org/10.1111/gcb.16468","http://dx.doi.org/10.1111/gcb.16468")</f>
        <v>http://dx.doi.org/10.1111/gcb.16468</v>
      </c>
      <c r="BG940" t="s">
        <v>74</v>
      </c>
      <c r="BH940" t="s">
        <v>16236</v>
      </c>
      <c r="BI940">
        <v>2</v>
      </c>
      <c r="BJ940" t="s">
        <v>8549</v>
      </c>
      <c r="BK940" t="s">
        <v>104</v>
      </c>
      <c r="BL940" t="s">
        <v>306</v>
      </c>
      <c r="BM940" t="s">
        <v>17874</v>
      </c>
      <c r="BN940">
        <v>36196663</v>
      </c>
      <c r="BO940" t="s">
        <v>14302</v>
      </c>
      <c r="BP940" t="s">
        <v>74</v>
      </c>
      <c r="BQ940" t="s">
        <v>74</v>
      </c>
      <c r="BR940" t="s">
        <v>108</v>
      </c>
      <c r="BS940" t="s">
        <v>17875</v>
      </c>
      <c r="BT940" t="str">
        <f>HYPERLINK("https%3A%2F%2Fwww.webofscience.com%2Fwos%2Fwoscc%2Ffull-record%2FWOS:000868809200001","View Full Record in Web of Science")</f>
        <v>View Full Record in Web of Science</v>
      </c>
    </row>
    <row r="941" spans="1:72" x14ac:dyDescent="0.15">
      <c r="A941" t="s">
        <v>72</v>
      </c>
      <c r="B941" t="s">
        <v>17876</v>
      </c>
      <c r="C941" t="s">
        <v>74</v>
      </c>
      <c r="D941" t="s">
        <v>74</v>
      </c>
      <c r="E941" t="s">
        <v>74</v>
      </c>
      <c r="F941" t="s">
        <v>17877</v>
      </c>
      <c r="G941" t="s">
        <v>74</v>
      </c>
      <c r="H941" t="s">
        <v>74</v>
      </c>
      <c r="I941" t="s">
        <v>17878</v>
      </c>
      <c r="J941" t="s">
        <v>17879</v>
      </c>
      <c r="K941" t="s">
        <v>74</v>
      </c>
      <c r="L941" t="s">
        <v>74</v>
      </c>
      <c r="M941" t="s">
        <v>78</v>
      </c>
      <c r="N941" t="s">
        <v>79</v>
      </c>
      <c r="O941" t="s">
        <v>74</v>
      </c>
      <c r="P941" t="s">
        <v>74</v>
      </c>
      <c r="Q941" t="s">
        <v>74</v>
      </c>
      <c r="R941" t="s">
        <v>74</v>
      </c>
      <c r="S941" t="s">
        <v>74</v>
      </c>
      <c r="T941" t="s">
        <v>17880</v>
      </c>
      <c r="U941" t="s">
        <v>17881</v>
      </c>
      <c r="V941" t="s">
        <v>17882</v>
      </c>
      <c r="W941" t="s">
        <v>17883</v>
      </c>
      <c r="X941" t="s">
        <v>17884</v>
      </c>
      <c r="Y941" t="s">
        <v>17885</v>
      </c>
      <c r="Z941" t="s">
        <v>17886</v>
      </c>
      <c r="AA941" t="s">
        <v>17887</v>
      </c>
      <c r="AB941" t="s">
        <v>17888</v>
      </c>
      <c r="AC941" t="s">
        <v>74</v>
      </c>
      <c r="AD941" t="s">
        <v>74</v>
      </c>
      <c r="AE941" t="s">
        <v>74</v>
      </c>
      <c r="AF941" t="s">
        <v>74</v>
      </c>
      <c r="AG941">
        <v>55</v>
      </c>
      <c r="AH941">
        <v>1</v>
      </c>
      <c r="AI941">
        <v>1</v>
      </c>
      <c r="AJ941">
        <v>0</v>
      </c>
      <c r="AK941">
        <v>6</v>
      </c>
      <c r="AL941" t="s">
        <v>92</v>
      </c>
      <c r="AM941" t="s">
        <v>7640</v>
      </c>
      <c r="AN941" t="s">
        <v>7811</v>
      </c>
      <c r="AO941" t="s">
        <v>17889</v>
      </c>
      <c r="AP941" t="s">
        <v>17890</v>
      </c>
      <c r="AQ941" t="s">
        <v>74</v>
      </c>
      <c r="AR941" t="s">
        <v>17891</v>
      </c>
      <c r="AS941" t="s">
        <v>17892</v>
      </c>
      <c r="AT941" t="s">
        <v>17817</v>
      </c>
      <c r="AU941">
        <v>2022</v>
      </c>
      <c r="AV941">
        <v>96</v>
      </c>
      <c r="AW941" t="s">
        <v>74</v>
      </c>
      <c r="AX941" t="s">
        <v>74</v>
      </c>
      <c r="AY941" t="s">
        <v>74</v>
      </c>
      <c r="AZ941" t="s">
        <v>74</v>
      </c>
      <c r="BA941" t="s">
        <v>74</v>
      </c>
      <c r="BB941" t="s">
        <v>74</v>
      </c>
      <c r="BC941" t="s">
        <v>74</v>
      </c>
      <c r="BD941" t="s">
        <v>17893</v>
      </c>
      <c r="BE941" t="s">
        <v>17894</v>
      </c>
      <c r="BF941" t="str">
        <f>HYPERLINK("http://dx.doi.org/10.1017/S0022149X22000657","http://dx.doi.org/10.1017/S0022149X22000657")</f>
        <v>http://dx.doi.org/10.1017/S0022149X22000657</v>
      </c>
      <c r="BG941" t="s">
        <v>74</v>
      </c>
      <c r="BH941" t="s">
        <v>74</v>
      </c>
      <c r="BI941">
        <v>11</v>
      </c>
      <c r="BJ941" t="s">
        <v>17895</v>
      </c>
      <c r="BK941" t="s">
        <v>104</v>
      </c>
      <c r="BL941" t="s">
        <v>17895</v>
      </c>
      <c r="BM941" t="s">
        <v>17896</v>
      </c>
      <c r="BN941">
        <v>36250341</v>
      </c>
      <c r="BO941" t="s">
        <v>74</v>
      </c>
      <c r="BP941" t="s">
        <v>74</v>
      </c>
      <c r="BQ941" t="s">
        <v>74</v>
      </c>
      <c r="BR941" t="s">
        <v>108</v>
      </c>
      <c r="BS941" t="s">
        <v>17897</v>
      </c>
      <c r="BT941" t="str">
        <f>HYPERLINK("https%3A%2F%2Fwww.webofscience.com%2Fwos%2Fwoscc%2Ffull-record%2FWOS:000868585600001","View Full Record in Web of Science")</f>
        <v>View Full Record in Web of Science</v>
      </c>
    </row>
    <row r="942" spans="1:72" x14ac:dyDescent="0.15">
      <c r="A942" t="s">
        <v>72</v>
      </c>
      <c r="B942" t="s">
        <v>17898</v>
      </c>
      <c r="C942" t="s">
        <v>74</v>
      </c>
      <c r="D942" t="s">
        <v>74</v>
      </c>
      <c r="E942" t="s">
        <v>74</v>
      </c>
      <c r="F942" t="s">
        <v>17899</v>
      </c>
      <c r="G942" t="s">
        <v>74</v>
      </c>
      <c r="H942" t="s">
        <v>74</v>
      </c>
      <c r="I942" t="s">
        <v>17900</v>
      </c>
      <c r="J942" t="s">
        <v>17901</v>
      </c>
      <c r="K942" t="s">
        <v>74</v>
      </c>
      <c r="L942" t="s">
        <v>74</v>
      </c>
      <c r="M942" t="s">
        <v>78</v>
      </c>
      <c r="N942" t="s">
        <v>79</v>
      </c>
      <c r="O942" t="s">
        <v>74</v>
      </c>
      <c r="P942" t="s">
        <v>74</v>
      </c>
      <c r="Q942" t="s">
        <v>74</v>
      </c>
      <c r="R942" t="s">
        <v>74</v>
      </c>
      <c r="S942" t="s">
        <v>74</v>
      </c>
      <c r="T942" t="s">
        <v>74</v>
      </c>
      <c r="U942" t="s">
        <v>17902</v>
      </c>
      <c r="V942" t="s">
        <v>17903</v>
      </c>
      <c r="W942" t="s">
        <v>17904</v>
      </c>
      <c r="X942" t="s">
        <v>17905</v>
      </c>
      <c r="Y942" t="s">
        <v>17906</v>
      </c>
      <c r="Z942" t="s">
        <v>17907</v>
      </c>
      <c r="AA942" t="s">
        <v>74</v>
      </c>
      <c r="AB942" t="s">
        <v>17908</v>
      </c>
      <c r="AC942" t="s">
        <v>17909</v>
      </c>
      <c r="AD942" t="s">
        <v>5478</v>
      </c>
      <c r="AE942" t="s">
        <v>17910</v>
      </c>
      <c r="AF942" t="s">
        <v>74</v>
      </c>
      <c r="AG942">
        <v>58</v>
      </c>
      <c r="AH942">
        <v>2</v>
      </c>
      <c r="AI942">
        <v>2</v>
      </c>
      <c r="AJ942">
        <v>1</v>
      </c>
      <c r="AK942">
        <v>4</v>
      </c>
      <c r="AL942" t="s">
        <v>297</v>
      </c>
      <c r="AM942" t="s">
        <v>298</v>
      </c>
      <c r="AN942" t="s">
        <v>299</v>
      </c>
      <c r="AO942" t="s">
        <v>17911</v>
      </c>
      <c r="AP942" t="s">
        <v>17912</v>
      </c>
      <c r="AQ942" t="s">
        <v>74</v>
      </c>
      <c r="AR942" t="s">
        <v>17913</v>
      </c>
      <c r="AS942" t="s">
        <v>17914</v>
      </c>
      <c r="AT942" t="s">
        <v>9310</v>
      </c>
      <c r="AU942">
        <v>2022</v>
      </c>
      <c r="AV942">
        <v>191</v>
      </c>
      <c r="AW942">
        <v>11</v>
      </c>
      <c r="AX942" t="s">
        <v>74</v>
      </c>
      <c r="AY942" t="s">
        <v>74</v>
      </c>
      <c r="AZ942" t="s">
        <v>74</v>
      </c>
      <c r="BA942" t="s">
        <v>74</v>
      </c>
      <c r="BB942" t="s">
        <v>74</v>
      </c>
      <c r="BC942" t="s">
        <v>74</v>
      </c>
      <c r="BD942" t="s">
        <v>17915</v>
      </c>
      <c r="BE942" t="s">
        <v>17916</v>
      </c>
      <c r="BF942" t="str">
        <f>HYPERLINK("http://dx.doi.org/10.1002/vetr.2238","http://dx.doi.org/10.1002/vetr.2238")</f>
        <v>http://dx.doi.org/10.1002/vetr.2238</v>
      </c>
      <c r="BG942" t="s">
        <v>74</v>
      </c>
      <c r="BH942" t="s">
        <v>16236</v>
      </c>
      <c r="BI942">
        <v>12</v>
      </c>
      <c r="BJ942" t="s">
        <v>2924</v>
      </c>
      <c r="BK942" t="s">
        <v>104</v>
      </c>
      <c r="BL942" t="s">
        <v>2924</v>
      </c>
      <c r="BM942" t="s">
        <v>17917</v>
      </c>
      <c r="BN942">
        <v>36251215</v>
      </c>
      <c r="BO942" t="s">
        <v>219</v>
      </c>
      <c r="BP942" t="s">
        <v>74</v>
      </c>
      <c r="BQ942" t="s">
        <v>74</v>
      </c>
      <c r="BR942" t="s">
        <v>108</v>
      </c>
      <c r="BS942" t="s">
        <v>17918</v>
      </c>
      <c r="BT942" t="str">
        <f>HYPERLINK("https%3A%2F%2Fwww.webofscience.com%2Fwos%2Fwoscc%2Ffull-record%2FWOS:000868760700001","View Full Record in Web of Science")</f>
        <v>View Full Record in Web of Science</v>
      </c>
    </row>
    <row r="943" spans="1:72" x14ac:dyDescent="0.15">
      <c r="A943" t="s">
        <v>72</v>
      </c>
      <c r="B943" t="s">
        <v>17919</v>
      </c>
      <c r="C943" t="s">
        <v>74</v>
      </c>
      <c r="D943" t="s">
        <v>74</v>
      </c>
      <c r="E943" t="s">
        <v>74</v>
      </c>
      <c r="F943" t="s">
        <v>17920</v>
      </c>
      <c r="G943" t="s">
        <v>74</v>
      </c>
      <c r="H943" t="s">
        <v>74</v>
      </c>
      <c r="I943" t="s">
        <v>17921</v>
      </c>
      <c r="J943" t="s">
        <v>618</v>
      </c>
      <c r="K943" t="s">
        <v>74</v>
      </c>
      <c r="L943" t="s">
        <v>74</v>
      </c>
      <c r="M943" t="s">
        <v>78</v>
      </c>
      <c r="N943" t="s">
        <v>79</v>
      </c>
      <c r="O943" t="s">
        <v>74</v>
      </c>
      <c r="P943" t="s">
        <v>74</v>
      </c>
      <c r="Q943" t="s">
        <v>74</v>
      </c>
      <c r="R943" t="s">
        <v>74</v>
      </c>
      <c r="S943" t="s">
        <v>74</v>
      </c>
      <c r="T943" t="s">
        <v>17922</v>
      </c>
      <c r="U943" t="s">
        <v>17923</v>
      </c>
      <c r="V943" t="s">
        <v>17924</v>
      </c>
      <c r="W943" t="s">
        <v>17925</v>
      </c>
      <c r="X943" t="s">
        <v>17926</v>
      </c>
      <c r="Y943" t="s">
        <v>17927</v>
      </c>
      <c r="Z943" t="s">
        <v>17928</v>
      </c>
      <c r="AA943" t="s">
        <v>17929</v>
      </c>
      <c r="AB943" t="s">
        <v>17930</v>
      </c>
      <c r="AC943" t="s">
        <v>17931</v>
      </c>
      <c r="AD943" t="s">
        <v>17932</v>
      </c>
      <c r="AE943" t="s">
        <v>17933</v>
      </c>
      <c r="AF943" t="s">
        <v>74</v>
      </c>
      <c r="AG943">
        <v>80</v>
      </c>
      <c r="AH943">
        <v>1</v>
      </c>
      <c r="AI943">
        <v>1</v>
      </c>
      <c r="AJ943">
        <v>2</v>
      </c>
      <c r="AK943">
        <v>11</v>
      </c>
      <c r="AL943" t="s">
        <v>269</v>
      </c>
      <c r="AM943" t="s">
        <v>93</v>
      </c>
      <c r="AN943" t="s">
        <v>397</v>
      </c>
      <c r="AO943" t="s">
        <v>630</v>
      </c>
      <c r="AP943" t="s">
        <v>631</v>
      </c>
      <c r="AQ943" t="s">
        <v>74</v>
      </c>
      <c r="AR943" t="s">
        <v>632</v>
      </c>
      <c r="AS943" t="s">
        <v>633</v>
      </c>
      <c r="AT943" t="s">
        <v>14975</v>
      </c>
      <c r="AU943">
        <v>2022</v>
      </c>
      <c r="AV943">
        <v>45</v>
      </c>
      <c r="AW943">
        <v>11</v>
      </c>
      <c r="AX943" t="s">
        <v>74</v>
      </c>
      <c r="AY943" t="s">
        <v>74</v>
      </c>
      <c r="AZ943" t="s">
        <v>74</v>
      </c>
      <c r="BA943" t="s">
        <v>74</v>
      </c>
      <c r="BB943">
        <v>1607</v>
      </c>
      <c r="BC943">
        <v>1621</v>
      </c>
      <c r="BD943" t="s">
        <v>74</v>
      </c>
      <c r="BE943" t="s">
        <v>17934</v>
      </c>
      <c r="BF943" t="str">
        <f>HYPERLINK("http://dx.doi.org/10.1007/s00300-022-03092-7","http://dx.doi.org/10.1007/s00300-022-03092-7")</f>
        <v>http://dx.doi.org/10.1007/s00300-022-03092-7</v>
      </c>
      <c r="BG943" t="s">
        <v>74</v>
      </c>
      <c r="BH943" t="s">
        <v>16236</v>
      </c>
      <c r="BI943">
        <v>15</v>
      </c>
      <c r="BJ943" t="s">
        <v>305</v>
      </c>
      <c r="BK943" t="s">
        <v>104</v>
      </c>
      <c r="BL943" t="s">
        <v>306</v>
      </c>
      <c r="BM943" t="s">
        <v>17467</v>
      </c>
      <c r="BN943" t="s">
        <v>74</v>
      </c>
      <c r="BO943" t="s">
        <v>74</v>
      </c>
      <c r="BP943" t="s">
        <v>74</v>
      </c>
      <c r="BQ943" t="s">
        <v>74</v>
      </c>
      <c r="BR943" t="s">
        <v>108</v>
      </c>
      <c r="BS943" t="s">
        <v>17935</v>
      </c>
      <c r="BT943" t="str">
        <f>HYPERLINK("https%3A%2F%2Fwww.webofscience.com%2Fwos%2Fwoscc%2Ffull-record%2FWOS:000868470600001","View Full Record in Web of Science")</f>
        <v>View Full Record in Web of Science</v>
      </c>
    </row>
    <row r="944" spans="1:72" x14ac:dyDescent="0.15">
      <c r="A944" t="s">
        <v>72</v>
      </c>
      <c r="B944" t="s">
        <v>17936</v>
      </c>
      <c r="C944" t="s">
        <v>74</v>
      </c>
      <c r="D944" t="s">
        <v>74</v>
      </c>
      <c r="E944" t="s">
        <v>74</v>
      </c>
      <c r="F944" t="s">
        <v>17937</v>
      </c>
      <c r="G944" t="s">
        <v>74</v>
      </c>
      <c r="H944" t="s">
        <v>74</v>
      </c>
      <c r="I944" t="s">
        <v>17938</v>
      </c>
      <c r="J944" t="s">
        <v>618</v>
      </c>
      <c r="K944" t="s">
        <v>74</v>
      </c>
      <c r="L944" t="s">
        <v>74</v>
      </c>
      <c r="M944" t="s">
        <v>78</v>
      </c>
      <c r="N944" t="s">
        <v>79</v>
      </c>
      <c r="O944" t="s">
        <v>74</v>
      </c>
      <c r="P944" t="s">
        <v>74</v>
      </c>
      <c r="Q944" t="s">
        <v>74</v>
      </c>
      <c r="R944" t="s">
        <v>74</v>
      </c>
      <c r="S944" t="s">
        <v>74</v>
      </c>
      <c r="T944" t="s">
        <v>17939</v>
      </c>
      <c r="U944" t="s">
        <v>17940</v>
      </c>
      <c r="V944" t="s">
        <v>17941</v>
      </c>
      <c r="W944" t="s">
        <v>17942</v>
      </c>
      <c r="X944" t="s">
        <v>17943</v>
      </c>
      <c r="Y944" t="s">
        <v>17944</v>
      </c>
      <c r="Z944" t="s">
        <v>17945</v>
      </c>
      <c r="AA944" t="s">
        <v>17946</v>
      </c>
      <c r="AB944" t="s">
        <v>17947</v>
      </c>
      <c r="AC944" t="s">
        <v>17948</v>
      </c>
      <c r="AD944" t="s">
        <v>17948</v>
      </c>
      <c r="AE944" t="s">
        <v>17949</v>
      </c>
      <c r="AF944" t="s">
        <v>74</v>
      </c>
      <c r="AG944">
        <v>43</v>
      </c>
      <c r="AH944">
        <v>0</v>
      </c>
      <c r="AI944">
        <v>0</v>
      </c>
      <c r="AJ944">
        <v>0</v>
      </c>
      <c r="AK944">
        <v>3</v>
      </c>
      <c r="AL944" t="s">
        <v>269</v>
      </c>
      <c r="AM944" t="s">
        <v>93</v>
      </c>
      <c r="AN944" t="s">
        <v>397</v>
      </c>
      <c r="AO944" t="s">
        <v>630</v>
      </c>
      <c r="AP944" t="s">
        <v>631</v>
      </c>
      <c r="AQ944" t="s">
        <v>74</v>
      </c>
      <c r="AR944" t="s">
        <v>632</v>
      </c>
      <c r="AS944" t="s">
        <v>633</v>
      </c>
      <c r="AT944" t="s">
        <v>14975</v>
      </c>
      <c r="AU944">
        <v>2022</v>
      </c>
      <c r="AV944">
        <v>45</v>
      </c>
      <c r="AW944">
        <v>11</v>
      </c>
      <c r="AX944" t="s">
        <v>74</v>
      </c>
      <c r="AY944" t="s">
        <v>74</v>
      </c>
      <c r="AZ944" t="s">
        <v>74</v>
      </c>
      <c r="BA944" t="s">
        <v>74</v>
      </c>
      <c r="BB944">
        <v>1623</v>
      </c>
      <c r="BC944">
        <v>1634</v>
      </c>
      <c r="BD944" t="s">
        <v>74</v>
      </c>
      <c r="BE944" t="s">
        <v>17950</v>
      </c>
      <c r="BF944" t="str">
        <f>HYPERLINK("http://dx.doi.org/10.1007/s00300-022-03095-4","http://dx.doi.org/10.1007/s00300-022-03095-4")</f>
        <v>http://dx.doi.org/10.1007/s00300-022-03095-4</v>
      </c>
      <c r="BG944" t="s">
        <v>74</v>
      </c>
      <c r="BH944" t="s">
        <v>16236</v>
      </c>
      <c r="BI944">
        <v>12</v>
      </c>
      <c r="BJ944" t="s">
        <v>305</v>
      </c>
      <c r="BK944" t="s">
        <v>104</v>
      </c>
      <c r="BL944" t="s">
        <v>306</v>
      </c>
      <c r="BM944" t="s">
        <v>17467</v>
      </c>
      <c r="BN944" t="s">
        <v>74</v>
      </c>
      <c r="BO944" t="s">
        <v>219</v>
      </c>
      <c r="BP944" t="s">
        <v>74</v>
      </c>
      <c r="BQ944" t="s">
        <v>74</v>
      </c>
      <c r="BR944" t="s">
        <v>108</v>
      </c>
      <c r="BS944" t="s">
        <v>17951</v>
      </c>
      <c r="BT944" t="str">
        <f>HYPERLINK("https%3A%2F%2Fwww.webofscience.com%2Fwos%2Fwoscc%2Ffull-record%2FWOS:000868470600002","View Full Record in Web of Science")</f>
        <v>View Full Record in Web of Science</v>
      </c>
    </row>
    <row r="945" spans="1:72" x14ac:dyDescent="0.15">
      <c r="A945" t="s">
        <v>72</v>
      </c>
      <c r="B945" t="s">
        <v>17952</v>
      </c>
      <c r="C945" t="s">
        <v>74</v>
      </c>
      <c r="D945" t="s">
        <v>74</v>
      </c>
      <c r="E945" t="s">
        <v>74</v>
      </c>
      <c r="F945" t="s">
        <v>17953</v>
      </c>
      <c r="G945" t="s">
        <v>74</v>
      </c>
      <c r="H945" t="s">
        <v>74</v>
      </c>
      <c r="I945" t="s">
        <v>17954</v>
      </c>
      <c r="J945" t="s">
        <v>6736</v>
      </c>
      <c r="K945" t="s">
        <v>74</v>
      </c>
      <c r="L945" t="s">
        <v>74</v>
      </c>
      <c r="M945" t="s">
        <v>78</v>
      </c>
      <c r="N945" t="s">
        <v>79</v>
      </c>
      <c r="O945" t="s">
        <v>74</v>
      </c>
      <c r="P945" t="s">
        <v>74</v>
      </c>
      <c r="Q945" t="s">
        <v>74</v>
      </c>
      <c r="R945" t="s">
        <v>74</v>
      </c>
      <c r="S945" t="s">
        <v>74</v>
      </c>
      <c r="T945" t="s">
        <v>17955</v>
      </c>
      <c r="U945" t="s">
        <v>17956</v>
      </c>
      <c r="V945" t="s">
        <v>17957</v>
      </c>
      <c r="W945" t="s">
        <v>17958</v>
      </c>
      <c r="X945" t="s">
        <v>8612</v>
      </c>
      <c r="Y945" t="s">
        <v>17959</v>
      </c>
      <c r="Z945" t="s">
        <v>17960</v>
      </c>
      <c r="AA945" t="s">
        <v>17961</v>
      </c>
      <c r="AB945" t="s">
        <v>17962</v>
      </c>
      <c r="AC945" t="s">
        <v>17963</v>
      </c>
      <c r="AD945" t="s">
        <v>17964</v>
      </c>
      <c r="AE945" t="s">
        <v>17965</v>
      </c>
      <c r="AF945" t="s">
        <v>74</v>
      </c>
      <c r="AG945">
        <v>47</v>
      </c>
      <c r="AH945">
        <v>4</v>
      </c>
      <c r="AI945">
        <v>4</v>
      </c>
      <c r="AJ945">
        <v>2</v>
      </c>
      <c r="AK945">
        <v>7</v>
      </c>
      <c r="AL945" t="s">
        <v>1791</v>
      </c>
      <c r="AM945" t="s">
        <v>576</v>
      </c>
      <c r="AN945" t="s">
        <v>1792</v>
      </c>
      <c r="AO945" t="s">
        <v>6747</v>
      </c>
      <c r="AP945" t="s">
        <v>6748</v>
      </c>
      <c r="AQ945" t="s">
        <v>74</v>
      </c>
      <c r="AR945" t="s">
        <v>6749</v>
      </c>
      <c r="AS945" t="s">
        <v>6750</v>
      </c>
      <c r="AT945" t="s">
        <v>17966</v>
      </c>
      <c r="AU945">
        <v>2022</v>
      </c>
      <c r="AV945">
        <v>49</v>
      </c>
      <c r="AW945">
        <v>19</v>
      </c>
      <c r="AX945" t="s">
        <v>74</v>
      </c>
      <c r="AY945" t="s">
        <v>74</v>
      </c>
      <c r="AZ945" t="s">
        <v>74</v>
      </c>
      <c r="BA945" t="s">
        <v>74</v>
      </c>
      <c r="BB945" t="s">
        <v>74</v>
      </c>
      <c r="BC945" t="s">
        <v>74</v>
      </c>
      <c r="BD945" t="s">
        <v>17967</v>
      </c>
      <c r="BE945" t="s">
        <v>17968</v>
      </c>
      <c r="BF945" t="str">
        <f>HYPERLINK("http://dx.doi.org/10.1029/2022GL099653","http://dx.doi.org/10.1029/2022GL099653")</f>
        <v>http://dx.doi.org/10.1029/2022GL099653</v>
      </c>
      <c r="BG945" t="s">
        <v>74</v>
      </c>
      <c r="BH945" t="s">
        <v>74</v>
      </c>
      <c r="BI945">
        <v>10</v>
      </c>
      <c r="BJ945" t="s">
        <v>455</v>
      </c>
      <c r="BK945" t="s">
        <v>104</v>
      </c>
      <c r="BL945" t="s">
        <v>456</v>
      </c>
      <c r="BM945" t="s">
        <v>17969</v>
      </c>
      <c r="BN945" t="s">
        <v>74</v>
      </c>
      <c r="BO945" t="s">
        <v>3561</v>
      </c>
      <c r="BP945" t="s">
        <v>74</v>
      </c>
      <c r="BQ945" t="s">
        <v>74</v>
      </c>
      <c r="BR945" t="s">
        <v>108</v>
      </c>
      <c r="BS945" t="s">
        <v>17970</v>
      </c>
      <c r="BT945" t="str">
        <f>HYPERLINK("https%3A%2F%2Fwww.webofscience.com%2Fwos%2Fwoscc%2Ffull-record%2FWOS:000863592500001","View Full Record in Web of Science")</f>
        <v>View Full Record in Web of Science</v>
      </c>
    </row>
    <row r="946" spans="1:72" x14ac:dyDescent="0.15">
      <c r="A946" t="s">
        <v>72</v>
      </c>
      <c r="B946" t="s">
        <v>17971</v>
      </c>
      <c r="C946" t="s">
        <v>74</v>
      </c>
      <c r="D946" t="s">
        <v>74</v>
      </c>
      <c r="E946" t="s">
        <v>74</v>
      </c>
      <c r="F946" t="s">
        <v>17972</v>
      </c>
      <c r="G946" t="s">
        <v>74</v>
      </c>
      <c r="H946" t="s">
        <v>74</v>
      </c>
      <c r="I946" t="s">
        <v>17973</v>
      </c>
      <c r="J946" t="s">
        <v>6736</v>
      </c>
      <c r="K946" t="s">
        <v>74</v>
      </c>
      <c r="L946" t="s">
        <v>74</v>
      </c>
      <c r="M946" t="s">
        <v>78</v>
      </c>
      <c r="N946" t="s">
        <v>79</v>
      </c>
      <c r="O946" t="s">
        <v>74</v>
      </c>
      <c r="P946" t="s">
        <v>74</v>
      </c>
      <c r="Q946" t="s">
        <v>74</v>
      </c>
      <c r="R946" t="s">
        <v>74</v>
      </c>
      <c r="S946" t="s">
        <v>74</v>
      </c>
      <c r="T946" t="s">
        <v>17974</v>
      </c>
      <c r="U946" t="s">
        <v>17975</v>
      </c>
      <c r="V946" t="s">
        <v>17976</v>
      </c>
      <c r="W946" t="s">
        <v>17977</v>
      </c>
      <c r="X946" t="s">
        <v>17978</v>
      </c>
      <c r="Y946" t="s">
        <v>17979</v>
      </c>
      <c r="Z946" t="s">
        <v>17980</v>
      </c>
      <c r="AA946" t="s">
        <v>17981</v>
      </c>
      <c r="AB946" t="s">
        <v>17982</v>
      </c>
      <c r="AC946" t="s">
        <v>17983</v>
      </c>
      <c r="AD946" t="s">
        <v>17984</v>
      </c>
      <c r="AE946" t="s">
        <v>17985</v>
      </c>
      <c r="AF946" t="s">
        <v>74</v>
      </c>
      <c r="AG946">
        <v>79</v>
      </c>
      <c r="AH946">
        <v>2</v>
      </c>
      <c r="AI946">
        <v>2</v>
      </c>
      <c r="AJ946">
        <v>3</v>
      </c>
      <c r="AK946">
        <v>8</v>
      </c>
      <c r="AL946" t="s">
        <v>1791</v>
      </c>
      <c r="AM946" t="s">
        <v>576</v>
      </c>
      <c r="AN946" t="s">
        <v>1792</v>
      </c>
      <c r="AO946" t="s">
        <v>6747</v>
      </c>
      <c r="AP946" t="s">
        <v>6748</v>
      </c>
      <c r="AQ946" t="s">
        <v>74</v>
      </c>
      <c r="AR946" t="s">
        <v>6749</v>
      </c>
      <c r="AS946" t="s">
        <v>6750</v>
      </c>
      <c r="AT946" t="s">
        <v>17966</v>
      </c>
      <c r="AU946">
        <v>2022</v>
      </c>
      <c r="AV946">
        <v>49</v>
      </c>
      <c r="AW946">
        <v>19</v>
      </c>
      <c r="AX946" t="s">
        <v>74</v>
      </c>
      <c r="AY946" t="s">
        <v>74</v>
      </c>
      <c r="AZ946" t="s">
        <v>74</v>
      </c>
      <c r="BA946" t="s">
        <v>74</v>
      </c>
      <c r="BB946" t="s">
        <v>74</v>
      </c>
      <c r="BC946" t="s">
        <v>74</v>
      </c>
      <c r="BD946" t="s">
        <v>17986</v>
      </c>
      <c r="BE946" t="s">
        <v>17987</v>
      </c>
      <c r="BF946" t="str">
        <f>HYPERLINK("http://dx.doi.org/10.1029/2021GL097627","http://dx.doi.org/10.1029/2021GL097627")</f>
        <v>http://dx.doi.org/10.1029/2021GL097627</v>
      </c>
      <c r="BG946" t="s">
        <v>74</v>
      </c>
      <c r="BH946" t="s">
        <v>74</v>
      </c>
      <c r="BI946">
        <v>10</v>
      </c>
      <c r="BJ946" t="s">
        <v>455</v>
      </c>
      <c r="BK946" t="s">
        <v>104</v>
      </c>
      <c r="BL946" t="s">
        <v>456</v>
      </c>
      <c r="BM946" t="s">
        <v>17988</v>
      </c>
      <c r="BN946" t="s">
        <v>74</v>
      </c>
      <c r="BO946" t="s">
        <v>219</v>
      </c>
      <c r="BP946" t="s">
        <v>74</v>
      </c>
      <c r="BQ946" t="s">
        <v>74</v>
      </c>
      <c r="BR946" t="s">
        <v>108</v>
      </c>
      <c r="BS946" t="s">
        <v>17989</v>
      </c>
      <c r="BT946" t="str">
        <f>HYPERLINK("https%3A%2F%2Fwww.webofscience.com%2Fwos%2Fwoscc%2Ffull-record%2FWOS:000861864000001","View Full Record in Web of Science")</f>
        <v>View Full Record in Web of Science</v>
      </c>
    </row>
    <row r="947" spans="1:72" x14ac:dyDescent="0.15">
      <c r="A947" t="s">
        <v>72</v>
      </c>
      <c r="B947" t="s">
        <v>17990</v>
      </c>
      <c r="C947" t="s">
        <v>74</v>
      </c>
      <c r="D947" t="s">
        <v>74</v>
      </c>
      <c r="E947" t="s">
        <v>74</v>
      </c>
      <c r="F947" t="s">
        <v>17990</v>
      </c>
      <c r="G947" t="s">
        <v>74</v>
      </c>
      <c r="H947" t="s">
        <v>74</v>
      </c>
      <c r="I947" t="s">
        <v>17991</v>
      </c>
      <c r="J947" t="s">
        <v>6736</v>
      </c>
      <c r="K947" t="s">
        <v>74</v>
      </c>
      <c r="L947" t="s">
        <v>74</v>
      </c>
      <c r="M947" t="s">
        <v>78</v>
      </c>
      <c r="N947" t="s">
        <v>79</v>
      </c>
      <c r="O947" t="s">
        <v>74</v>
      </c>
      <c r="P947" t="s">
        <v>74</v>
      </c>
      <c r="Q947" t="s">
        <v>74</v>
      </c>
      <c r="R947" t="s">
        <v>74</v>
      </c>
      <c r="S947" t="s">
        <v>74</v>
      </c>
      <c r="T947" t="s">
        <v>17992</v>
      </c>
      <c r="U947" t="s">
        <v>17993</v>
      </c>
      <c r="V947" t="s">
        <v>17994</v>
      </c>
      <c r="W947" t="s">
        <v>17995</v>
      </c>
      <c r="X947" t="s">
        <v>17096</v>
      </c>
      <c r="Y947" t="s">
        <v>17996</v>
      </c>
      <c r="Z947" t="s">
        <v>17997</v>
      </c>
      <c r="AA947" t="s">
        <v>17998</v>
      </c>
      <c r="AB947" t="s">
        <v>17999</v>
      </c>
      <c r="AC947" t="s">
        <v>18000</v>
      </c>
      <c r="AD947" t="s">
        <v>18001</v>
      </c>
      <c r="AE947" t="s">
        <v>18002</v>
      </c>
      <c r="AF947" t="s">
        <v>74</v>
      </c>
      <c r="AG947">
        <v>28</v>
      </c>
      <c r="AH947">
        <v>7</v>
      </c>
      <c r="AI947">
        <v>7</v>
      </c>
      <c r="AJ947">
        <v>3</v>
      </c>
      <c r="AK947">
        <v>12</v>
      </c>
      <c r="AL947" t="s">
        <v>1791</v>
      </c>
      <c r="AM947" t="s">
        <v>576</v>
      </c>
      <c r="AN947" t="s">
        <v>1792</v>
      </c>
      <c r="AO947" t="s">
        <v>6747</v>
      </c>
      <c r="AP947" t="s">
        <v>6748</v>
      </c>
      <c r="AQ947" t="s">
        <v>74</v>
      </c>
      <c r="AR947" t="s">
        <v>6749</v>
      </c>
      <c r="AS947" t="s">
        <v>6750</v>
      </c>
      <c r="AT947" t="s">
        <v>17966</v>
      </c>
      <c r="AU947">
        <v>2022</v>
      </c>
      <c r="AV947">
        <v>49</v>
      </c>
      <c r="AW947">
        <v>19</v>
      </c>
      <c r="AX947" t="s">
        <v>74</v>
      </c>
      <c r="AY947" t="s">
        <v>74</v>
      </c>
      <c r="AZ947" t="s">
        <v>74</v>
      </c>
      <c r="BA947" t="s">
        <v>74</v>
      </c>
      <c r="BB947" t="s">
        <v>74</v>
      </c>
      <c r="BC947" t="s">
        <v>74</v>
      </c>
      <c r="BD947" t="s">
        <v>18003</v>
      </c>
      <c r="BE947" t="s">
        <v>18004</v>
      </c>
      <c r="BF947" t="str">
        <f>HYPERLINK("http://dx.doi.org/10.1029/2022GL100693","http://dx.doi.org/10.1029/2022GL100693")</f>
        <v>http://dx.doi.org/10.1029/2022GL100693</v>
      </c>
      <c r="BG947" t="s">
        <v>74</v>
      </c>
      <c r="BH947" t="s">
        <v>74</v>
      </c>
      <c r="BI947">
        <v>7</v>
      </c>
      <c r="BJ947" t="s">
        <v>455</v>
      </c>
      <c r="BK947" t="s">
        <v>104</v>
      </c>
      <c r="BL947" t="s">
        <v>456</v>
      </c>
      <c r="BM947" t="s">
        <v>18005</v>
      </c>
      <c r="BN947" t="s">
        <v>74</v>
      </c>
      <c r="BO947" t="s">
        <v>5191</v>
      </c>
      <c r="BP947" t="s">
        <v>74</v>
      </c>
      <c r="BQ947" t="s">
        <v>74</v>
      </c>
      <c r="BR947" t="s">
        <v>108</v>
      </c>
      <c r="BS947" t="s">
        <v>18006</v>
      </c>
      <c r="BT947" t="str">
        <f>HYPERLINK("https%3A%2F%2Fwww.webofscience.com%2Fwos%2Fwoscc%2Ffull-record%2FWOS:000861865400001","View Full Record in Web of Science")</f>
        <v>View Full Record in Web of Science</v>
      </c>
    </row>
    <row r="948" spans="1:72" x14ac:dyDescent="0.15">
      <c r="A948" t="s">
        <v>72</v>
      </c>
      <c r="B948" t="s">
        <v>18007</v>
      </c>
      <c r="C948" t="s">
        <v>74</v>
      </c>
      <c r="D948" t="s">
        <v>74</v>
      </c>
      <c r="E948" t="s">
        <v>74</v>
      </c>
      <c r="F948" t="s">
        <v>18008</v>
      </c>
      <c r="G948" t="s">
        <v>74</v>
      </c>
      <c r="H948" t="s">
        <v>74</v>
      </c>
      <c r="I948" t="s">
        <v>18009</v>
      </c>
      <c r="J948" t="s">
        <v>10280</v>
      </c>
      <c r="K948" t="s">
        <v>74</v>
      </c>
      <c r="L948" t="s">
        <v>74</v>
      </c>
      <c r="M948" t="s">
        <v>78</v>
      </c>
      <c r="N948" t="s">
        <v>79</v>
      </c>
      <c r="O948" t="s">
        <v>74</v>
      </c>
      <c r="P948" t="s">
        <v>74</v>
      </c>
      <c r="Q948" t="s">
        <v>74</v>
      </c>
      <c r="R948" t="s">
        <v>74</v>
      </c>
      <c r="S948" t="s">
        <v>74</v>
      </c>
      <c r="T948" t="s">
        <v>18010</v>
      </c>
      <c r="U948" t="s">
        <v>18011</v>
      </c>
      <c r="V948" t="s">
        <v>18012</v>
      </c>
      <c r="W948" t="s">
        <v>18013</v>
      </c>
      <c r="X948" t="s">
        <v>18014</v>
      </c>
      <c r="Y948" t="s">
        <v>18015</v>
      </c>
      <c r="Z948" t="s">
        <v>18016</v>
      </c>
      <c r="AA948" t="s">
        <v>18017</v>
      </c>
      <c r="AB948" t="s">
        <v>18018</v>
      </c>
      <c r="AC948" t="s">
        <v>18019</v>
      </c>
      <c r="AD948" t="s">
        <v>18020</v>
      </c>
      <c r="AE948" t="s">
        <v>18021</v>
      </c>
      <c r="AF948" t="s">
        <v>74</v>
      </c>
      <c r="AG948">
        <v>49</v>
      </c>
      <c r="AH948">
        <v>5</v>
      </c>
      <c r="AI948">
        <v>5</v>
      </c>
      <c r="AJ948">
        <v>2</v>
      </c>
      <c r="AK948">
        <v>5</v>
      </c>
      <c r="AL948" t="s">
        <v>4804</v>
      </c>
      <c r="AM948" t="s">
        <v>4805</v>
      </c>
      <c r="AN948" t="s">
        <v>4806</v>
      </c>
      <c r="AO948" t="s">
        <v>10293</v>
      </c>
      <c r="AP948" t="s">
        <v>10294</v>
      </c>
      <c r="AQ948" t="s">
        <v>74</v>
      </c>
      <c r="AR948" t="s">
        <v>10295</v>
      </c>
      <c r="AS948" t="s">
        <v>10296</v>
      </c>
      <c r="AT948" t="s">
        <v>18022</v>
      </c>
      <c r="AU948">
        <v>2022</v>
      </c>
      <c r="AV948">
        <v>35</v>
      </c>
      <c r="AW948">
        <v>20</v>
      </c>
      <c r="AX948" t="s">
        <v>74</v>
      </c>
      <c r="AY948" t="s">
        <v>74</v>
      </c>
      <c r="AZ948" t="s">
        <v>74</v>
      </c>
      <c r="BA948" t="s">
        <v>74</v>
      </c>
      <c r="BB948">
        <v>3157</v>
      </c>
      <c r="BC948">
        <v>3172</v>
      </c>
      <c r="BD948" t="s">
        <v>74</v>
      </c>
      <c r="BE948" t="s">
        <v>18023</v>
      </c>
      <c r="BF948" t="str">
        <f>HYPERLINK("http://dx.doi.org/10.1175/JCLI-D-20-0972.1","http://dx.doi.org/10.1175/JCLI-D-20-0972.1")</f>
        <v>http://dx.doi.org/10.1175/JCLI-D-20-0972.1</v>
      </c>
      <c r="BG948" t="s">
        <v>74</v>
      </c>
      <c r="BH948" t="s">
        <v>74</v>
      </c>
      <c r="BI948">
        <v>16</v>
      </c>
      <c r="BJ948" t="s">
        <v>532</v>
      </c>
      <c r="BK948" t="s">
        <v>104</v>
      </c>
      <c r="BL948" t="s">
        <v>532</v>
      </c>
      <c r="BM948" t="s">
        <v>18024</v>
      </c>
      <c r="BN948" t="s">
        <v>74</v>
      </c>
      <c r="BO948" t="s">
        <v>1279</v>
      </c>
      <c r="BP948" t="s">
        <v>74</v>
      </c>
      <c r="BQ948" t="s">
        <v>74</v>
      </c>
      <c r="BR948" t="s">
        <v>108</v>
      </c>
      <c r="BS948" t="s">
        <v>18025</v>
      </c>
      <c r="BT948" t="str">
        <f>HYPERLINK("https%3A%2F%2Fwww.webofscience.com%2Fwos%2Fwoscc%2Ffull-record%2FWOS:000888269400015","View Full Record in Web of Science")</f>
        <v>View Full Record in Web of Science</v>
      </c>
    </row>
    <row r="949" spans="1:72" x14ac:dyDescent="0.15">
      <c r="A949" t="s">
        <v>72</v>
      </c>
      <c r="B949" t="s">
        <v>18026</v>
      </c>
      <c r="C949" t="s">
        <v>74</v>
      </c>
      <c r="D949" t="s">
        <v>74</v>
      </c>
      <c r="E949" t="s">
        <v>74</v>
      </c>
      <c r="F949" t="s">
        <v>18027</v>
      </c>
      <c r="G949" t="s">
        <v>74</v>
      </c>
      <c r="H949" t="s">
        <v>74</v>
      </c>
      <c r="I949" t="s">
        <v>18028</v>
      </c>
      <c r="J949" t="s">
        <v>170</v>
      </c>
      <c r="K949" t="s">
        <v>74</v>
      </c>
      <c r="L949" t="s">
        <v>74</v>
      </c>
      <c r="M949" t="s">
        <v>78</v>
      </c>
      <c r="N949" t="s">
        <v>79</v>
      </c>
      <c r="O949" t="s">
        <v>74</v>
      </c>
      <c r="P949" t="s">
        <v>74</v>
      </c>
      <c r="Q949" t="s">
        <v>74</v>
      </c>
      <c r="R949" t="s">
        <v>74</v>
      </c>
      <c r="S949" t="s">
        <v>74</v>
      </c>
      <c r="T949" t="s">
        <v>74</v>
      </c>
      <c r="U949" t="s">
        <v>18029</v>
      </c>
      <c r="V949" t="s">
        <v>18030</v>
      </c>
      <c r="W949" t="s">
        <v>18031</v>
      </c>
      <c r="X949" t="s">
        <v>18032</v>
      </c>
      <c r="Y949" t="s">
        <v>18033</v>
      </c>
      <c r="Z949" t="s">
        <v>18034</v>
      </c>
      <c r="AA949" t="s">
        <v>18035</v>
      </c>
      <c r="AB949" t="s">
        <v>18036</v>
      </c>
      <c r="AC949" t="s">
        <v>18037</v>
      </c>
      <c r="AD949" t="s">
        <v>18038</v>
      </c>
      <c r="AE949" t="s">
        <v>18039</v>
      </c>
      <c r="AF949" t="s">
        <v>74</v>
      </c>
      <c r="AG949">
        <v>67</v>
      </c>
      <c r="AH949">
        <v>4</v>
      </c>
      <c r="AI949">
        <v>4</v>
      </c>
      <c r="AJ949">
        <v>2</v>
      </c>
      <c r="AK949">
        <v>10</v>
      </c>
      <c r="AL949" t="s">
        <v>182</v>
      </c>
      <c r="AM949" t="s">
        <v>183</v>
      </c>
      <c r="AN949" t="s">
        <v>184</v>
      </c>
      <c r="AO949" t="s">
        <v>185</v>
      </c>
      <c r="AP949" t="s">
        <v>74</v>
      </c>
      <c r="AQ949" t="s">
        <v>74</v>
      </c>
      <c r="AR949" t="s">
        <v>186</v>
      </c>
      <c r="AS949" t="s">
        <v>187</v>
      </c>
      <c r="AT949" t="s">
        <v>18022</v>
      </c>
      <c r="AU949">
        <v>2022</v>
      </c>
      <c r="AV949">
        <v>12</v>
      </c>
      <c r="AW949">
        <v>1</v>
      </c>
      <c r="AX949" t="s">
        <v>74</v>
      </c>
      <c r="AY949" t="s">
        <v>74</v>
      </c>
      <c r="AZ949" t="s">
        <v>74</v>
      </c>
      <c r="BA949" t="s">
        <v>74</v>
      </c>
      <c r="BB949" t="s">
        <v>74</v>
      </c>
      <c r="BC949" t="s">
        <v>74</v>
      </c>
      <c r="BD949">
        <v>17301</v>
      </c>
      <c r="BE949" t="s">
        <v>18040</v>
      </c>
      <c r="BF949" t="str">
        <f>HYPERLINK("http://dx.doi.org/10.1038/s41598-022-22289-8","http://dx.doi.org/10.1038/s41598-022-22289-8")</f>
        <v>http://dx.doi.org/10.1038/s41598-022-22289-8</v>
      </c>
      <c r="BG949" t="s">
        <v>74</v>
      </c>
      <c r="BH949" t="s">
        <v>74</v>
      </c>
      <c r="BI949">
        <v>13</v>
      </c>
      <c r="BJ949" t="s">
        <v>189</v>
      </c>
      <c r="BK949" t="s">
        <v>104</v>
      </c>
      <c r="BL949" t="s">
        <v>190</v>
      </c>
      <c r="BM949" t="s">
        <v>18041</v>
      </c>
      <c r="BN949">
        <v>36243887</v>
      </c>
      <c r="BO949" t="s">
        <v>3181</v>
      </c>
      <c r="BP949" t="s">
        <v>74</v>
      </c>
      <c r="BQ949" t="s">
        <v>74</v>
      </c>
      <c r="BR949" t="s">
        <v>108</v>
      </c>
      <c r="BS949" t="s">
        <v>18042</v>
      </c>
      <c r="BT949" t="str">
        <f>HYPERLINK("https%3A%2F%2Fwww.webofscience.com%2Fwos%2Fwoscc%2Ffull-record%2FWOS:000869292100045","View Full Record in Web of Science")</f>
        <v>View Full Record in Web of Science</v>
      </c>
    </row>
    <row r="950" spans="1:72" x14ac:dyDescent="0.15">
      <c r="A950" t="s">
        <v>72</v>
      </c>
      <c r="B950" t="s">
        <v>18043</v>
      </c>
      <c r="C950" t="s">
        <v>74</v>
      </c>
      <c r="D950" t="s">
        <v>74</v>
      </c>
      <c r="E950" t="s">
        <v>74</v>
      </c>
      <c r="F950" t="s">
        <v>18044</v>
      </c>
      <c r="G950" t="s">
        <v>74</v>
      </c>
      <c r="H950" t="s">
        <v>74</v>
      </c>
      <c r="I950" t="s">
        <v>18045</v>
      </c>
      <c r="J950" t="s">
        <v>590</v>
      </c>
      <c r="K950" t="s">
        <v>74</v>
      </c>
      <c r="L950" t="s">
        <v>74</v>
      </c>
      <c r="M950" t="s">
        <v>78</v>
      </c>
      <c r="N950" t="s">
        <v>79</v>
      </c>
      <c r="O950" t="s">
        <v>74</v>
      </c>
      <c r="P950" t="s">
        <v>74</v>
      </c>
      <c r="Q950" t="s">
        <v>74</v>
      </c>
      <c r="R950" t="s">
        <v>74</v>
      </c>
      <c r="S950" t="s">
        <v>74</v>
      </c>
      <c r="T950" t="s">
        <v>18046</v>
      </c>
      <c r="U950" t="s">
        <v>18047</v>
      </c>
      <c r="V950" t="s">
        <v>18048</v>
      </c>
      <c r="W950" t="s">
        <v>18049</v>
      </c>
      <c r="X950" t="s">
        <v>18050</v>
      </c>
      <c r="Y950" t="s">
        <v>18051</v>
      </c>
      <c r="Z950" t="s">
        <v>18052</v>
      </c>
      <c r="AA950" t="s">
        <v>18053</v>
      </c>
      <c r="AB950" t="s">
        <v>18054</v>
      </c>
      <c r="AC950" t="s">
        <v>18055</v>
      </c>
      <c r="AD950" t="s">
        <v>18056</v>
      </c>
      <c r="AE950" t="s">
        <v>18057</v>
      </c>
      <c r="AF950" t="s">
        <v>74</v>
      </c>
      <c r="AG950">
        <v>129</v>
      </c>
      <c r="AH950">
        <v>4</v>
      </c>
      <c r="AI950">
        <v>4</v>
      </c>
      <c r="AJ950">
        <v>3</v>
      </c>
      <c r="AK950">
        <v>18</v>
      </c>
      <c r="AL950" t="s">
        <v>603</v>
      </c>
      <c r="AM950" t="s">
        <v>208</v>
      </c>
      <c r="AN950" t="s">
        <v>604</v>
      </c>
      <c r="AO950" t="s">
        <v>605</v>
      </c>
      <c r="AP950" t="s">
        <v>606</v>
      </c>
      <c r="AQ950" t="s">
        <v>74</v>
      </c>
      <c r="AR950" t="s">
        <v>607</v>
      </c>
      <c r="AS950" t="s">
        <v>608</v>
      </c>
      <c r="AT950" t="s">
        <v>18022</v>
      </c>
      <c r="AU950">
        <v>2022</v>
      </c>
      <c r="AV950">
        <v>294</v>
      </c>
      <c r="AW950" t="s">
        <v>74</v>
      </c>
      <c r="AX950" t="s">
        <v>74</v>
      </c>
      <c r="AY950" t="s">
        <v>74</v>
      </c>
      <c r="AZ950" t="s">
        <v>74</v>
      </c>
      <c r="BA950" t="s">
        <v>74</v>
      </c>
      <c r="BB950" t="s">
        <v>74</v>
      </c>
      <c r="BC950" t="s">
        <v>74</v>
      </c>
      <c r="BD950">
        <v>107751</v>
      </c>
      <c r="BE950" t="s">
        <v>18058</v>
      </c>
      <c r="BF950" t="str">
        <f>HYPERLINK("http://dx.doi.org/10.1016/j.quascirev.2022.107751","http://dx.doi.org/10.1016/j.quascirev.2022.107751")</f>
        <v>http://dx.doi.org/10.1016/j.quascirev.2022.107751</v>
      </c>
      <c r="BG950" t="s">
        <v>74</v>
      </c>
      <c r="BH950" t="s">
        <v>74</v>
      </c>
      <c r="BI950">
        <v>18</v>
      </c>
      <c r="BJ950" t="s">
        <v>611</v>
      </c>
      <c r="BK950" t="s">
        <v>104</v>
      </c>
      <c r="BL950" t="s">
        <v>612</v>
      </c>
      <c r="BM950" t="s">
        <v>18059</v>
      </c>
      <c r="BN950" t="s">
        <v>74</v>
      </c>
      <c r="BO950" t="s">
        <v>74</v>
      </c>
      <c r="BP950" t="s">
        <v>74</v>
      </c>
      <c r="BQ950" t="s">
        <v>74</v>
      </c>
      <c r="BR950" t="s">
        <v>108</v>
      </c>
      <c r="BS950" t="s">
        <v>18060</v>
      </c>
      <c r="BT950" t="str">
        <f>HYPERLINK("https%3A%2F%2Fwww.webofscience.com%2Fwos%2Fwoscc%2Ffull-record%2FWOS:000862280000003","View Full Record in Web of Science")</f>
        <v>View Full Record in Web of Science</v>
      </c>
    </row>
    <row r="951" spans="1:72" x14ac:dyDescent="0.15">
      <c r="A951" t="s">
        <v>72</v>
      </c>
      <c r="B951" t="s">
        <v>18061</v>
      </c>
      <c r="C951" t="s">
        <v>74</v>
      </c>
      <c r="D951" t="s">
        <v>74</v>
      </c>
      <c r="E951" t="s">
        <v>74</v>
      </c>
      <c r="F951" t="s">
        <v>18062</v>
      </c>
      <c r="G951" t="s">
        <v>74</v>
      </c>
      <c r="H951" t="s">
        <v>74</v>
      </c>
      <c r="I951" t="s">
        <v>18063</v>
      </c>
      <c r="J951" t="s">
        <v>13880</v>
      </c>
      <c r="K951" t="s">
        <v>74</v>
      </c>
      <c r="L951" t="s">
        <v>74</v>
      </c>
      <c r="M951" t="s">
        <v>78</v>
      </c>
      <c r="N951" t="s">
        <v>79</v>
      </c>
      <c r="O951" t="s">
        <v>74</v>
      </c>
      <c r="P951" t="s">
        <v>74</v>
      </c>
      <c r="Q951" t="s">
        <v>74</v>
      </c>
      <c r="R951" t="s">
        <v>74</v>
      </c>
      <c r="S951" t="s">
        <v>74</v>
      </c>
      <c r="T951" t="s">
        <v>74</v>
      </c>
      <c r="U951" t="s">
        <v>18064</v>
      </c>
      <c r="V951" t="s">
        <v>18065</v>
      </c>
      <c r="W951" t="s">
        <v>18066</v>
      </c>
      <c r="X951" t="s">
        <v>18067</v>
      </c>
      <c r="Y951" t="s">
        <v>18068</v>
      </c>
      <c r="Z951" t="s">
        <v>18069</v>
      </c>
      <c r="AA951" t="s">
        <v>18070</v>
      </c>
      <c r="AB951" t="s">
        <v>18071</v>
      </c>
      <c r="AC951" t="s">
        <v>74</v>
      </c>
      <c r="AD951" t="s">
        <v>74</v>
      </c>
      <c r="AE951" t="s">
        <v>74</v>
      </c>
      <c r="AF951" t="s">
        <v>74</v>
      </c>
      <c r="AG951">
        <v>107</v>
      </c>
      <c r="AH951">
        <v>0</v>
      </c>
      <c r="AI951">
        <v>0</v>
      </c>
      <c r="AJ951">
        <v>1</v>
      </c>
      <c r="AK951">
        <v>4</v>
      </c>
      <c r="AL951" t="s">
        <v>10131</v>
      </c>
      <c r="AM951" t="s">
        <v>10132</v>
      </c>
      <c r="AN951" t="s">
        <v>10133</v>
      </c>
      <c r="AO951" t="s">
        <v>13890</v>
      </c>
      <c r="AP951" t="s">
        <v>74</v>
      </c>
      <c r="AQ951" t="s">
        <v>74</v>
      </c>
      <c r="AR951" t="s">
        <v>13880</v>
      </c>
      <c r="AS951" t="s">
        <v>13891</v>
      </c>
      <c r="AT951" t="s">
        <v>18072</v>
      </c>
      <c r="AU951">
        <v>2022</v>
      </c>
      <c r="AV951">
        <v>17</v>
      </c>
      <c r="AW951">
        <v>10</v>
      </c>
      <c r="AX951" t="s">
        <v>74</v>
      </c>
      <c r="AY951" t="s">
        <v>74</v>
      </c>
      <c r="AZ951" t="s">
        <v>74</v>
      </c>
      <c r="BA951" t="s">
        <v>74</v>
      </c>
      <c r="BB951" t="s">
        <v>74</v>
      </c>
      <c r="BC951" t="s">
        <v>74</v>
      </c>
      <c r="BD951" t="s">
        <v>18073</v>
      </c>
      <c r="BE951" t="s">
        <v>18074</v>
      </c>
      <c r="BF951" t="str">
        <f>HYPERLINK("http://dx.doi.org/10.1371/journal.pone.0276287","http://dx.doi.org/10.1371/journal.pone.0276287")</f>
        <v>http://dx.doi.org/10.1371/journal.pone.0276287</v>
      </c>
      <c r="BG951" t="s">
        <v>74</v>
      </c>
      <c r="BH951" t="s">
        <v>74</v>
      </c>
      <c r="BI951">
        <v>20</v>
      </c>
      <c r="BJ951" t="s">
        <v>189</v>
      </c>
      <c r="BK951" t="s">
        <v>104</v>
      </c>
      <c r="BL951" t="s">
        <v>190</v>
      </c>
      <c r="BM951" t="s">
        <v>18075</v>
      </c>
      <c r="BN951">
        <v>36240154</v>
      </c>
      <c r="BO951" t="s">
        <v>192</v>
      </c>
      <c r="BP951" t="s">
        <v>74</v>
      </c>
      <c r="BQ951" t="s">
        <v>74</v>
      </c>
      <c r="BR951" t="s">
        <v>108</v>
      </c>
      <c r="BS951" t="s">
        <v>18076</v>
      </c>
      <c r="BT951" t="str">
        <f>HYPERLINK("https%3A%2F%2Fwww.webofscience.com%2Fwos%2Fwoscc%2Ffull-record%2FWOS:000924854300090","View Full Record in Web of Science")</f>
        <v>View Full Record in Web of Science</v>
      </c>
    </row>
    <row r="952" spans="1:72" x14ac:dyDescent="0.15">
      <c r="A952" t="s">
        <v>72</v>
      </c>
      <c r="B952" t="s">
        <v>18077</v>
      </c>
      <c r="C952" t="s">
        <v>74</v>
      </c>
      <c r="D952" t="s">
        <v>74</v>
      </c>
      <c r="E952" t="s">
        <v>74</v>
      </c>
      <c r="F952" t="s">
        <v>18078</v>
      </c>
      <c r="G952" t="s">
        <v>74</v>
      </c>
      <c r="H952" t="s">
        <v>74</v>
      </c>
      <c r="I952" t="s">
        <v>18079</v>
      </c>
      <c r="J952" t="s">
        <v>6711</v>
      </c>
      <c r="K952" t="s">
        <v>74</v>
      </c>
      <c r="L952" t="s">
        <v>74</v>
      </c>
      <c r="M952" t="s">
        <v>78</v>
      </c>
      <c r="N952" t="s">
        <v>79</v>
      </c>
      <c r="O952" t="s">
        <v>74</v>
      </c>
      <c r="P952" t="s">
        <v>74</v>
      </c>
      <c r="Q952" t="s">
        <v>74</v>
      </c>
      <c r="R952" t="s">
        <v>74</v>
      </c>
      <c r="S952" t="s">
        <v>74</v>
      </c>
      <c r="T952" t="s">
        <v>18080</v>
      </c>
      <c r="U952" t="s">
        <v>18081</v>
      </c>
      <c r="V952" t="s">
        <v>18082</v>
      </c>
      <c r="W952" t="s">
        <v>18083</v>
      </c>
      <c r="X952" t="s">
        <v>18084</v>
      </c>
      <c r="Y952" t="s">
        <v>18085</v>
      </c>
      <c r="Z952" t="s">
        <v>18086</v>
      </c>
      <c r="AA952" t="s">
        <v>74</v>
      </c>
      <c r="AB952" t="s">
        <v>18087</v>
      </c>
      <c r="AC952" t="s">
        <v>18088</v>
      </c>
      <c r="AD952" t="s">
        <v>18088</v>
      </c>
      <c r="AE952" t="s">
        <v>18089</v>
      </c>
      <c r="AF952" t="s">
        <v>74</v>
      </c>
      <c r="AG952">
        <v>57</v>
      </c>
      <c r="AH952">
        <v>3</v>
      </c>
      <c r="AI952">
        <v>3</v>
      </c>
      <c r="AJ952">
        <v>1</v>
      </c>
      <c r="AK952">
        <v>5</v>
      </c>
      <c r="AL952" t="s">
        <v>603</v>
      </c>
      <c r="AM952" t="s">
        <v>208</v>
      </c>
      <c r="AN952" t="s">
        <v>604</v>
      </c>
      <c r="AO952" t="s">
        <v>6723</v>
      </c>
      <c r="AP952" t="s">
        <v>6724</v>
      </c>
      <c r="AQ952" t="s">
        <v>74</v>
      </c>
      <c r="AR952" t="s">
        <v>6725</v>
      </c>
      <c r="AS952" t="s">
        <v>6726</v>
      </c>
      <c r="AT952" t="s">
        <v>9001</v>
      </c>
      <c r="AU952">
        <v>2022</v>
      </c>
      <c r="AV952">
        <v>185</v>
      </c>
      <c r="AW952" t="s">
        <v>74</v>
      </c>
      <c r="AX952" t="s">
        <v>12005</v>
      </c>
      <c r="AY952" t="s">
        <v>74</v>
      </c>
      <c r="AZ952" t="s">
        <v>74</v>
      </c>
      <c r="BA952" t="s">
        <v>74</v>
      </c>
      <c r="BB952" t="s">
        <v>74</v>
      </c>
      <c r="BC952" t="s">
        <v>74</v>
      </c>
      <c r="BD952">
        <v>114211</v>
      </c>
      <c r="BE952" t="s">
        <v>18090</v>
      </c>
      <c r="BF952" t="str">
        <f>HYPERLINK("http://dx.doi.org/10.1016/j.marpolbul.2022.114211","http://dx.doi.org/10.1016/j.marpolbul.2022.114211")</f>
        <v>http://dx.doi.org/10.1016/j.marpolbul.2022.114211</v>
      </c>
      <c r="BG952" t="s">
        <v>74</v>
      </c>
      <c r="BH952" t="s">
        <v>16236</v>
      </c>
      <c r="BI952">
        <v>7</v>
      </c>
      <c r="BJ952" t="s">
        <v>6728</v>
      </c>
      <c r="BK952" t="s">
        <v>104</v>
      </c>
      <c r="BL952" t="s">
        <v>6729</v>
      </c>
      <c r="BM952" t="s">
        <v>18091</v>
      </c>
      <c r="BN952">
        <v>36252441</v>
      </c>
      <c r="BO952" t="s">
        <v>74</v>
      </c>
      <c r="BP952" t="s">
        <v>74</v>
      </c>
      <c r="BQ952" t="s">
        <v>74</v>
      </c>
      <c r="BR952" t="s">
        <v>108</v>
      </c>
      <c r="BS952" t="s">
        <v>18092</v>
      </c>
      <c r="BT952" t="str">
        <f>HYPERLINK("https%3A%2F%2Fwww.webofscience.com%2Fwos%2Fwoscc%2Ffull-record%2FWOS:000913116400002","View Full Record in Web of Science")</f>
        <v>View Full Record in Web of Science</v>
      </c>
    </row>
    <row r="953" spans="1:72" x14ac:dyDescent="0.15">
      <c r="A953" t="s">
        <v>72</v>
      </c>
      <c r="B953" t="s">
        <v>18093</v>
      </c>
      <c r="C953" t="s">
        <v>74</v>
      </c>
      <c r="D953" t="s">
        <v>74</v>
      </c>
      <c r="E953" t="s">
        <v>74</v>
      </c>
      <c r="F953" t="s">
        <v>18094</v>
      </c>
      <c r="G953" t="s">
        <v>74</v>
      </c>
      <c r="H953" t="s">
        <v>74</v>
      </c>
      <c r="I953" t="s">
        <v>18095</v>
      </c>
      <c r="J953" t="s">
        <v>18096</v>
      </c>
      <c r="K953" t="s">
        <v>74</v>
      </c>
      <c r="L953" t="s">
        <v>74</v>
      </c>
      <c r="M953" t="s">
        <v>78</v>
      </c>
      <c r="N953" t="s">
        <v>79</v>
      </c>
      <c r="O953" t="s">
        <v>74</v>
      </c>
      <c r="P953" t="s">
        <v>74</v>
      </c>
      <c r="Q953" t="s">
        <v>74</v>
      </c>
      <c r="R953" t="s">
        <v>74</v>
      </c>
      <c r="S953" t="s">
        <v>74</v>
      </c>
      <c r="T953" t="s">
        <v>18097</v>
      </c>
      <c r="U953" t="s">
        <v>18098</v>
      </c>
      <c r="V953" t="s">
        <v>18099</v>
      </c>
      <c r="W953" t="s">
        <v>18100</v>
      </c>
      <c r="X953" t="s">
        <v>18101</v>
      </c>
      <c r="Y953" t="s">
        <v>18102</v>
      </c>
      <c r="Z953" t="s">
        <v>18103</v>
      </c>
      <c r="AA953" t="s">
        <v>74</v>
      </c>
      <c r="AB953" t="s">
        <v>18104</v>
      </c>
      <c r="AC953" t="s">
        <v>18105</v>
      </c>
      <c r="AD953" t="s">
        <v>18106</v>
      </c>
      <c r="AE953" t="s">
        <v>18107</v>
      </c>
      <c r="AF953" t="s">
        <v>74</v>
      </c>
      <c r="AG953">
        <v>92</v>
      </c>
      <c r="AH953">
        <v>1</v>
      </c>
      <c r="AI953">
        <v>1</v>
      </c>
      <c r="AJ953">
        <v>1</v>
      </c>
      <c r="AK953">
        <v>8</v>
      </c>
      <c r="AL953" t="s">
        <v>92</v>
      </c>
      <c r="AM953" t="s">
        <v>93</v>
      </c>
      <c r="AN953" t="s">
        <v>94</v>
      </c>
      <c r="AO953" t="s">
        <v>18108</v>
      </c>
      <c r="AP953" t="s">
        <v>18109</v>
      </c>
      <c r="AQ953" t="s">
        <v>74</v>
      </c>
      <c r="AR953" t="s">
        <v>18096</v>
      </c>
      <c r="AS953" t="s">
        <v>18110</v>
      </c>
      <c r="AT953" t="s">
        <v>276</v>
      </c>
      <c r="AU953">
        <v>2023</v>
      </c>
      <c r="AV953">
        <v>150</v>
      </c>
      <c r="AW953">
        <v>1</v>
      </c>
      <c r="AX953" t="s">
        <v>74</v>
      </c>
      <c r="AY953" t="s">
        <v>74</v>
      </c>
      <c r="AZ953" t="s">
        <v>74</v>
      </c>
      <c r="BA953" t="s">
        <v>74</v>
      </c>
      <c r="BB953">
        <v>15</v>
      </c>
      <c r="BC953">
        <v>28</v>
      </c>
      <c r="BD953" t="s">
        <v>74</v>
      </c>
      <c r="BE953" t="s">
        <v>18111</v>
      </c>
      <c r="BF953" t="str">
        <f>HYPERLINK("http://dx.doi.org/10.1017/S0031182022001445","http://dx.doi.org/10.1017/S0031182022001445")</f>
        <v>http://dx.doi.org/10.1017/S0031182022001445</v>
      </c>
      <c r="BG953" t="s">
        <v>74</v>
      </c>
      <c r="BH953" t="s">
        <v>16236</v>
      </c>
      <c r="BI953">
        <v>14</v>
      </c>
      <c r="BJ953" t="s">
        <v>18110</v>
      </c>
      <c r="BK953" t="s">
        <v>104</v>
      </c>
      <c r="BL953" t="s">
        <v>18110</v>
      </c>
      <c r="BM953" t="s">
        <v>18112</v>
      </c>
      <c r="BN953">
        <v>36328953</v>
      </c>
      <c r="BO953" t="s">
        <v>14246</v>
      </c>
      <c r="BP953" t="s">
        <v>74</v>
      </c>
      <c r="BQ953" t="s">
        <v>74</v>
      </c>
      <c r="BR953" t="s">
        <v>108</v>
      </c>
      <c r="BS953" t="s">
        <v>18113</v>
      </c>
      <c r="BT953" t="str">
        <f>HYPERLINK("https%3A%2F%2Fwww.webofscience.com%2Fwos%2Fwoscc%2Ffull-record%2FWOS:000878695300001","View Full Record in Web of Science")</f>
        <v>View Full Record in Web of Science</v>
      </c>
    </row>
    <row r="954" spans="1:72" x14ac:dyDescent="0.15">
      <c r="A954" t="s">
        <v>72</v>
      </c>
      <c r="B954" t="s">
        <v>18114</v>
      </c>
      <c r="C954" t="s">
        <v>74</v>
      </c>
      <c r="D954" t="s">
        <v>74</v>
      </c>
      <c r="E954" t="s">
        <v>74</v>
      </c>
      <c r="F954" t="s">
        <v>18115</v>
      </c>
      <c r="G954" t="s">
        <v>74</v>
      </c>
      <c r="H954" t="s">
        <v>74</v>
      </c>
      <c r="I954" t="s">
        <v>18116</v>
      </c>
      <c r="J954" t="s">
        <v>462</v>
      </c>
      <c r="K954" t="s">
        <v>74</v>
      </c>
      <c r="L954" t="s">
        <v>74</v>
      </c>
      <c r="M954" t="s">
        <v>78</v>
      </c>
      <c r="N954" t="s">
        <v>79</v>
      </c>
      <c r="O954" t="s">
        <v>74</v>
      </c>
      <c r="P954" t="s">
        <v>74</v>
      </c>
      <c r="Q954" t="s">
        <v>74</v>
      </c>
      <c r="R954" t="s">
        <v>74</v>
      </c>
      <c r="S954" t="s">
        <v>74</v>
      </c>
      <c r="T954" t="s">
        <v>18117</v>
      </c>
      <c r="U954" t="s">
        <v>18118</v>
      </c>
      <c r="V954" t="s">
        <v>18119</v>
      </c>
      <c r="W954" t="s">
        <v>18120</v>
      </c>
      <c r="X954" t="s">
        <v>18121</v>
      </c>
      <c r="Y954" t="s">
        <v>18122</v>
      </c>
      <c r="Z954" t="s">
        <v>18123</v>
      </c>
      <c r="AA954" t="s">
        <v>18124</v>
      </c>
      <c r="AB954" t="s">
        <v>18125</v>
      </c>
      <c r="AC954" t="s">
        <v>18126</v>
      </c>
      <c r="AD954" t="s">
        <v>18127</v>
      </c>
      <c r="AE954" t="s">
        <v>18128</v>
      </c>
      <c r="AF954" t="s">
        <v>74</v>
      </c>
      <c r="AG954">
        <v>95</v>
      </c>
      <c r="AH954">
        <v>4</v>
      </c>
      <c r="AI954">
        <v>4</v>
      </c>
      <c r="AJ954">
        <v>4</v>
      </c>
      <c r="AK954">
        <v>14</v>
      </c>
      <c r="AL954" t="s">
        <v>237</v>
      </c>
      <c r="AM954" t="s">
        <v>238</v>
      </c>
      <c r="AN954" t="s">
        <v>239</v>
      </c>
      <c r="AO954" t="s">
        <v>475</v>
      </c>
      <c r="AP954" t="s">
        <v>476</v>
      </c>
      <c r="AQ954" t="s">
        <v>74</v>
      </c>
      <c r="AR954" t="s">
        <v>477</v>
      </c>
      <c r="AS954" t="s">
        <v>478</v>
      </c>
      <c r="AT954" t="s">
        <v>18129</v>
      </c>
      <c r="AU954">
        <v>2023</v>
      </c>
      <c r="AV954">
        <v>857</v>
      </c>
      <c r="AW954" t="s">
        <v>74</v>
      </c>
      <c r="AX954">
        <v>1</v>
      </c>
      <c r="AY954" t="s">
        <v>74</v>
      </c>
      <c r="AZ954" t="s">
        <v>74</v>
      </c>
      <c r="BA954" t="s">
        <v>74</v>
      </c>
      <c r="BB954" t="s">
        <v>74</v>
      </c>
      <c r="BC954" t="s">
        <v>74</v>
      </c>
      <c r="BD954">
        <v>159243</v>
      </c>
      <c r="BE954" t="s">
        <v>18130</v>
      </c>
      <c r="BF954" t="str">
        <f>HYPERLINK("http://dx.doi.org/10.1016/j.scitotenv.2022.159243","http://dx.doi.org/10.1016/j.scitotenv.2022.159243")</f>
        <v>http://dx.doi.org/10.1016/j.scitotenv.2022.159243</v>
      </c>
      <c r="BG954" t="s">
        <v>74</v>
      </c>
      <c r="BH954" t="s">
        <v>16236</v>
      </c>
      <c r="BI954">
        <v>12</v>
      </c>
      <c r="BJ954" t="s">
        <v>216</v>
      </c>
      <c r="BK954" t="s">
        <v>104</v>
      </c>
      <c r="BL954" t="s">
        <v>217</v>
      </c>
      <c r="BM954" t="s">
        <v>18131</v>
      </c>
      <c r="BN954">
        <v>36208760</v>
      </c>
      <c r="BO954" t="s">
        <v>219</v>
      </c>
      <c r="BP954" t="s">
        <v>74</v>
      </c>
      <c r="BQ954" t="s">
        <v>74</v>
      </c>
      <c r="BR954" t="s">
        <v>108</v>
      </c>
      <c r="BS954" t="s">
        <v>18132</v>
      </c>
      <c r="BT954" t="str">
        <f>HYPERLINK("https%3A%2F%2Fwww.webofscience.com%2Fwos%2Fwoscc%2Ffull-record%2FWOS:000874765700014","View Full Record in Web of Science")</f>
        <v>View Full Record in Web of Science</v>
      </c>
    </row>
    <row r="955" spans="1:72" x14ac:dyDescent="0.15">
      <c r="A955" t="s">
        <v>72</v>
      </c>
      <c r="B955" t="s">
        <v>18133</v>
      </c>
      <c r="C955" t="s">
        <v>74</v>
      </c>
      <c r="D955" t="s">
        <v>74</v>
      </c>
      <c r="E955" t="s">
        <v>74</v>
      </c>
      <c r="F955" t="s">
        <v>18134</v>
      </c>
      <c r="G955" t="s">
        <v>74</v>
      </c>
      <c r="H955" t="s">
        <v>74</v>
      </c>
      <c r="I955" t="s">
        <v>18135</v>
      </c>
      <c r="J955" t="s">
        <v>170</v>
      </c>
      <c r="K955" t="s">
        <v>74</v>
      </c>
      <c r="L955" t="s">
        <v>74</v>
      </c>
      <c r="M955" t="s">
        <v>78</v>
      </c>
      <c r="N955" t="s">
        <v>79</v>
      </c>
      <c r="O955" t="s">
        <v>74</v>
      </c>
      <c r="P955" t="s">
        <v>74</v>
      </c>
      <c r="Q955" t="s">
        <v>74</v>
      </c>
      <c r="R955" t="s">
        <v>74</v>
      </c>
      <c r="S955" t="s">
        <v>74</v>
      </c>
      <c r="T955" t="s">
        <v>74</v>
      </c>
      <c r="U955" t="s">
        <v>18136</v>
      </c>
      <c r="V955" t="s">
        <v>18137</v>
      </c>
      <c r="W955" t="s">
        <v>18138</v>
      </c>
      <c r="X955" t="s">
        <v>18139</v>
      </c>
      <c r="Y955" t="s">
        <v>18140</v>
      </c>
      <c r="Z955" t="s">
        <v>18141</v>
      </c>
      <c r="AA955" t="s">
        <v>18142</v>
      </c>
      <c r="AB955" t="s">
        <v>18143</v>
      </c>
      <c r="AC955" t="s">
        <v>74</v>
      </c>
      <c r="AD955" t="s">
        <v>74</v>
      </c>
      <c r="AE955" t="s">
        <v>74</v>
      </c>
      <c r="AF955" t="s">
        <v>74</v>
      </c>
      <c r="AG955">
        <v>64</v>
      </c>
      <c r="AH955">
        <v>7</v>
      </c>
      <c r="AI955">
        <v>7</v>
      </c>
      <c r="AJ955">
        <v>5</v>
      </c>
      <c r="AK955">
        <v>23</v>
      </c>
      <c r="AL955" t="s">
        <v>182</v>
      </c>
      <c r="AM955" t="s">
        <v>183</v>
      </c>
      <c r="AN955" t="s">
        <v>184</v>
      </c>
      <c r="AO955" t="s">
        <v>185</v>
      </c>
      <c r="AP955" t="s">
        <v>74</v>
      </c>
      <c r="AQ955" t="s">
        <v>74</v>
      </c>
      <c r="AR955" t="s">
        <v>186</v>
      </c>
      <c r="AS955" t="s">
        <v>187</v>
      </c>
      <c r="AT955" t="s">
        <v>18072</v>
      </c>
      <c r="AU955">
        <v>2022</v>
      </c>
      <c r="AV955">
        <v>12</v>
      </c>
      <c r="AW955">
        <v>1</v>
      </c>
      <c r="AX955" t="s">
        <v>74</v>
      </c>
      <c r="AY955" t="s">
        <v>74</v>
      </c>
      <c r="AZ955" t="s">
        <v>74</v>
      </c>
      <c r="BA955" t="s">
        <v>74</v>
      </c>
      <c r="BB955" t="s">
        <v>74</v>
      </c>
      <c r="BC955" t="s">
        <v>74</v>
      </c>
      <c r="BD955">
        <v>17214</v>
      </c>
      <c r="BE955" t="s">
        <v>18144</v>
      </c>
      <c r="BF955" t="str">
        <f>HYPERLINK("http://dx.doi.org/10.1038/s41598-022-21670-x","http://dx.doi.org/10.1038/s41598-022-21670-x")</f>
        <v>http://dx.doi.org/10.1038/s41598-022-21670-x</v>
      </c>
      <c r="BG955" t="s">
        <v>74</v>
      </c>
      <c r="BH955" t="s">
        <v>74</v>
      </c>
      <c r="BI955">
        <v>9</v>
      </c>
      <c r="BJ955" t="s">
        <v>189</v>
      </c>
      <c r="BK955" t="s">
        <v>104</v>
      </c>
      <c r="BL955" t="s">
        <v>190</v>
      </c>
      <c r="BM955" t="s">
        <v>18145</v>
      </c>
      <c r="BN955">
        <v>36241682</v>
      </c>
      <c r="BO955" t="s">
        <v>3181</v>
      </c>
      <c r="BP955" t="s">
        <v>74</v>
      </c>
      <c r="BQ955" t="s">
        <v>74</v>
      </c>
      <c r="BR955" t="s">
        <v>108</v>
      </c>
      <c r="BS955" t="s">
        <v>18146</v>
      </c>
      <c r="BT955" t="str">
        <f>HYPERLINK("https%3A%2F%2Fwww.webofscience.com%2Fwos%2Fwoscc%2Ffull-record%2FWOS:000876261700030","View Full Record in Web of Science")</f>
        <v>View Full Record in Web of Science</v>
      </c>
    </row>
    <row r="956" spans="1:72" x14ac:dyDescent="0.15">
      <c r="A956" t="s">
        <v>72</v>
      </c>
      <c r="B956" t="s">
        <v>18147</v>
      </c>
      <c r="C956" t="s">
        <v>74</v>
      </c>
      <c r="D956" t="s">
        <v>74</v>
      </c>
      <c r="E956" t="s">
        <v>74</v>
      </c>
      <c r="F956" t="s">
        <v>18148</v>
      </c>
      <c r="G956" t="s">
        <v>74</v>
      </c>
      <c r="H956" t="s">
        <v>74</v>
      </c>
      <c r="I956" t="s">
        <v>18149</v>
      </c>
      <c r="J956" t="s">
        <v>8166</v>
      </c>
      <c r="K956" t="s">
        <v>74</v>
      </c>
      <c r="L956" t="s">
        <v>74</v>
      </c>
      <c r="M956" t="s">
        <v>78</v>
      </c>
      <c r="N956" t="s">
        <v>79</v>
      </c>
      <c r="O956" t="s">
        <v>74</v>
      </c>
      <c r="P956" t="s">
        <v>74</v>
      </c>
      <c r="Q956" t="s">
        <v>74</v>
      </c>
      <c r="R956" t="s">
        <v>74</v>
      </c>
      <c r="S956" t="s">
        <v>74</v>
      </c>
      <c r="T956" t="s">
        <v>18150</v>
      </c>
      <c r="U956" t="s">
        <v>18151</v>
      </c>
      <c r="V956" t="s">
        <v>18152</v>
      </c>
      <c r="W956" t="s">
        <v>18153</v>
      </c>
      <c r="X956" t="s">
        <v>74</v>
      </c>
      <c r="Y956" t="s">
        <v>18154</v>
      </c>
      <c r="Z956" t="s">
        <v>18155</v>
      </c>
      <c r="AA956" t="s">
        <v>10949</v>
      </c>
      <c r="AB956" t="s">
        <v>18156</v>
      </c>
      <c r="AC956" t="s">
        <v>18157</v>
      </c>
      <c r="AD956" t="s">
        <v>18158</v>
      </c>
      <c r="AE956" t="s">
        <v>18159</v>
      </c>
      <c r="AF956" t="s">
        <v>74</v>
      </c>
      <c r="AG956">
        <v>49</v>
      </c>
      <c r="AH956">
        <v>2</v>
      </c>
      <c r="AI956">
        <v>2</v>
      </c>
      <c r="AJ956">
        <v>0</v>
      </c>
      <c r="AK956">
        <v>1</v>
      </c>
      <c r="AL956" t="s">
        <v>8179</v>
      </c>
      <c r="AM956" t="s">
        <v>375</v>
      </c>
      <c r="AN956" t="s">
        <v>8180</v>
      </c>
      <c r="AO956" t="s">
        <v>74</v>
      </c>
      <c r="AP956" t="s">
        <v>8181</v>
      </c>
      <c r="AQ956" t="s">
        <v>74</v>
      </c>
      <c r="AR956" t="s">
        <v>8182</v>
      </c>
      <c r="AS956" t="s">
        <v>8183</v>
      </c>
      <c r="AT956" t="s">
        <v>18072</v>
      </c>
      <c r="AU956">
        <v>2022</v>
      </c>
      <c r="AV956">
        <v>21</v>
      </c>
      <c r="AW956">
        <v>1</v>
      </c>
      <c r="AX956" t="s">
        <v>74</v>
      </c>
      <c r="AY956" t="s">
        <v>74</v>
      </c>
      <c r="AZ956" t="s">
        <v>74</v>
      </c>
      <c r="BA956" t="s">
        <v>74</v>
      </c>
      <c r="BB956" t="s">
        <v>74</v>
      </c>
      <c r="BC956" t="s">
        <v>74</v>
      </c>
      <c r="BD956">
        <v>211</v>
      </c>
      <c r="BE956" t="s">
        <v>18160</v>
      </c>
      <c r="BF956" t="str">
        <f>HYPERLINK("http://dx.doi.org/10.1186/s12934-022-01939-6","http://dx.doi.org/10.1186/s12934-022-01939-6")</f>
        <v>http://dx.doi.org/10.1186/s12934-022-01939-6</v>
      </c>
      <c r="BG956" t="s">
        <v>74</v>
      </c>
      <c r="BH956" t="s">
        <v>74</v>
      </c>
      <c r="BI956">
        <v>18</v>
      </c>
      <c r="BJ956" t="s">
        <v>8185</v>
      </c>
      <c r="BK956" t="s">
        <v>104</v>
      </c>
      <c r="BL956" t="s">
        <v>8185</v>
      </c>
      <c r="BM956" t="s">
        <v>18161</v>
      </c>
      <c r="BN956">
        <v>36242022</v>
      </c>
      <c r="BO956" t="s">
        <v>3181</v>
      </c>
      <c r="BP956" t="s">
        <v>74</v>
      </c>
      <c r="BQ956" t="s">
        <v>74</v>
      </c>
      <c r="BR956" t="s">
        <v>108</v>
      </c>
      <c r="BS956" t="s">
        <v>18162</v>
      </c>
      <c r="BT956" t="str">
        <f>HYPERLINK("https%3A%2F%2Fwww.webofscience.com%2Fwos%2Fwoscc%2Ffull-record%2FWOS:000873602600002","View Full Record in Web of Science")</f>
        <v>View Full Record in Web of Science</v>
      </c>
    </row>
    <row r="957" spans="1:72" x14ac:dyDescent="0.15">
      <c r="A957" t="s">
        <v>72</v>
      </c>
      <c r="B957" t="s">
        <v>18163</v>
      </c>
      <c r="C957" t="s">
        <v>74</v>
      </c>
      <c r="D957" t="s">
        <v>74</v>
      </c>
      <c r="E957" t="s">
        <v>74</v>
      </c>
      <c r="F957" t="s">
        <v>18164</v>
      </c>
      <c r="G957" t="s">
        <v>74</v>
      </c>
      <c r="H957" t="s">
        <v>74</v>
      </c>
      <c r="I957" t="s">
        <v>18165</v>
      </c>
      <c r="J957" t="s">
        <v>7748</v>
      </c>
      <c r="K957" t="s">
        <v>74</v>
      </c>
      <c r="L957" t="s">
        <v>74</v>
      </c>
      <c r="M957" t="s">
        <v>78</v>
      </c>
      <c r="N957" t="s">
        <v>79</v>
      </c>
      <c r="O957" t="s">
        <v>74</v>
      </c>
      <c r="P957" t="s">
        <v>74</v>
      </c>
      <c r="Q957" t="s">
        <v>74</v>
      </c>
      <c r="R957" t="s">
        <v>74</v>
      </c>
      <c r="S957" t="s">
        <v>74</v>
      </c>
      <c r="T957" t="s">
        <v>18166</v>
      </c>
      <c r="U957" t="s">
        <v>18167</v>
      </c>
      <c r="V957" t="s">
        <v>18168</v>
      </c>
      <c r="W957" t="s">
        <v>18169</v>
      </c>
      <c r="X957" t="s">
        <v>18170</v>
      </c>
      <c r="Y957" t="s">
        <v>18171</v>
      </c>
      <c r="Z957" t="s">
        <v>18172</v>
      </c>
      <c r="AA957" t="s">
        <v>18173</v>
      </c>
      <c r="AB957" t="s">
        <v>18174</v>
      </c>
      <c r="AC957" t="s">
        <v>18175</v>
      </c>
      <c r="AD957" t="s">
        <v>18176</v>
      </c>
      <c r="AE957" t="s">
        <v>18177</v>
      </c>
      <c r="AF957" t="s">
        <v>74</v>
      </c>
      <c r="AG957">
        <v>88</v>
      </c>
      <c r="AH957">
        <v>2</v>
      </c>
      <c r="AI957">
        <v>2</v>
      </c>
      <c r="AJ957">
        <v>2</v>
      </c>
      <c r="AK957">
        <v>7</v>
      </c>
      <c r="AL957" t="s">
        <v>448</v>
      </c>
      <c r="AM957" t="s">
        <v>449</v>
      </c>
      <c r="AN957" t="s">
        <v>450</v>
      </c>
      <c r="AO957" t="s">
        <v>7755</v>
      </c>
      <c r="AP957" t="s">
        <v>74</v>
      </c>
      <c r="AQ957" t="s">
        <v>74</v>
      </c>
      <c r="AR957" t="s">
        <v>7756</v>
      </c>
      <c r="AS957" t="s">
        <v>7757</v>
      </c>
      <c r="AT957" t="s">
        <v>18178</v>
      </c>
      <c r="AU957">
        <v>2022</v>
      </c>
      <c r="AV957">
        <v>9</v>
      </c>
      <c r="AW957" t="s">
        <v>74</v>
      </c>
      <c r="AX957" t="s">
        <v>74</v>
      </c>
      <c r="AY957" t="s">
        <v>74</v>
      </c>
      <c r="AZ957" t="s">
        <v>74</v>
      </c>
      <c r="BA957" t="s">
        <v>74</v>
      </c>
      <c r="BB957" t="s">
        <v>74</v>
      </c>
      <c r="BC957" t="s">
        <v>74</v>
      </c>
      <c r="BD957">
        <v>1004634</v>
      </c>
      <c r="BE957" t="s">
        <v>18179</v>
      </c>
      <c r="BF957" t="str">
        <f>HYPERLINK("http://dx.doi.org/10.3389/fspas.2022.1004634","http://dx.doi.org/10.3389/fspas.2022.1004634")</f>
        <v>http://dx.doi.org/10.3389/fspas.2022.1004634</v>
      </c>
      <c r="BG957" t="s">
        <v>74</v>
      </c>
      <c r="BH957" t="s">
        <v>74</v>
      </c>
      <c r="BI957">
        <v>17</v>
      </c>
      <c r="BJ957" t="s">
        <v>5631</v>
      </c>
      <c r="BK957" t="s">
        <v>104</v>
      </c>
      <c r="BL957" t="s">
        <v>5631</v>
      </c>
      <c r="BM957" t="s">
        <v>18180</v>
      </c>
      <c r="BN957" t="s">
        <v>74</v>
      </c>
      <c r="BO957" t="s">
        <v>5407</v>
      </c>
      <c r="BP957" t="s">
        <v>74</v>
      </c>
      <c r="BQ957" t="s">
        <v>74</v>
      </c>
      <c r="BR957" t="s">
        <v>108</v>
      </c>
      <c r="BS957" t="s">
        <v>18181</v>
      </c>
      <c r="BT957" t="str">
        <f>HYPERLINK("https%3A%2F%2Fwww.webofscience.com%2Fwos%2Fwoscc%2Ffull-record%2FWOS:000876505600001","View Full Record in Web of Science")</f>
        <v>View Full Record in Web of Science</v>
      </c>
    </row>
    <row r="958" spans="1:72" x14ac:dyDescent="0.15">
      <c r="A958" t="s">
        <v>72</v>
      </c>
      <c r="B958" t="s">
        <v>18182</v>
      </c>
      <c r="C958" t="s">
        <v>74</v>
      </c>
      <c r="D958" t="s">
        <v>74</v>
      </c>
      <c r="E958" t="s">
        <v>74</v>
      </c>
      <c r="F958" t="s">
        <v>18183</v>
      </c>
      <c r="G958" t="s">
        <v>74</v>
      </c>
      <c r="H958" t="s">
        <v>74</v>
      </c>
      <c r="I958" t="s">
        <v>18184</v>
      </c>
      <c r="J958" t="s">
        <v>170</v>
      </c>
      <c r="K958" t="s">
        <v>74</v>
      </c>
      <c r="L958" t="s">
        <v>74</v>
      </c>
      <c r="M958" t="s">
        <v>78</v>
      </c>
      <c r="N958" t="s">
        <v>79</v>
      </c>
      <c r="O958" t="s">
        <v>74</v>
      </c>
      <c r="P958" t="s">
        <v>74</v>
      </c>
      <c r="Q958" t="s">
        <v>74</v>
      </c>
      <c r="R958" t="s">
        <v>74</v>
      </c>
      <c r="S958" t="s">
        <v>74</v>
      </c>
      <c r="T958" t="s">
        <v>74</v>
      </c>
      <c r="U958" t="s">
        <v>18185</v>
      </c>
      <c r="V958" t="s">
        <v>18186</v>
      </c>
      <c r="W958" t="s">
        <v>18187</v>
      </c>
      <c r="X958" t="s">
        <v>18188</v>
      </c>
      <c r="Y958" t="s">
        <v>18189</v>
      </c>
      <c r="Z958" t="s">
        <v>18190</v>
      </c>
      <c r="AA958" t="s">
        <v>18191</v>
      </c>
      <c r="AB958" t="s">
        <v>18192</v>
      </c>
      <c r="AC958" t="s">
        <v>18193</v>
      </c>
      <c r="AD958" t="s">
        <v>18194</v>
      </c>
      <c r="AE958" t="s">
        <v>18195</v>
      </c>
      <c r="AF958" t="s">
        <v>74</v>
      </c>
      <c r="AG958">
        <v>48</v>
      </c>
      <c r="AH958">
        <v>2</v>
      </c>
      <c r="AI958">
        <v>2</v>
      </c>
      <c r="AJ958">
        <v>2</v>
      </c>
      <c r="AK958">
        <v>6</v>
      </c>
      <c r="AL958" t="s">
        <v>182</v>
      </c>
      <c r="AM958" t="s">
        <v>183</v>
      </c>
      <c r="AN958" t="s">
        <v>184</v>
      </c>
      <c r="AO958" t="s">
        <v>185</v>
      </c>
      <c r="AP958" t="s">
        <v>74</v>
      </c>
      <c r="AQ958" t="s">
        <v>74</v>
      </c>
      <c r="AR958" t="s">
        <v>186</v>
      </c>
      <c r="AS958" t="s">
        <v>187</v>
      </c>
      <c r="AT958" t="s">
        <v>18178</v>
      </c>
      <c r="AU958">
        <v>2022</v>
      </c>
      <c r="AV958">
        <v>12</v>
      </c>
      <c r="AW958">
        <v>1</v>
      </c>
      <c r="AX958" t="s">
        <v>74</v>
      </c>
      <c r="AY958" t="s">
        <v>74</v>
      </c>
      <c r="AZ958" t="s">
        <v>74</v>
      </c>
      <c r="BA958" t="s">
        <v>74</v>
      </c>
      <c r="BB958" t="s">
        <v>74</v>
      </c>
      <c r="BC958" t="s">
        <v>74</v>
      </c>
      <c r="BD958">
        <v>17202</v>
      </c>
      <c r="BE958" t="s">
        <v>18196</v>
      </c>
      <c r="BF958" t="str">
        <f>HYPERLINK("http://dx.doi.org/10.1038/s41598-022-21503-x","http://dx.doi.org/10.1038/s41598-022-21503-x")</f>
        <v>http://dx.doi.org/10.1038/s41598-022-21503-x</v>
      </c>
      <c r="BG958" t="s">
        <v>74</v>
      </c>
      <c r="BH958" t="s">
        <v>74</v>
      </c>
      <c r="BI958">
        <v>9</v>
      </c>
      <c r="BJ958" t="s">
        <v>189</v>
      </c>
      <c r="BK958" t="s">
        <v>104</v>
      </c>
      <c r="BL958" t="s">
        <v>190</v>
      </c>
      <c r="BM958" t="s">
        <v>18197</v>
      </c>
      <c r="BN958">
        <v>36229466</v>
      </c>
      <c r="BO958" t="s">
        <v>192</v>
      </c>
      <c r="BP958" t="s">
        <v>74</v>
      </c>
      <c r="BQ958" t="s">
        <v>74</v>
      </c>
      <c r="BR958" t="s">
        <v>108</v>
      </c>
      <c r="BS958" t="s">
        <v>18198</v>
      </c>
      <c r="BT958" t="str">
        <f>HYPERLINK("https%3A%2F%2Fwww.webofscience.com%2Fwos%2Fwoscc%2Ffull-record%2FWOS:000867889200023","View Full Record in Web of Science")</f>
        <v>View Full Record in Web of Science</v>
      </c>
    </row>
    <row r="959" spans="1:72" x14ac:dyDescent="0.15">
      <c r="A959" t="s">
        <v>72</v>
      </c>
      <c r="B959" t="s">
        <v>18199</v>
      </c>
      <c r="C959" t="s">
        <v>74</v>
      </c>
      <c r="D959" t="s">
        <v>74</v>
      </c>
      <c r="E959" t="s">
        <v>74</v>
      </c>
      <c r="F959" t="s">
        <v>18200</v>
      </c>
      <c r="G959" t="s">
        <v>74</v>
      </c>
      <c r="H959" t="s">
        <v>74</v>
      </c>
      <c r="I959" t="s">
        <v>18201</v>
      </c>
      <c r="J959" t="s">
        <v>8144</v>
      </c>
      <c r="K959" t="s">
        <v>74</v>
      </c>
      <c r="L959" t="s">
        <v>74</v>
      </c>
      <c r="M959" t="s">
        <v>78</v>
      </c>
      <c r="N959" t="s">
        <v>79</v>
      </c>
      <c r="O959" t="s">
        <v>74</v>
      </c>
      <c r="P959" t="s">
        <v>74</v>
      </c>
      <c r="Q959" t="s">
        <v>74</v>
      </c>
      <c r="R959" t="s">
        <v>74</v>
      </c>
      <c r="S959" t="s">
        <v>74</v>
      </c>
      <c r="T959" t="s">
        <v>74</v>
      </c>
      <c r="U959" t="s">
        <v>18202</v>
      </c>
      <c r="V959" t="s">
        <v>18203</v>
      </c>
      <c r="W959" t="s">
        <v>18204</v>
      </c>
      <c r="X959" t="s">
        <v>18205</v>
      </c>
      <c r="Y959" t="s">
        <v>18206</v>
      </c>
      <c r="Z959" t="s">
        <v>18207</v>
      </c>
      <c r="AA959" t="s">
        <v>18208</v>
      </c>
      <c r="AB959" t="s">
        <v>18209</v>
      </c>
      <c r="AC959" t="s">
        <v>18210</v>
      </c>
      <c r="AD959" t="s">
        <v>18211</v>
      </c>
      <c r="AE959" t="s">
        <v>18212</v>
      </c>
      <c r="AF959" t="s">
        <v>74</v>
      </c>
      <c r="AG959">
        <v>94</v>
      </c>
      <c r="AH959">
        <v>7</v>
      </c>
      <c r="AI959">
        <v>7</v>
      </c>
      <c r="AJ959">
        <v>5</v>
      </c>
      <c r="AK959">
        <v>12</v>
      </c>
      <c r="AL959" t="s">
        <v>126</v>
      </c>
      <c r="AM959" t="s">
        <v>127</v>
      </c>
      <c r="AN959" t="s">
        <v>128</v>
      </c>
      <c r="AO959" t="s">
        <v>8156</v>
      </c>
      <c r="AP959" t="s">
        <v>8157</v>
      </c>
      <c r="AQ959" t="s">
        <v>74</v>
      </c>
      <c r="AR959" t="s">
        <v>8158</v>
      </c>
      <c r="AS959" t="s">
        <v>8159</v>
      </c>
      <c r="AT959" t="s">
        <v>18178</v>
      </c>
      <c r="AU959">
        <v>2022</v>
      </c>
      <c r="AV959">
        <v>15</v>
      </c>
      <c r="AW959">
        <v>19</v>
      </c>
      <c r="AX959" t="s">
        <v>74</v>
      </c>
      <c r="AY959" t="s">
        <v>74</v>
      </c>
      <c r="AZ959" t="s">
        <v>74</v>
      </c>
      <c r="BA959" t="s">
        <v>74</v>
      </c>
      <c r="BB959">
        <v>5769</v>
      </c>
      <c r="BC959">
        <v>5792</v>
      </c>
      <c r="BD959" t="s">
        <v>74</v>
      </c>
      <c r="BE959" t="s">
        <v>18213</v>
      </c>
      <c r="BF959" t="str">
        <f>HYPERLINK("http://dx.doi.org/10.5194/amt-15-5769-2022","http://dx.doi.org/10.5194/amt-15-5769-2022")</f>
        <v>http://dx.doi.org/10.5194/amt-15-5769-2022</v>
      </c>
      <c r="BG959" t="s">
        <v>74</v>
      </c>
      <c r="BH959" t="s">
        <v>74</v>
      </c>
      <c r="BI959">
        <v>24</v>
      </c>
      <c r="BJ959" t="s">
        <v>532</v>
      </c>
      <c r="BK959" t="s">
        <v>104</v>
      </c>
      <c r="BL959" t="s">
        <v>532</v>
      </c>
      <c r="BM959" t="s">
        <v>18214</v>
      </c>
      <c r="BN959" t="s">
        <v>74</v>
      </c>
      <c r="BO959" t="s">
        <v>6932</v>
      </c>
      <c r="BP959" t="s">
        <v>74</v>
      </c>
      <c r="BQ959" t="s">
        <v>74</v>
      </c>
      <c r="BR959" t="s">
        <v>108</v>
      </c>
      <c r="BS959" t="s">
        <v>18215</v>
      </c>
      <c r="BT959" t="str">
        <f>HYPERLINK("https%3A%2F%2Fwww.webofscience.com%2Fwos%2Fwoscc%2Ffull-record%2FWOS:000866553700001","View Full Record in Web of Science")</f>
        <v>View Full Record in Web of Science</v>
      </c>
    </row>
    <row r="960" spans="1:72" x14ac:dyDescent="0.15">
      <c r="A960" t="s">
        <v>72</v>
      </c>
      <c r="B960" t="s">
        <v>18216</v>
      </c>
      <c r="C960" t="s">
        <v>74</v>
      </c>
      <c r="D960" t="s">
        <v>74</v>
      </c>
      <c r="E960" t="s">
        <v>74</v>
      </c>
      <c r="F960" t="s">
        <v>18217</v>
      </c>
      <c r="G960" t="s">
        <v>74</v>
      </c>
      <c r="H960" t="s">
        <v>74</v>
      </c>
      <c r="I960" t="s">
        <v>18218</v>
      </c>
      <c r="J960" t="s">
        <v>18219</v>
      </c>
      <c r="K960" t="s">
        <v>74</v>
      </c>
      <c r="L960" t="s">
        <v>74</v>
      </c>
      <c r="M960" t="s">
        <v>78</v>
      </c>
      <c r="N960" t="s">
        <v>79</v>
      </c>
      <c r="O960" t="s">
        <v>74</v>
      </c>
      <c r="P960" t="s">
        <v>74</v>
      </c>
      <c r="Q960" t="s">
        <v>74</v>
      </c>
      <c r="R960" t="s">
        <v>74</v>
      </c>
      <c r="S960" t="s">
        <v>74</v>
      </c>
      <c r="T960" t="s">
        <v>18220</v>
      </c>
      <c r="U960" t="s">
        <v>18221</v>
      </c>
      <c r="V960" t="s">
        <v>18222</v>
      </c>
      <c r="W960" t="s">
        <v>18223</v>
      </c>
      <c r="X960" t="s">
        <v>18224</v>
      </c>
      <c r="Y960" t="s">
        <v>18225</v>
      </c>
      <c r="Z960" t="s">
        <v>18226</v>
      </c>
      <c r="AA960" t="s">
        <v>18227</v>
      </c>
      <c r="AB960" t="s">
        <v>18228</v>
      </c>
      <c r="AC960" t="s">
        <v>18229</v>
      </c>
      <c r="AD960" t="s">
        <v>18230</v>
      </c>
      <c r="AE960" t="s">
        <v>18231</v>
      </c>
      <c r="AF960" t="s">
        <v>74</v>
      </c>
      <c r="AG960">
        <v>131</v>
      </c>
      <c r="AH960">
        <v>3</v>
      </c>
      <c r="AI960">
        <v>3</v>
      </c>
      <c r="AJ960">
        <v>7</v>
      </c>
      <c r="AK960">
        <v>27</v>
      </c>
      <c r="AL960" t="s">
        <v>8179</v>
      </c>
      <c r="AM960" t="s">
        <v>375</v>
      </c>
      <c r="AN960" t="s">
        <v>8180</v>
      </c>
      <c r="AO960" t="s">
        <v>74</v>
      </c>
      <c r="AP960" t="s">
        <v>18232</v>
      </c>
      <c r="AQ960" t="s">
        <v>74</v>
      </c>
      <c r="AR960" t="s">
        <v>18233</v>
      </c>
      <c r="AS960" t="s">
        <v>18234</v>
      </c>
      <c r="AT960" t="s">
        <v>18178</v>
      </c>
      <c r="AU960">
        <v>2022</v>
      </c>
      <c r="AV960">
        <v>20</v>
      </c>
      <c r="AW960">
        <v>1</v>
      </c>
      <c r="AX960" t="s">
        <v>74</v>
      </c>
      <c r="AY960" t="s">
        <v>74</v>
      </c>
      <c r="AZ960" t="s">
        <v>74</v>
      </c>
      <c r="BA960" t="s">
        <v>74</v>
      </c>
      <c r="BB960" t="s">
        <v>74</v>
      </c>
      <c r="BC960" t="s">
        <v>74</v>
      </c>
      <c r="BD960">
        <v>231</v>
      </c>
      <c r="BE960" t="s">
        <v>18235</v>
      </c>
      <c r="BF960" t="str">
        <f>HYPERLINK("http://dx.doi.org/10.1186/s12915-022-01432-x","http://dx.doi.org/10.1186/s12915-022-01432-x")</f>
        <v>http://dx.doi.org/10.1186/s12915-022-01432-x</v>
      </c>
      <c r="BG960" t="s">
        <v>74</v>
      </c>
      <c r="BH960" t="s">
        <v>74</v>
      </c>
      <c r="BI960">
        <v>20</v>
      </c>
      <c r="BJ960" t="s">
        <v>3178</v>
      </c>
      <c r="BK960" t="s">
        <v>104</v>
      </c>
      <c r="BL960" t="s">
        <v>3179</v>
      </c>
      <c r="BM960" t="s">
        <v>18236</v>
      </c>
      <c r="BN960">
        <v>36224580</v>
      </c>
      <c r="BO960" t="s">
        <v>192</v>
      </c>
      <c r="BP960" t="s">
        <v>74</v>
      </c>
      <c r="BQ960" t="s">
        <v>74</v>
      </c>
      <c r="BR960" t="s">
        <v>108</v>
      </c>
      <c r="BS960" t="s">
        <v>18237</v>
      </c>
      <c r="BT960" t="str">
        <f>HYPERLINK("https%3A%2F%2Fwww.webofscience.com%2Fwos%2Fwoscc%2Ffull-record%2FWOS:000866485500001","View Full Record in Web of Science")</f>
        <v>View Full Record in Web of Science</v>
      </c>
    </row>
    <row r="961" spans="1:72" x14ac:dyDescent="0.15">
      <c r="A961" t="s">
        <v>72</v>
      </c>
      <c r="B961" t="s">
        <v>18238</v>
      </c>
      <c r="C961" t="s">
        <v>74</v>
      </c>
      <c r="D961" t="s">
        <v>74</v>
      </c>
      <c r="E961" t="s">
        <v>74</v>
      </c>
      <c r="F961" t="s">
        <v>18239</v>
      </c>
      <c r="G961" t="s">
        <v>74</v>
      </c>
      <c r="H961" t="s">
        <v>74</v>
      </c>
      <c r="I961" t="s">
        <v>18240</v>
      </c>
      <c r="J961" t="s">
        <v>7392</v>
      </c>
      <c r="K961" t="s">
        <v>74</v>
      </c>
      <c r="L961" t="s">
        <v>74</v>
      </c>
      <c r="M961" t="s">
        <v>78</v>
      </c>
      <c r="N961" t="s">
        <v>79</v>
      </c>
      <c r="O961" t="s">
        <v>74</v>
      </c>
      <c r="P961" t="s">
        <v>74</v>
      </c>
      <c r="Q961" t="s">
        <v>74</v>
      </c>
      <c r="R961" t="s">
        <v>74</v>
      </c>
      <c r="S961" t="s">
        <v>74</v>
      </c>
      <c r="T961" t="s">
        <v>74</v>
      </c>
      <c r="U961" t="s">
        <v>18241</v>
      </c>
      <c r="V961" t="s">
        <v>18242</v>
      </c>
      <c r="W961" t="s">
        <v>18243</v>
      </c>
      <c r="X961" t="s">
        <v>18244</v>
      </c>
      <c r="Y961" t="s">
        <v>18245</v>
      </c>
      <c r="Z961" t="s">
        <v>18246</v>
      </c>
      <c r="AA961" t="s">
        <v>18247</v>
      </c>
      <c r="AB961" t="s">
        <v>18248</v>
      </c>
      <c r="AC961" t="s">
        <v>18249</v>
      </c>
      <c r="AD961" t="s">
        <v>9476</v>
      </c>
      <c r="AE961" t="s">
        <v>18250</v>
      </c>
      <c r="AF961" t="s">
        <v>74</v>
      </c>
      <c r="AG961">
        <v>41</v>
      </c>
      <c r="AH961">
        <v>7</v>
      </c>
      <c r="AI961">
        <v>8</v>
      </c>
      <c r="AJ961">
        <v>0</v>
      </c>
      <c r="AK961">
        <v>4</v>
      </c>
      <c r="AL961" t="s">
        <v>126</v>
      </c>
      <c r="AM961" t="s">
        <v>127</v>
      </c>
      <c r="AN961" t="s">
        <v>128</v>
      </c>
      <c r="AO961" t="s">
        <v>7401</v>
      </c>
      <c r="AP961" t="s">
        <v>7402</v>
      </c>
      <c r="AQ961" t="s">
        <v>74</v>
      </c>
      <c r="AR961" t="s">
        <v>7392</v>
      </c>
      <c r="AS961" t="s">
        <v>7403</v>
      </c>
      <c r="AT961" t="s">
        <v>18178</v>
      </c>
      <c r="AU961">
        <v>2022</v>
      </c>
      <c r="AV961">
        <v>16</v>
      </c>
      <c r="AW961">
        <v>10</v>
      </c>
      <c r="AX961" t="s">
        <v>74</v>
      </c>
      <c r="AY961" t="s">
        <v>74</v>
      </c>
      <c r="AZ961" t="s">
        <v>74</v>
      </c>
      <c r="BA961" t="s">
        <v>74</v>
      </c>
      <c r="BB961">
        <v>4291</v>
      </c>
      <c r="BC961">
        <v>4304</v>
      </c>
      <c r="BD961" t="s">
        <v>74</v>
      </c>
      <c r="BE961" t="s">
        <v>18251</v>
      </c>
      <c r="BF961" t="str">
        <f>HYPERLINK("http://dx.doi.org/10.5194/tc-16-4291-2022","http://dx.doi.org/10.5194/tc-16-4291-2022")</f>
        <v>http://dx.doi.org/10.5194/tc-16-4291-2022</v>
      </c>
      <c r="BG961" t="s">
        <v>74</v>
      </c>
      <c r="BH961" t="s">
        <v>74</v>
      </c>
      <c r="BI961">
        <v>14</v>
      </c>
      <c r="BJ961" t="s">
        <v>611</v>
      </c>
      <c r="BK961" t="s">
        <v>104</v>
      </c>
      <c r="BL961" t="s">
        <v>612</v>
      </c>
      <c r="BM961" t="s">
        <v>18252</v>
      </c>
      <c r="BN961" t="s">
        <v>74</v>
      </c>
      <c r="BO961" t="s">
        <v>4658</v>
      </c>
      <c r="BP961" t="s">
        <v>74</v>
      </c>
      <c r="BQ961" t="s">
        <v>74</v>
      </c>
      <c r="BR961" t="s">
        <v>108</v>
      </c>
      <c r="BS961" t="s">
        <v>18253</v>
      </c>
      <c r="BT961" t="str">
        <f>HYPERLINK("https%3A%2F%2Fwww.webofscience.com%2Fwos%2Fwoscc%2Ffull-record%2FWOS:000866453600001","View Full Record in Web of Science")</f>
        <v>View Full Record in Web of Science</v>
      </c>
    </row>
    <row r="962" spans="1:72" x14ac:dyDescent="0.15">
      <c r="A962" t="s">
        <v>72</v>
      </c>
      <c r="B962" t="s">
        <v>18254</v>
      </c>
      <c r="C962" t="s">
        <v>74</v>
      </c>
      <c r="D962" t="s">
        <v>74</v>
      </c>
      <c r="E962" t="s">
        <v>74</v>
      </c>
      <c r="F962" t="s">
        <v>18255</v>
      </c>
      <c r="G962" t="s">
        <v>74</v>
      </c>
      <c r="H962" t="s">
        <v>74</v>
      </c>
      <c r="I962" t="s">
        <v>18256</v>
      </c>
      <c r="J962" t="s">
        <v>16277</v>
      </c>
      <c r="K962" t="s">
        <v>74</v>
      </c>
      <c r="L962" t="s">
        <v>74</v>
      </c>
      <c r="M962" t="s">
        <v>78</v>
      </c>
      <c r="N962" t="s">
        <v>79</v>
      </c>
      <c r="O962" t="s">
        <v>74</v>
      </c>
      <c r="P962" t="s">
        <v>74</v>
      </c>
      <c r="Q962" t="s">
        <v>74</v>
      </c>
      <c r="R962" t="s">
        <v>74</v>
      </c>
      <c r="S962" t="s">
        <v>74</v>
      </c>
      <c r="T962" t="s">
        <v>18257</v>
      </c>
      <c r="U962" t="s">
        <v>18258</v>
      </c>
      <c r="V962" t="s">
        <v>18259</v>
      </c>
      <c r="W962" t="s">
        <v>18260</v>
      </c>
      <c r="X962" t="s">
        <v>18261</v>
      </c>
      <c r="Y962" t="s">
        <v>18262</v>
      </c>
      <c r="Z962" t="s">
        <v>18263</v>
      </c>
      <c r="AA962" t="s">
        <v>18264</v>
      </c>
      <c r="AB962" t="s">
        <v>74</v>
      </c>
      <c r="AC962" t="s">
        <v>18265</v>
      </c>
      <c r="AD962" t="s">
        <v>18266</v>
      </c>
      <c r="AE962" t="s">
        <v>18267</v>
      </c>
      <c r="AF962" t="s">
        <v>74</v>
      </c>
      <c r="AG962">
        <v>46</v>
      </c>
      <c r="AH962">
        <v>3</v>
      </c>
      <c r="AI962">
        <v>3</v>
      </c>
      <c r="AJ962">
        <v>9</v>
      </c>
      <c r="AK962">
        <v>67</v>
      </c>
      <c r="AL962" t="s">
        <v>297</v>
      </c>
      <c r="AM962" t="s">
        <v>298</v>
      </c>
      <c r="AN962" t="s">
        <v>299</v>
      </c>
      <c r="AO962" t="s">
        <v>16289</v>
      </c>
      <c r="AP962" t="s">
        <v>16290</v>
      </c>
      <c r="AQ962" t="s">
        <v>74</v>
      </c>
      <c r="AR962" t="s">
        <v>16291</v>
      </c>
      <c r="AS962" t="s">
        <v>16292</v>
      </c>
      <c r="AT962" t="s">
        <v>9001</v>
      </c>
      <c r="AU962">
        <v>2022</v>
      </c>
      <c r="AV962">
        <v>57</v>
      </c>
      <c r="AW962">
        <v>12</v>
      </c>
      <c r="AX962" t="s">
        <v>74</v>
      </c>
      <c r="AY962" t="s">
        <v>74</v>
      </c>
      <c r="AZ962" t="s">
        <v>74</v>
      </c>
      <c r="BA962" t="s">
        <v>74</v>
      </c>
      <c r="BB962">
        <v>7634</v>
      </c>
      <c r="BC962">
        <v>7643</v>
      </c>
      <c r="BD962" t="s">
        <v>74</v>
      </c>
      <c r="BE962" t="s">
        <v>18268</v>
      </c>
      <c r="BF962" t="str">
        <f>HYPERLINK("http://dx.doi.org/10.1111/ijfs.16099","http://dx.doi.org/10.1111/ijfs.16099")</f>
        <v>http://dx.doi.org/10.1111/ijfs.16099</v>
      </c>
      <c r="BG962" t="s">
        <v>74</v>
      </c>
      <c r="BH962" t="s">
        <v>16236</v>
      </c>
      <c r="BI962">
        <v>10</v>
      </c>
      <c r="BJ962" t="s">
        <v>8056</v>
      </c>
      <c r="BK962" t="s">
        <v>104</v>
      </c>
      <c r="BL962" t="s">
        <v>8056</v>
      </c>
      <c r="BM962" t="s">
        <v>16294</v>
      </c>
      <c r="BN962" t="s">
        <v>74</v>
      </c>
      <c r="BO962" t="s">
        <v>74</v>
      </c>
      <c r="BP962" t="s">
        <v>74</v>
      </c>
      <c r="BQ962" t="s">
        <v>74</v>
      </c>
      <c r="BR962" t="s">
        <v>108</v>
      </c>
      <c r="BS962" t="s">
        <v>18269</v>
      </c>
      <c r="BT962" t="str">
        <f>HYPERLINK("https%3A%2F%2Fwww.webofscience.com%2Fwos%2Fwoscc%2Ffull-record%2FWOS:000866469200001","View Full Record in Web of Science")</f>
        <v>View Full Record in Web of Science</v>
      </c>
    </row>
    <row r="963" spans="1:72" x14ac:dyDescent="0.15">
      <c r="A963" t="s">
        <v>72</v>
      </c>
      <c r="B963" t="s">
        <v>18270</v>
      </c>
      <c r="C963" t="s">
        <v>74</v>
      </c>
      <c r="D963" t="s">
        <v>74</v>
      </c>
      <c r="E963" t="s">
        <v>74</v>
      </c>
      <c r="F963" t="s">
        <v>18271</v>
      </c>
      <c r="G963" t="s">
        <v>74</v>
      </c>
      <c r="H963" t="s">
        <v>74</v>
      </c>
      <c r="I963" t="s">
        <v>18272</v>
      </c>
      <c r="J963" t="s">
        <v>9946</v>
      </c>
      <c r="K963" t="s">
        <v>74</v>
      </c>
      <c r="L963" t="s">
        <v>74</v>
      </c>
      <c r="M963" t="s">
        <v>78</v>
      </c>
      <c r="N963" t="s">
        <v>79</v>
      </c>
      <c r="O963" t="s">
        <v>74</v>
      </c>
      <c r="P963" t="s">
        <v>74</v>
      </c>
      <c r="Q963" t="s">
        <v>74</v>
      </c>
      <c r="R963" t="s">
        <v>74</v>
      </c>
      <c r="S963" t="s">
        <v>74</v>
      </c>
      <c r="T963" t="s">
        <v>74</v>
      </c>
      <c r="U963" t="s">
        <v>74</v>
      </c>
      <c r="V963" t="s">
        <v>74</v>
      </c>
      <c r="W963" t="s">
        <v>18273</v>
      </c>
      <c r="X963" t="s">
        <v>18274</v>
      </c>
      <c r="Y963" t="s">
        <v>18275</v>
      </c>
      <c r="Z963" t="s">
        <v>18276</v>
      </c>
      <c r="AA963" t="s">
        <v>18277</v>
      </c>
      <c r="AB963" t="s">
        <v>18278</v>
      </c>
      <c r="AC963" t="s">
        <v>18279</v>
      </c>
      <c r="AD963" t="s">
        <v>18280</v>
      </c>
      <c r="AE963" t="s">
        <v>18281</v>
      </c>
      <c r="AF963" t="s">
        <v>74</v>
      </c>
      <c r="AG963">
        <v>30</v>
      </c>
      <c r="AH963">
        <v>0</v>
      </c>
      <c r="AI963">
        <v>0</v>
      </c>
      <c r="AJ963">
        <v>0</v>
      </c>
      <c r="AK963">
        <v>0</v>
      </c>
      <c r="AL963" t="s">
        <v>297</v>
      </c>
      <c r="AM963" t="s">
        <v>298</v>
      </c>
      <c r="AN963" t="s">
        <v>299</v>
      </c>
      <c r="AO963" t="s">
        <v>9951</v>
      </c>
      <c r="AP963" t="s">
        <v>9952</v>
      </c>
      <c r="AQ963" t="s">
        <v>74</v>
      </c>
      <c r="AR963" t="s">
        <v>9946</v>
      </c>
      <c r="AS963" t="s">
        <v>9953</v>
      </c>
      <c r="AT963" t="s">
        <v>14975</v>
      </c>
      <c r="AU963">
        <v>2022</v>
      </c>
      <c r="AV963">
        <v>77</v>
      </c>
      <c r="AW963">
        <v>11</v>
      </c>
      <c r="AX963" t="s">
        <v>74</v>
      </c>
      <c r="AY963" t="s">
        <v>74</v>
      </c>
      <c r="AZ963" t="s">
        <v>754</v>
      </c>
      <c r="BA963" t="s">
        <v>74</v>
      </c>
      <c r="BB963">
        <v>379</v>
      </c>
      <c r="BC963">
        <v>383</v>
      </c>
      <c r="BD963" t="s">
        <v>74</v>
      </c>
      <c r="BE963" t="s">
        <v>18282</v>
      </c>
      <c r="BF963" t="str">
        <f>HYPERLINK("http://dx.doi.org/10.1002/wea.4307","http://dx.doi.org/10.1002/wea.4307")</f>
        <v>http://dx.doi.org/10.1002/wea.4307</v>
      </c>
      <c r="BG963" t="s">
        <v>74</v>
      </c>
      <c r="BH963" t="s">
        <v>16236</v>
      </c>
      <c r="BI963">
        <v>5</v>
      </c>
      <c r="BJ963" t="s">
        <v>532</v>
      </c>
      <c r="BK963" t="s">
        <v>104</v>
      </c>
      <c r="BL963" t="s">
        <v>532</v>
      </c>
      <c r="BM963" t="s">
        <v>18283</v>
      </c>
      <c r="BN963" t="s">
        <v>74</v>
      </c>
      <c r="BO963" t="s">
        <v>1727</v>
      </c>
      <c r="BP963" t="s">
        <v>74</v>
      </c>
      <c r="BQ963" t="s">
        <v>74</v>
      </c>
      <c r="BR963" t="s">
        <v>108</v>
      </c>
      <c r="BS963" t="s">
        <v>18284</v>
      </c>
      <c r="BT963" t="str">
        <f>HYPERLINK("https%3A%2F%2Fwww.webofscience.com%2Fwos%2Fwoscc%2Ffull-record%2FWOS:000866409800001","View Full Record in Web of Science")</f>
        <v>View Full Record in Web of Science</v>
      </c>
    </row>
    <row r="964" spans="1:72" x14ac:dyDescent="0.15">
      <c r="A964" t="s">
        <v>72</v>
      </c>
      <c r="B964" t="s">
        <v>18285</v>
      </c>
      <c r="C964" t="s">
        <v>74</v>
      </c>
      <c r="D964" t="s">
        <v>74</v>
      </c>
      <c r="E964" t="s">
        <v>74</v>
      </c>
      <c r="F964" t="s">
        <v>18286</v>
      </c>
      <c r="G964" t="s">
        <v>74</v>
      </c>
      <c r="H964" t="s">
        <v>74</v>
      </c>
      <c r="I964" t="s">
        <v>18287</v>
      </c>
      <c r="J964" t="s">
        <v>7492</v>
      </c>
      <c r="K964" t="s">
        <v>74</v>
      </c>
      <c r="L964" t="s">
        <v>74</v>
      </c>
      <c r="M964" t="s">
        <v>78</v>
      </c>
      <c r="N964" t="s">
        <v>79</v>
      </c>
      <c r="O964" t="s">
        <v>74</v>
      </c>
      <c r="P964" t="s">
        <v>74</v>
      </c>
      <c r="Q964" t="s">
        <v>74</v>
      </c>
      <c r="R964" t="s">
        <v>74</v>
      </c>
      <c r="S964" t="s">
        <v>74</v>
      </c>
      <c r="T964" t="s">
        <v>18288</v>
      </c>
      <c r="U964" t="s">
        <v>18289</v>
      </c>
      <c r="V964" t="s">
        <v>18290</v>
      </c>
      <c r="W964" t="s">
        <v>18291</v>
      </c>
      <c r="X964" t="s">
        <v>18292</v>
      </c>
      <c r="Y964" t="s">
        <v>18293</v>
      </c>
      <c r="Z964" t="s">
        <v>18294</v>
      </c>
      <c r="AA964" t="s">
        <v>18295</v>
      </c>
      <c r="AB964" t="s">
        <v>18296</v>
      </c>
      <c r="AC964" t="s">
        <v>74</v>
      </c>
      <c r="AD964" t="s">
        <v>74</v>
      </c>
      <c r="AE964" t="s">
        <v>74</v>
      </c>
      <c r="AF964" t="s">
        <v>74</v>
      </c>
      <c r="AG964">
        <v>43</v>
      </c>
      <c r="AH964">
        <v>0</v>
      </c>
      <c r="AI964">
        <v>1</v>
      </c>
      <c r="AJ964">
        <v>1</v>
      </c>
      <c r="AK964">
        <v>3</v>
      </c>
      <c r="AL964" t="s">
        <v>7504</v>
      </c>
      <c r="AM964" t="s">
        <v>375</v>
      </c>
      <c r="AN964" t="s">
        <v>7505</v>
      </c>
      <c r="AO964" t="s">
        <v>7506</v>
      </c>
      <c r="AP964" t="s">
        <v>74</v>
      </c>
      <c r="AQ964" t="s">
        <v>74</v>
      </c>
      <c r="AR964" t="s">
        <v>7507</v>
      </c>
      <c r="AS964" t="s">
        <v>7508</v>
      </c>
      <c r="AT964" t="s">
        <v>18297</v>
      </c>
      <c r="AU964">
        <v>2022</v>
      </c>
      <c r="AV964">
        <v>9</v>
      </c>
      <c r="AW964">
        <v>10</v>
      </c>
      <c r="AX964" t="s">
        <v>74</v>
      </c>
      <c r="AY964" t="s">
        <v>74</v>
      </c>
      <c r="AZ964" t="s">
        <v>74</v>
      </c>
      <c r="BA964" t="s">
        <v>74</v>
      </c>
      <c r="BB964" t="s">
        <v>74</v>
      </c>
      <c r="BC964" t="s">
        <v>74</v>
      </c>
      <c r="BD964">
        <v>220885</v>
      </c>
      <c r="BE964" t="s">
        <v>18298</v>
      </c>
      <c r="BF964" t="str">
        <f>HYPERLINK("http://dx.doi.org/10.1098/rsos.220885","http://dx.doi.org/10.1098/rsos.220885")</f>
        <v>http://dx.doi.org/10.1098/rsos.220885</v>
      </c>
      <c r="BG964" t="s">
        <v>74</v>
      </c>
      <c r="BH964" t="s">
        <v>74</v>
      </c>
      <c r="BI964">
        <v>13</v>
      </c>
      <c r="BJ964" t="s">
        <v>189</v>
      </c>
      <c r="BK964" t="s">
        <v>104</v>
      </c>
      <c r="BL964" t="s">
        <v>190</v>
      </c>
      <c r="BM964" t="s">
        <v>18299</v>
      </c>
      <c r="BN964">
        <v>36249326</v>
      </c>
      <c r="BO964" t="s">
        <v>3181</v>
      </c>
      <c r="BP964" t="s">
        <v>74</v>
      </c>
      <c r="BQ964" t="s">
        <v>74</v>
      </c>
      <c r="BR964" t="s">
        <v>108</v>
      </c>
      <c r="BS964" t="s">
        <v>18300</v>
      </c>
      <c r="BT964" t="str">
        <f>HYPERLINK("https%3A%2F%2Fwww.webofscience.com%2Fwos%2Fwoscc%2Ffull-record%2FWOS:000867686500001","View Full Record in Web of Science")</f>
        <v>View Full Record in Web of Science</v>
      </c>
    </row>
    <row r="965" spans="1:72" x14ac:dyDescent="0.15">
      <c r="A965" t="s">
        <v>72</v>
      </c>
      <c r="B965" t="s">
        <v>18301</v>
      </c>
      <c r="C965" t="s">
        <v>74</v>
      </c>
      <c r="D965" t="s">
        <v>74</v>
      </c>
      <c r="E965" t="s">
        <v>74</v>
      </c>
      <c r="F965" t="s">
        <v>18302</v>
      </c>
      <c r="G965" t="s">
        <v>74</v>
      </c>
      <c r="H965" t="s">
        <v>74</v>
      </c>
      <c r="I965" t="s">
        <v>18303</v>
      </c>
      <c r="J965" t="s">
        <v>7102</v>
      </c>
      <c r="K965" t="s">
        <v>74</v>
      </c>
      <c r="L965" t="s">
        <v>74</v>
      </c>
      <c r="M965" t="s">
        <v>78</v>
      </c>
      <c r="N965" t="s">
        <v>79</v>
      </c>
      <c r="O965" t="s">
        <v>74</v>
      </c>
      <c r="P965" t="s">
        <v>74</v>
      </c>
      <c r="Q965" t="s">
        <v>74</v>
      </c>
      <c r="R965" t="s">
        <v>74</v>
      </c>
      <c r="S965" t="s">
        <v>74</v>
      </c>
      <c r="T965" t="s">
        <v>18304</v>
      </c>
      <c r="U965" t="s">
        <v>18305</v>
      </c>
      <c r="V965" t="s">
        <v>18306</v>
      </c>
      <c r="W965" t="s">
        <v>18307</v>
      </c>
      <c r="X965" t="s">
        <v>18308</v>
      </c>
      <c r="Y965" t="s">
        <v>18309</v>
      </c>
      <c r="Z965" t="s">
        <v>544</v>
      </c>
      <c r="AA965" t="s">
        <v>18310</v>
      </c>
      <c r="AB965" t="s">
        <v>18311</v>
      </c>
      <c r="AC965" t="s">
        <v>18312</v>
      </c>
      <c r="AD965" t="s">
        <v>18313</v>
      </c>
      <c r="AE965" t="s">
        <v>18314</v>
      </c>
      <c r="AF965" t="s">
        <v>74</v>
      </c>
      <c r="AG965">
        <v>89</v>
      </c>
      <c r="AH965">
        <v>0</v>
      </c>
      <c r="AI965">
        <v>0</v>
      </c>
      <c r="AJ965">
        <v>0</v>
      </c>
      <c r="AK965">
        <v>4</v>
      </c>
      <c r="AL965" t="s">
        <v>448</v>
      </c>
      <c r="AM965" t="s">
        <v>449</v>
      </c>
      <c r="AN965" t="s">
        <v>450</v>
      </c>
      <c r="AO965" t="s">
        <v>74</v>
      </c>
      <c r="AP965" t="s">
        <v>7115</v>
      </c>
      <c r="AQ965" t="s">
        <v>74</v>
      </c>
      <c r="AR965" t="s">
        <v>7116</v>
      </c>
      <c r="AS965" t="s">
        <v>7117</v>
      </c>
      <c r="AT965" t="s">
        <v>18297</v>
      </c>
      <c r="AU965">
        <v>2022</v>
      </c>
      <c r="AV965">
        <v>9</v>
      </c>
      <c r="AW965" t="s">
        <v>74</v>
      </c>
      <c r="AX965" t="s">
        <v>74</v>
      </c>
      <c r="AY965" t="s">
        <v>74</v>
      </c>
      <c r="AZ965" t="s">
        <v>74</v>
      </c>
      <c r="BA965" t="s">
        <v>74</v>
      </c>
      <c r="BB965" t="s">
        <v>74</v>
      </c>
      <c r="BC965" t="s">
        <v>74</v>
      </c>
      <c r="BD965">
        <v>912856</v>
      </c>
      <c r="BE965" t="s">
        <v>18315</v>
      </c>
      <c r="BF965" t="str">
        <f>HYPERLINK("http://dx.doi.org/10.3389/fmars.2022.912856","http://dx.doi.org/10.3389/fmars.2022.912856")</f>
        <v>http://dx.doi.org/10.3389/fmars.2022.912856</v>
      </c>
      <c r="BG965" t="s">
        <v>74</v>
      </c>
      <c r="BH965" t="s">
        <v>74</v>
      </c>
      <c r="BI965">
        <v>17</v>
      </c>
      <c r="BJ965" t="s">
        <v>6728</v>
      </c>
      <c r="BK965" t="s">
        <v>104</v>
      </c>
      <c r="BL965" t="s">
        <v>6729</v>
      </c>
      <c r="BM965" t="s">
        <v>18316</v>
      </c>
      <c r="BN965" t="s">
        <v>74</v>
      </c>
      <c r="BO965" t="s">
        <v>165</v>
      </c>
      <c r="BP965" t="s">
        <v>74</v>
      </c>
      <c r="BQ965" t="s">
        <v>74</v>
      </c>
      <c r="BR965" t="s">
        <v>108</v>
      </c>
      <c r="BS965" t="s">
        <v>18317</v>
      </c>
      <c r="BT965" t="str">
        <f>HYPERLINK("https%3A%2F%2Fwww.webofscience.com%2Fwos%2Fwoscc%2Ffull-record%2FWOS:000876803000001","View Full Record in Web of Science")</f>
        <v>View Full Record in Web of Science</v>
      </c>
    </row>
    <row r="966" spans="1:72" x14ac:dyDescent="0.15">
      <c r="A966" t="s">
        <v>72</v>
      </c>
      <c r="B966" t="s">
        <v>18318</v>
      </c>
      <c r="C966" t="s">
        <v>74</v>
      </c>
      <c r="D966" t="s">
        <v>74</v>
      </c>
      <c r="E966" t="s">
        <v>74</v>
      </c>
      <c r="F966" t="s">
        <v>18319</v>
      </c>
      <c r="G966" t="s">
        <v>74</v>
      </c>
      <c r="H966" t="s">
        <v>74</v>
      </c>
      <c r="I966" t="s">
        <v>18320</v>
      </c>
      <c r="J966" t="s">
        <v>9824</v>
      </c>
      <c r="K966" t="s">
        <v>74</v>
      </c>
      <c r="L966" t="s">
        <v>74</v>
      </c>
      <c r="M966" t="s">
        <v>78</v>
      </c>
      <c r="N966" t="s">
        <v>79</v>
      </c>
      <c r="O966" t="s">
        <v>74</v>
      </c>
      <c r="P966" t="s">
        <v>74</v>
      </c>
      <c r="Q966" t="s">
        <v>74</v>
      </c>
      <c r="R966" t="s">
        <v>74</v>
      </c>
      <c r="S966" t="s">
        <v>74</v>
      </c>
      <c r="T966" t="s">
        <v>74</v>
      </c>
      <c r="U966" t="s">
        <v>18321</v>
      </c>
      <c r="V966" t="s">
        <v>18322</v>
      </c>
      <c r="W966" t="s">
        <v>18323</v>
      </c>
      <c r="X966" t="s">
        <v>18324</v>
      </c>
      <c r="Y966" t="s">
        <v>18325</v>
      </c>
      <c r="Z966" t="s">
        <v>18326</v>
      </c>
      <c r="AA966" t="s">
        <v>18327</v>
      </c>
      <c r="AB966" t="s">
        <v>18328</v>
      </c>
      <c r="AC966" t="s">
        <v>18329</v>
      </c>
      <c r="AD966" t="s">
        <v>18330</v>
      </c>
      <c r="AE966" t="s">
        <v>18331</v>
      </c>
      <c r="AF966" t="s">
        <v>74</v>
      </c>
      <c r="AG966">
        <v>59</v>
      </c>
      <c r="AH966">
        <v>74</v>
      </c>
      <c r="AI966">
        <v>76</v>
      </c>
      <c r="AJ966">
        <v>64</v>
      </c>
      <c r="AK966">
        <v>172</v>
      </c>
      <c r="AL966" t="s">
        <v>182</v>
      </c>
      <c r="AM966" t="s">
        <v>183</v>
      </c>
      <c r="AN966" t="s">
        <v>184</v>
      </c>
      <c r="AO966" t="s">
        <v>9836</v>
      </c>
      <c r="AP966" t="s">
        <v>9837</v>
      </c>
      <c r="AQ966" t="s">
        <v>74</v>
      </c>
      <c r="AR966" t="s">
        <v>9824</v>
      </c>
      <c r="AS966" t="s">
        <v>9838</v>
      </c>
      <c r="AT966" t="s">
        <v>17294</v>
      </c>
      <c r="AU966">
        <v>2022</v>
      </c>
      <c r="AV966">
        <v>610</v>
      </c>
      <c r="AW966">
        <v>7932</v>
      </c>
      <c r="AX966" t="s">
        <v>74</v>
      </c>
      <c r="AY966" t="s">
        <v>74</v>
      </c>
      <c r="AZ966" t="s">
        <v>74</v>
      </c>
      <c r="BA966" t="s">
        <v>74</v>
      </c>
      <c r="BB966">
        <v>513</v>
      </c>
      <c r="BC966" t="s">
        <v>351</v>
      </c>
      <c r="BD966" t="s">
        <v>74</v>
      </c>
      <c r="BE966" t="s">
        <v>18332</v>
      </c>
      <c r="BF966" t="str">
        <f>HYPERLINK("http://dx.doi.org/10.1038/s41586-022-05318-4","http://dx.doi.org/10.1038/s41586-022-05318-4")</f>
        <v>http://dx.doi.org/10.1038/s41586-022-05318-4</v>
      </c>
      <c r="BG966" t="s">
        <v>74</v>
      </c>
      <c r="BH966" t="s">
        <v>16236</v>
      </c>
      <c r="BI966">
        <v>16</v>
      </c>
      <c r="BJ966" t="s">
        <v>189</v>
      </c>
      <c r="BK966" t="s">
        <v>104</v>
      </c>
      <c r="BL966" t="s">
        <v>190</v>
      </c>
      <c r="BM966" t="s">
        <v>18333</v>
      </c>
      <c r="BN966">
        <v>36224387</v>
      </c>
      <c r="BO966" t="s">
        <v>13659</v>
      </c>
      <c r="BP966" t="s">
        <v>249</v>
      </c>
      <c r="BQ966" t="s">
        <v>250</v>
      </c>
      <c r="BR966" t="s">
        <v>108</v>
      </c>
      <c r="BS966" t="s">
        <v>18334</v>
      </c>
      <c r="BT966" t="str">
        <f>HYPERLINK("https%3A%2F%2Fwww.webofscience.com%2Fwos%2Fwoscc%2Ffull-record%2FWOS:000866404100005","View Full Record in Web of Science")</f>
        <v>View Full Record in Web of Science</v>
      </c>
    </row>
    <row r="967" spans="1:72" x14ac:dyDescent="0.15">
      <c r="A967" t="s">
        <v>72</v>
      </c>
      <c r="B967" t="s">
        <v>18335</v>
      </c>
      <c r="C967" t="s">
        <v>74</v>
      </c>
      <c r="D967" t="s">
        <v>74</v>
      </c>
      <c r="E967" t="s">
        <v>74</v>
      </c>
      <c r="F967" t="s">
        <v>18336</v>
      </c>
      <c r="G967" t="s">
        <v>74</v>
      </c>
      <c r="H967" t="s">
        <v>74</v>
      </c>
      <c r="I967" t="s">
        <v>18337</v>
      </c>
      <c r="J967" t="s">
        <v>12453</v>
      </c>
      <c r="K967" t="s">
        <v>74</v>
      </c>
      <c r="L967" t="s">
        <v>74</v>
      </c>
      <c r="M967" t="s">
        <v>78</v>
      </c>
      <c r="N967" t="s">
        <v>79</v>
      </c>
      <c r="O967" t="s">
        <v>74</v>
      </c>
      <c r="P967" t="s">
        <v>74</v>
      </c>
      <c r="Q967" t="s">
        <v>74</v>
      </c>
      <c r="R967" t="s">
        <v>74</v>
      </c>
      <c r="S967" t="s">
        <v>74</v>
      </c>
      <c r="T967" t="s">
        <v>18338</v>
      </c>
      <c r="U967" t="s">
        <v>18339</v>
      </c>
      <c r="V967" t="s">
        <v>18340</v>
      </c>
      <c r="W967" t="s">
        <v>18341</v>
      </c>
      <c r="X967" t="s">
        <v>18342</v>
      </c>
      <c r="Y967" t="s">
        <v>18343</v>
      </c>
      <c r="Z967" t="s">
        <v>18344</v>
      </c>
      <c r="AA967" t="s">
        <v>18345</v>
      </c>
      <c r="AB967" t="s">
        <v>18346</v>
      </c>
      <c r="AC967" t="s">
        <v>18347</v>
      </c>
      <c r="AD967" t="s">
        <v>18348</v>
      </c>
      <c r="AE967" t="s">
        <v>18349</v>
      </c>
      <c r="AF967" t="s">
        <v>74</v>
      </c>
      <c r="AG967">
        <v>90</v>
      </c>
      <c r="AH967">
        <v>3</v>
      </c>
      <c r="AI967">
        <v>3</v>
      </c>
      <c r="AJ967">
        <v>0</v>
      </c>
      <c r="AK967">
        <v>11</v>
      </c>
      <c r="AL967" t="s">
        <v>269</v>
      </c>
      <c r="AM967" t="s">
        <v>93</v>
      </c>
      <c r="AN967" t="s">
        <v>397</v>
      </c>
      <c r="AO967" t="s">
        <v>12466</v>
      </c>
      <c r="AP967" t="s">
        <v>12467</v>
      </c>
      <c r="AQ967" t="s">
        <v>74</v>
      </c>
      <c r="AR967" t="s">
        <v>12468</v>
      </c>
      <c r="AS967" t="s">
        <v>12469</v>
      </c>
      <c r="AT967" t="s">
        <v>9241</v>
      </c>
      <c r="AU967">
        <v>2023</v>
      </c>
      <c r="AV967">
        <v>60</v>
      </c>
      <c r="AW967" t="s">
        <v>14552</v>
      </c>
      <c r="AX967" t="s">
        <v>74</v>
      </c>
      <c r="AY967" t="s">
        <v>74</v>
      </c>
      <c r="AZ967" t="s">
        <v>74</v>
      </c>
      <c r="BA967" t="s">
        <v>74</v>
      </c>
      <c r="BB967">
        <v>3523</v>
      </c>
      <c r="BC967">
        <v>3542</v>
      </c>
      <c r="BD967" t="s">
        <v>74</v>
      </c>
      <c r="BE967" t="s">
        <v>18350</v>
      </c>
      <c r="BF967" t="str">
        <f>HYPERLINK("http://dx.doi.org/10.1007/s00382-022-06505-9","http://dx.doi.org/10.1007/s00382-022-06505-9")</f>
        <v>http://dx.doi.org/10.1007/s00382-022-06505-9</v>
      </c>
      <c r="BG967" t="s">
        <v>74</v>
      </c>
      <c r="BH967" t="s">
        <v>16236</v>
      </c>
      <c r="BI967">
        <v>20</v>
      </c>
      <c r="BJ967" t="s">
        <v>532</v>
      </c>
      <c r="BK967" t="s">
        <v>104</v>
      </c>
      <c r="BL967" t="s">
        <v>532</v>
      </c>
      <c r="BM967" t="s">
        <v>14554</v>
      </c>
      <c r="BN967" t="s">
        <v>74</v>
      </c>
      <c r="BO967" t="s">
        <v>10923</v>
      </c>
      <c r="BP967" t="s">
        <v>74</v>
      </c>
      <c r="BQ967" t="s">
        <v>74</v>
      </c>
      <c r="BR967" t="s">
        <v>108</v>
      </c>
      <c r="BS967" t="s">
        <v>18351</v>
      </c>
      <c r="BT967" t="str">
        <f>HYPERLINK("https%3A%2F%2Fwww.webofscience.com%2Fwos%2Fwoscc%2Ffull-record%2FWOS:000866319300001","View Full Record in Web of Science")</f>
        <v>View Full Record in Web of Science</v>
      </c>
    </row>
    <row r="968" spans="1:72" x14ac:dyDescent="0.15">
      <c r="A968" t="s">
        <v>72</v>
      </c>
      <c r="B968" t="s">
        <v>18352</v>
      </c>
      <c r="C968" t="s">
        <v>74</v>
      </c>
      <c r="D968" t="s">
        <v>74</v>
      </c>
      <c r="E968" t="s">
        <v>74</v>
      </c>
      <c r="F968" t="s">
        <v>18353</v>
      </c>
      <c r="G968" t="s">
        <v>74</v>
      </c>
      <c r="H968" t="s">
        <v>74</v>
      </c>
      <c r="I968" t="s">
        <v>18354</v>
      </c>
      <c r="J968" t="s">
        <v>618</v>
      </c>
      <c r="K968" t="s">
        <v>74</v>
      </c>
      <c r="L968" t="s">
        <v>74</v>
      </c>
      <c r="M968" t="s">
        <v>78</v>
      </c>
      <c r="N968" t="s">
        <v>79</v>
      </c>
      <c r="O968" t="s">
        <v>74</v>
      </c>
      <c r="P968" t="s">
        <v>74</v>
      </c>
      <c r="Q968" t="s">
        <v>74</v>
      </c>
      <c r="R968" t="s">
        <v>74</v>
      </c>
      <c r="S968" t="s">
        <v>74</v>
      </c>
      <c r="T968" t="s">
        <v>18355</v>
      </c>
      <c r="U968" t="s">
        <v>18356</v>
      </c>
      <c r="V968" t="s">
        <v>18357</v>
      </c>
      <c r="W968" t="s">
        <v>18358</v>
      </c>
      <c r="X968" t="s">
        <v>18359</v>
      </c>
      <c r="Y968" t="s">
        <v>18360</v>
      </c>
      <c r="Z968" t="s">
        <v>16165</v>
      </c>
      <c r="AA968" t="s">
        <v>16166</v>
      </c>
      <c r="AB968" t="s">
        <v>18361</v>
      </c>
      <c r="AC968" t="s">
        <v>18362</v>
      </c>
      <c r="AD968" t="s">
        <v>18363</v>
      </c>
      <c r="AE968" t="s">
        <v>18364</v>
      </c>
      <c r="AF968" t="s">
        <v>74</v>
      </c>
      <c r="AG968">
        <v>57</v>
      </c>
      <c r="AH968">
        <v>4</v>
      </c>
      <c r="AI968">
        <v>5</v>
      </c>
      <c r="AJ968">
        <v>2</v>
      </c>
      <c r="AK968">
        <v>10</v>
      </c>
      <c r="AL968" t="s">
        <v>269</v>
      </c>
      <c r="AM968" t="s">
        <v>93</v>
      </c>
      <c r="AN968" t="s">
        <v>397</v>
      </c>
      <c r="AO968" t="s">
        <v>630</v>
      </c>
      <c r="AP968" t="s">
        <v>631</v>
      </c>
      <c r="AQ968" t="s">
        <v>74</v>
      </c>
      <c r="AR968" t="s">
        <v>632</v>
      </c>
      <c r="AS968" t="s">
        <v>633</v>
      </c>
      <c r="AT968" t="s">
        <v>18365</v>
      </c>
      <c r="AU968">
        <v>2022</v>
      </c>
      <c r="AV968">
        <v>45</v>
      </c>
      <c r="AW968">
        <v>10</v>
      </c>
      <c r="AX968" t="s">
        <v>74</v>
      </c>
      <c r="AY968" t="s">
        <v>74</v>
      </c>
      <c r="AZ968" t="s">
        <v>74</v>
      </c>
      <c r="BA968" t="s">
        <v>74</v>
      </c>
      <c r="BB968">
        <v>1559</v>
      </c>
      <c r="BC968">
        <v>1569</v>
      </c>
      <c r="BD968" t="s">
        <v>74</v>
      </c>
      <c r="BE968" t="s">
        <v>18366</v>
      </c>
      <c r="BF968" t="str">
        <f>HYPERLINK("http://dx.doi.org/10.1007/s00300-022-03090-9","http://dx.doi.org/10.1007/s00300-022-03090-9")</f>
        <v>http://dx.doi.org/10.1007/s00300-022-03090-9</v>
      </c>
      <c r="BG968" t="s">
        <v>74</v>
      </c>
      <c r="BH968" t="s">
        <v>16236</v>
      </c>
      <c r="BI968">
        <v>11</v>
      </c>
      <c r="BJ968" t="s">
        <v>305</v>
      </c>
      <c r="BK968" t="s">
        <v>104</v>
      </c>
      <c r="BL968" t="s">
        <v>306</v>
      </c>
      <c r="BM968" t="s">
        <v>18367</v>
      </c>
      <c r="BN968" t="s">
        <v>74</v>
      </c>
      <c r="BO968" t="s">
        <v>14246</v>
      </c>
      <c r="BP968" t="s">
        <v>74</v>
      </c>
      <c r="BQ968" t="s">
        <v>74</v>
      </c>
      <c r="BR968" t="s">
        <v>108</v>
      </c>
      <c r="BS968" t="s">
        <v>18368</v>
      </c>
      <c r="BT968" t="str">
        <f>HYPERLINK("https%3A%2F%2Fwww.webofscience.com%2Fwos%2Fwoscc%2Ffull-record%2FWOS:000866321500001","View Full Record in Web of Science")</f>
        <v>View Full Record in Web of Science</v>
      </c>
    </row>
    <row r="969" spans="1:72" x14ac:dyDescent="0.15">
      <c r="A969" t="s">
        <v>72</v>
      </c>
      <c r="B969" t="s">
        <v>18369</v>
      </c>
      <c r="C969" t="s">
        <v>74</v>
      </c>
      <c r="D969" t="s">
        <v>74</v>
      </c>
      <c r="E969" t="s">
        <v>74</v>
      </c>
      <c r="F969" t="s">
        <v>18370</v>
      </c>
      <c r="G969" t="s">
        <v>74</v>
      </c>
      <c r="H969" t="s">
        <v>74</v>
      </c>
      <c r="I969" t="s">
        <v>18371</v>
      </c>
      <c r="J969" t="s">
        <v>618</v>
      </c>
      <c r="K969" t="s">
        <v>74</v>
      </c>
      <c r="L969" t="s">
        <v>74</v>
      </c>
      <c r="M969" t="s">
        <v>78</v>
      </c>
      <c r="N969" t="s">
        <v>79</v>
      </c>
      <c r="O969" t="s">
        <v>74</v>
      </c>
      <c r="P969" t="s">
        <v>74</v>
      </c>
      <c r="Q969" t="s">
        <v>74</v>
      </c>
      <c r="R969" t="s">
        <v>74</v>
      </c>
      <c r="S969" t="s">
        <v>74</v>
      </c>
      <c r="T969" t="s">
        <v>18372</v>
      </c>
      <c r="U969" t="s">
        <v>18373</v>
      </c>
      <c r="V969" t="s">
        <v>18374</v>
      </c>
      <c r="W969" t="s">
        <v>18375</v>
      </c>
      <c r="X969" t="s">
        <v>18376</v>
      </c>
      <c r="Y969" t="s">
        <v>18377</v>
      </c>
      <c r="Z969" t="s">
        <v>18378</v>
      </c>
      <c r="AA969" t="s">
        <v>18379</v>
      </c>
      <c r="AB969" t="s">
        <v>18380</v>
      </c>
      <c r="AC969" t="s">
        <v>18381</v>
      </c>
      <c r="AD969" t="s">
        <v>18382</v>
      </c>
      <c r="AE969" t="s">
        <v>18383</v>
      </c>
      <c r="AF969" t="s">
        <v>74</v>
      </c>
      <c r="AG969">
        <v>42</v>
      </c>
      <c r="AH969">
        <v>3</v>
      </c>
      <c r="AI969">
        <v>3</v>
      </c>
      <c r="AJ969">
        <v>4</v>
      </c>
      <c r="AK969">
        <v>10</v>
      </c>
      <c r="AL969" t="s">
        <v>269</v>
      </c>
      <c r="AM969" t="s">
        <v>93</v>
      </c>
      <c r="AN969" t="s">
        <v>397</v>
      </c>
      <c r="AO969" t="s">
        <v>630</v>
      </c>
      <c r="AP969" t="s">
        <v>631</v>
      </c>
      <c r="AQ969" t="s">
        <v>74</v>
      </c>
      <c r="AR969" t="s">
        <v>632</v>
      </c>
      <c r="AS969" t="s">
        <v>633</v>
      </c>
      <c r="AT969" t="s">
        <v>18365</v>
      </c>
      <c r="AU969">
        <v>2022</v>
      </c>
      <c r="AV969">
        <v>45</v>
      </c>
      <c r="AW969">
        <v>10</v>
      </c>
      <c r="AX969" t="s">
        <v>74</v>
      </c>
      <c r="AY969" t="s">
        <v>74</v>
      </c>
      <c r="AZ969" t="s">
        <v>74</v>
      </c>
      <c r="BA969" t="s">
        <v>74</v>
      </c>
      <c r="BB969">
        <v>1571</v>
      </c>
      <c r="BC969">
        <v>1580</v>
      </c>
      <c r="BD969" t="s">
        <v>74</v>
      </c>
      <c r="BE969" t="s">
        <v>18384</v>
      </c>
      <c r="BF969" t="str">
        <f>HYPERLINK("http://dx.doi.org/10.1007/s00300-022-03091-8","http://dx.doi.org/10.1007/s00300-022-03091-8")</f>
        <v>http://dx.doi.org/10.1007/s00300-022-03091-8</v>
      </c>
      <c r="BG969" t="s">
        <v>74</v>
      </c>
      <c r="BH969" t="s">
        <v>16236</v>
      </c>
      <c r="BI969">
        <v>10</v>
      </c>
      <c r="BJ969" t="s">
        <v>305</v>
      </c>
      <c r="BK969" t="s">
        <v>104</v>
      </c>
      <c r="BL969" t="s">
        <v>306</v>
      </c>
      <c r="BM969" t="s">
        <v>18367</v>
      </c>
      <c r="BN969" t="s">
        <v>74</v>
      </c>
      <c r="BO969" t="s">
        <v>5191</v>
      </c>
      <c r="BP969" t="s">
        <v>74</v>
      </c>
      <c r="BQ969" t="s">
        <v>74</v>
      </c>
      <c r="BR969" t="s">
        <v>108</v>
      </c>
      <c r="BS969" t="s">
        <v>18385</v>
      </c>
      <c r="BT969" t="str">
        <f>HYPERLINK("https%3A%2F%2Fwww.webofscience.com%2Fwos%2Fwoscc%2Ffull-record%2FWOS:000866321500002","View Full Record in Web of Science")</f>
        <v>View Full Record in Web of Science</v>
      </c>
    </row>
    <row r="970" spans="1:72" x14ac:dyDescent="0.15">
      <c r="A970" t="s">
        <v>72</v>
      </c>
      <c r="B970" t="s">
        <v>18386</v>
      </c>
      <c r="C970" t="s">
        <v>74</v>
      </c>
      <c r="D970" t="s">
        <v>74</v>
      </c>
      <c r="E970" t="s">
        <v>74</v>
      </c>
      <c r="F970" t="s">
        <v>18387</v>
      </c>
      <c r="G970" t="s">
        <v>74</v>
      </c>
      <c r="H970" t="s">
        <v>74</v>
      </c>
      <c r="I970" t="s">
        <v>18388</v>
      </c>
      <c r="J970" t="s">
        <v>7001</v>
      </c>
      <c r="K970" t="s">
        <v>74</v>
      </c>
      <c r="L970" t="s">
        <v>74</v>
      </c>
      <c r="M970" t="s">
        <v>78</v>
      </c>
      <c r="N970" t="s">
        <v>79</v>
      </c>
      <c r="O970" t="s">
        <v>74</v>
      </c>
      <c r="P970" t="s">
        <v>74</v>
      </c>
      <c r="Q970" t="s">
        <v>74</v>
      </c>
      <c r="R970" t="s">
        <v>74</v>
      </c>
      <c r="S970" t="s">
        <v>74</v>
      </c>
      <c r="T970" t="s">
        <v>18389</v>
      </c>
      <c r="U970" t="s">
        <v>18390</v>
      </c>
      <c r="V970" t="s">
        <v>18391</v>
      </c>
      <c r="W970" t="s">
        <v>18392</v>
      </c>
      <c r="X970" t="s">
        <v>18393</v>
      </c>
      <c r="Y970" t="s">
        <v>18394</v>
      </c>
      <c r="Z970" t="s">
        <v>18395</v>
      </c>
      <c r="AA970" t="s">
        <v>18396</v>
      </c>
      <c r="AB970" t="s">
        <v>18397</v>
      </c>
      <c r="AC970" t="s">
        <v>18398</v>
      </c>
      <c r="AD970" t="s">
        <v>18399</v>
      </c>
      <c r="AE970" t="s">
        <v>18400</v>
      </c>
      <c r="AF970" t="s">
        <v>74</v>
      </c>
      <c r="AG970">
        <v>94</v>
      </c>
      <c r="AH970">
        <v>6</v>
      </c>
      <c r="AI970">
        <v>6</v>
      </c>
      <c r="AJ970">
        <v>1</v>
      </c>
      <c r="AK970">
        <v>10</v>
      </c>
      <c r="AL970" t="s">
        <v>422</v>
      </c>
      <c r="AM970" t="s">
        <v>208</v>
      </c>
      <c r="AN970" t="s">
        <v>423</v>
      </c>
      <c r="AO970" t="s">
        <v>7014</v>
      </c>
      <c r="AP970" t="s">
        <v>7015</v>
      </c>
      <c r="AQ970" t="s">
        <v>74</v>
      </c>
      <c r="AR970" t="s">
        <v>7016</v>
      </c>
      <c r="AS970" t="s">
        <v>7017</v>
      </c>
      <c r="AT970" t="s">
        <v>11979</v>
      </c>
      <c r="AU970">
        <v>2022</v>
      </c>
      <c r="AV970">
        <v>79</v>
      </c>
      <c r="AW970">
        <v>9</v>
      </c>
      <c r="AX970" t="s">
        <v>74</v>
      </c>
      <c r="AY970" t="s">
        <v>74</v>
      </c>
      <c r="AZ970" t="s">
        <v>74</v>
      </c>
      <c r="BA970" t="s">
        <v>74</v>
      </c>
      <c r="BB970">
        <v>2373</v>
      </c>
      <c r="BC970">
        <v>2388</v>
      </c>
      <c r="BD970" t="s">
        <v>74</v>
      </c>
      <c r="BE970" t="s">
        <v>18401</v>
      </c>
      <c r="BF970" t="str">
        <f>HYPERLINK("http://dx.doi.org/10.1093/icesjms/fsac168","http://dx.doi.org/10.1093/icesjms/fsac168")</f>
        <v>http://dx.doi.org/10.1093/icesjms/fsac168</v>
      </c>
      <c r="BG970" t="s">
        <v>74</v>
      </c>
      <c r="BH970" t="s">
        <v>16236</v>
      </c>
      <c r="BI970">
        <v>16</v>
      </c>
      <c r="BJ970" t="s">
        <v>1019</v>
      </c>
      <c r="BK970" t="s">
        <v>104</v>
      </c>
      <c r="BL970" t="s">
        <v>1019</v>
      </c>
      <c r="BM970" t="s">
        <v>14819</v>
      </c>
      <c r="BN970" t="s">
        <v>74</v>
      </c>
      <c r="BO970" t="s">
        <v>4248</v>
      </c>
      <c r="BP970" t="s">
        <v>74</v>
      </c>
      <c r="BQ970" t="s">
        <v>74</v>
      </c>
      <c r="BR970" t="s">
        <v>108</v>
      </c>
      <c r="BS970" t="s">
        <v>18402</v>
      </c>
      <c r="BT970" t="str">
        <f>HYPERLINK("https%3A%2F%2Fwww.webofscience.com%2Fwos%2Fwoscc%2Ffull-record%2FWOS:000865958900001","View Full Record in Web of Science")</f>
        <v>View Full Record in Web of Science</v>
      </c>
    </row>
    <row r="971" spans="1:72" x14ac:dyDescent="0.15">
      <c r="A971" t="s">
        <v>72</v>
      </c>
      <c r="B971" t="s">
        <v>18403</v>
      </c>
      <c r="C971" t="s">
        <v>74</v>
      </c>
      <c r="D971" t="s">
        <v>74</v>
      </c>
      <c r="E971" t="s">
        <v>74</v>
      </c>
      <c r="F971" t="s">
        <v>18404</v>
      </c>
      <c r="G971" t="s">
        <v>74</v>
      </c>
      <c r="H971" t="s">
        <v>74</v>
      </c>
      <c r="I971" t="s">
        <v>18405</v>
      </c>
      <c r="J971" t="s">
        <v>12709</v>
      </c>
      <c r="K971" t="s">
        <v>74</v>
      </c>
      <c r="L971" t="s">
        <v>74</v>
      </c>
      <c r="M971" t="s">
        <v>78</v>
      </c>
      <c r="N971" t="s">
        <v>79</v>
      </c>
      <c r="O971" t="s">
        <v>74</v>
      </c>
      <c r="P971" t="s">
        <v>74</v>
      </c>
      <c r="Q971" t="s">
        <v>74</v>
      </c>
      <c r="R971" t="s">
        <v>74</v>
      </c>
      <c r="S971" t="s">
        <v>74</v>
      </c>
      <c r="T971" t="s">
        <v>18406</v>
      </c>
      <c r="U971" t="s">
        <v>18407</v>
      </c>
      <c r="V971" t="s">
        <v>18408</v>
      </c>
      <c r="W971" t="s">
        <v>18409</v>
      </c>
      <c r="X971" t="s">
        <v>18410</v>
      </c>
      <c r="Y971" t="s">
        <v>18411</v>
      </c>
      <c r="Z971" t="s">
        <v>18412</v>
      </c>
      <c r="AA971" t="s">
        <v>74</v>
      </c>
      <c r="AB971" t="s">
        <v>18413</v>
      </c>
      <c r="AC971" t="s">
        <v>18414</v>
      </c>
      <c r="AD971" t="s">
        <v>18415</v>
      </c>
      <c r="AE971" t="s">
        <v>18416</v>
      </c>
      <c r="AF971" t="s">
        <v>74</v>
      </c>
      <c r="AG971">
        <v>116</v>
      </c>
      <c r="AH971">
        <v>0</v>
      </c>
      <c r="AI971">
        <v>0</v>
      </c>
      <c r="AJ971">
        <v>2</v>
      </c>
      <c r="AK971">
        <v>8</v>
      </c>
      <c r="AL971" t="s">
        <v>603</v>
      </c>
      <c r="AM971" t="s">
        <v>208</v>
      </c>
      <c r="AN971" t="s">
        <v>604</v>
      </c>
      <c r="AO971" t="s">
        <v>12722</v>
      </c>
      <c r="AP971" t="s">
        <v>12723</v>
      </c>
      <c r="AQ971" t="s">
        <v>74</v>
      </c>
      <c r="AR971" t="s">
        <v>12724</v>
      </c>
      <c r="AS971" t="s">
        <v>12725</v>
      </c>
      <c r="AT971" t="s">
        <v>18022</v>
      </c>
      <c r="AU971">
        <v>2022</v>
      </c>
      <c r="AV971">
        <v>249</v>
      </c>
      <c r="AW971" t="s">
        <v>74</v>
      </c>
      <c r="AX971" t="s">
        <v>74</v>
      </c>
      <c r="AY971" t="s">
        <v>74</v>
      </c>
      <c r="AZ971" t="s">
        <v>74</v>
      </c>
      <c r="BA971" t="s">
        <v>74</v>
      </c>
      <c r="BB971" t="s">
        <v>74</v>
      </c>
      <c r="BC971" t="s">
        <v>74</v>
      </c>
      <c r="BD971">
        <v>104855</v>
      </c>
      <c r="BE971" t="s">
        <v>18417</v>
      </c>
      <c r="BF971" t="str">
        <f>HYPERLINK("http://dx.doi.org/10.1016/j.csr.2022.104855","http://dx.doi.org/10.1016/j.csr.2022.104855")</f>
        <v>http://dx.doi.org/10.1016/j.csr.2022.104855</v>
      </c>
      <c r="BG971" t="s">
        <v>74</v>
      </c>
      <c r="BH971" t="s">
        <v>16236</v>
      </c>
      <c r="BI971">
        <v>19</v>
      </c>
      <c r="BJ971" t="s">
        <v>403</v>
      </c>
      <c r="BK971" t="s">
        <v>104</v>
      </c>
      <c r="BL971" t="s">
        <v>403</v>
      </c>
      <c r="BM971" t="s">
        <v>18418</v>
      </c>
      <c r="BN971" t="s">
        <v>74</v>
      </c>
      <c r="BO971" t="s">
        <v>4248</v>
      </c>
      <c r="BP971" t="s">
        <v>74</v>
      </c>
      <c r="BQ971" t="s">
        <v>74</v>
      </c>
      <c r="BR971" t="s">
        <v>108</v>
      </c>
      <c r="BS971" t="s">
        <v>18419</v>
      </c>
      <c r="BT971" t="str">
        <f>HYPERLINK("https%3A%2F%2Fwww.webofscience.com%2Fwos%2Fwoscc%2Ffull-record%2FWOS:000874263500001","View Full Record in Web of Science")</f>
        <v>View Full Record in Web of Science</v>
      </c>
    </row>
    <row r="972" spans="1:72" x14ac:dyDescent="0.15">
      <c r="A972" t="s">
        <v>72</v>
      </c>
      <c r="B972" t="s">
        <v>18420</v>
      </c>
      <c r="C972" t="s">
        <v>74</v>
      </c>
      <c r="D972" t="s">
        <v>74</v>
      </c>
      <c r="E972" t="s">
        <v>74</v>
      </c>
      <c r="F972" t="s">
        <v>18421</v>
      </c>
      <c r="G972" t="s">
        <v>74</v>
      </c>
      <c r="H972" t="s">
        <v>74</v>
      </c>
      <c r="I972" t="s">
        <v>18422</v>
      </c>
      <c r="J972" t="s">
        <v>14324</v>
      </c>
      <c r="K972" t="s">
        <v>74</v>
      </c>
      <c r="L972" t="s">
        <v>74</v>
      </c>
      <c r="M972" t="s">
        <v>78</v>
      </c>
      <c r="N972" t="s">
        <v>79</v>
      </c>
      <c r="O972" t="s">
        <v>74</v>
      </c>
      <c r="P972" t="s">
        <v>74</v>
      </c>
      <c r="Q972" t="s">
        <v>74</v>
      </c>
      <c r="R972" t="s">
        <v>74</v>
      </c>
      <c r="S972" t="s">
        <v>74</v>
      </c>
      <c r="T972" t="s">
        <v>18423</v>
      </c>
      <c r="U972" t="s">
        <v>18424</v>
      </c>
      <c r="V972" t="s">
        <v>18425</v>
      </c>
      <c r="W972" t="s">
        <v>18426</v>
      </c>
      <c r="X972" t="s">
        <v>18427</v>
      </c>
      <c r="Y972" t="s">
        <v>18428</v>
      </c>
      <c r="Z972" t="s">
        <v>18429</v>
      </c>
      <c r="AA972" t="s">
        <v>18430</v>
      </c>
      <c r="AB972" t="s">
        <v>18431</v>
      </c>
      <c r="AC972" t="s">
        <v>18432</v>
      </c>
      <c r="AD972" t="s">
        <v>18433</v>
      </c>
      <c r="AE972" t="s">
        <v>18434</v>
      </c>
      <c r="AF972" t="s">
        <v>74</v>
      </c>
      <c r="AG972">
        <v>118</v>
      </c>
      <c r="AH972">
        <v>3</v>
      </c>
      <c r="AI972">
        <v>4</v>
      </c>
      <c r="AJ972">
        <v>8</v>
      </c>
      <c r="AK972">
        <v>22</v>
      </c>
      <c r="AL972" t="s">
        <v>297</v>
      </c>
      <c r="AM972" t="s">
        <v>298</v>
      </c>
      <c r="AN972" t="s">
        <v>299</v>
      </c>
      <c r="AO972" t="s">
        <v>14336</v>
      </c>
      <c r="AP972" t="s">
        <v>14337</v>
      </c>
      <c r="AQ972" t="s">
        <v>74</v>
      </c>
      <c r="AR972" t="s">
        <v>14338</v>
      </c>
      <c r="AS972" t="s">
        <v>14339</v>
      </c>
      <c r="AT972" t="s">
        <v>276</v>
      </c>
      <c r="AU972">
        <v>2023</v>
      </c>
      <c r="AV972">
        <v>29</v>
      </c>
      <c r="AW972">
        <v>1</v>
      </c>
      <c r="AX972" t="s">
        <v>74</v>
      </c>
      <c r="AY972" t="s">
        <v>74</v>
      </c>
      <c r="AZ972" t="s">
        <v>74</v>
      </c>
      <c r="BA972" t="s">
        <v>74</v>
      </c>
      <c r="BB972">
        <v>10</v>
      </c>
      <c r="BC972">
        <v>20</v>
      </c>
      <c r="BD972" t="s">
        <v>74</v>
      </c>
      <c r="BE972" t="s">
        <v>18435</v>
      </c>
      <c r="BF972" t="str">
        <f>HYPERLINK("http://dx.doi.org/10.1111/gcb.16393","http://dx.doi.org/10.1111/gcb.16393")</f>
        <v>http://dx.doi.org/10.1111/gcb.16393</v>
      </c>
      <c r="BG972" t="s">
        <v>74</v>
      </c>
      <c r="BH972" t="s">
        <v>16236</v>
      </c>
      <c r="BI972">
        <v>11</v>
      </c>
      <c r="BJ972" t="s">
        <v>8549</v>
      </c>
      <c r="BK972" t="s">
        <v>104</v>
      </c>
      <c r="BL972" t="s">
        <v>306</v>
      </c>
      <c r="BM972" t="s">
        <v>17874</v>
      </c>
      <c r="BN972">
        <v>36220153</v>
      </c>
      <c r="BO972" t="s">
        <v>14246</v>
      </c>
      <c r="BP972" t="s">
        <v>74</v>
      </c>
      <c r="BQ972" t="s">
        <v>74</v>
      </c>
      <c r="BR972" t="s">
        <v>108</v>
      </c>
      <c r="BS972" t="s">
        <v>18436</v>
      </c>
      <c r="BT972" t="str">
        <f>HYPERLINK("https%3A%2F%2Fwww.webofscience.com%2Fwos%2Fwoscc%2Ffull-record%2FWOS:000867626000001","View Full Record in Web of Science")</f>
        <v>View Full Record in Web of Science</v>
      </c>
    </row>
    <row r="973" spans="1:72" x14ac:dyDescent="0.15">
      <c r="A973" t="s">
        <v>72</v>
      </c>
      <c r="B973" t="s">
        <v>18437</v>
      </c>
      <c r="C973" t="s">
        <v>74</v>
      </c>
      <c r="D973" t="s">
        <v>74</v>
      </c>
      <c r="E973" t="s">
        <v>74</v>
      </c>
      <c r="F973" t="s">
        <v>18438</v>
      </c>
      <c r="G973" t="s">
        <v>74</v>
      </c>
      <c r="H973" t="s">
        <v>74</v>
      </c>
      <c r="I973" t="s">
        <v>18439</v>
      </c>
      <c r="J973" t="s">
        <v>18440</v>
      </c>
      <c r="K973" t="s">
        <v>74</v>
      </c>
      <c r="L973" t="s">
        <v>74</v>
      </c>
      <c r="M973" t="s">
        <v>78</v>
      </c>
      <c r="N973" t="s">
        <v>79</v>
      </c>
      <c r="O973" t="s">
        <v>74</v>
      </c>
      <c r="P973" t="s">
        <v>74</v>
      </c>
      <c r="Q973" t="s">
        <v>74</v>
      </c>
      <c r="R973" t="s">
        <v>74</v>
      </c>
      <c r="S973" t="s">
        <v>74</v>
      </c>
      <c r="T973" t="s">
        <v>18441</v>
      </c>
      <c r="U973" t="s">
        <v>18442</v>
      </c>
      <c r="V973" t="s">
        <v>18443</v>
      </c>
      <c r="W973" t="s">
        <v>18444</v>
      </c>
      <c r="X973" t="s">
        <v>18445</v>
      </c>
      <c r="Y973" t="s">
        <v>18446</v>
      </c>
      <c r="Z973" t="s">
        <v>18447</v>
      </c>
      <c r="AA973" t="s">
        <v>74</v>
      </c>
      <c r="AB973" t="s">
        <v>18448</v>
      </c>
      <c r="AC973" t="s">
        <v>74</v>
      </c>
      <c r="AD973" t="s">
        <v>74</v>
      </c>
      <c r="AE973" t="s">
        <v>74</v>
      </c>
      <c r="AF973" t="s">
        <v>74</v>
      </c>
      <c r="AG973">
        <v>57</v>
      </c>
      <c r="AH973">
        <v>0</v>
      </c>
      <c r="AI973">
        <v>0</v>
      </c>
      <c r="AJ973">
        <v>0</v>
      </c>
      <c r="AK973">
        <v>2</v>
      </c>
      <c r="AL973" t="s">
        <v>18449</v>
      </c>
      <c r="AM973" t="s">
        <v>18450</v>
      </c>
      <c r="AN973" t="s">
        <v>18451</v>
      </c>
      <c r="AO973" t="s">
        <v>18452</v>
      </c>
      <c r="AP973" t="s">
        <v>18453</v>
      </c>
      <c r="AQ973" t="s">
        <v>74</v>
      </c>
      <c r="AR973" t="s">
        <v>18454</v>
      </c>
      <c r="AS973" t="s">
        <v>18455</v>
      </c>
      <c r="AT973" t="s">
        <v>16981</v>
      </c>
      <c r="AU973">
        <v>2023</v>
      </c>
      <c r="AV973">
        <v>6</v>
      </c>
      <c r="AW973">
        <v>3</v>
      </c>
      <c r="AX973" t="s">
        <v>74</v>
      </c>
      <c r="AY973" t="s">
        <v>74</v>
      </c>
      <c r="AZ973" t="s">
        <v>754</v>
      </c>
      <c r="BA973" t="s">
        <v>74</v>
      </c>
      <c r="BB973">
        <v>1854</v>
      </c>
      <c r="BC973">
        <v>1873</v>
      </c>
      <c r="BD973" t="s">
        <v>74</v>
      </c>
      <c r="BE973" t="s">
        <v>18456</v>
      </c>
      <c r="BF973" t="str">
        <f>HYPERLINK("http://dx.doi.org/10.1177/25148486221129124","http://dx.doi.org/10.1177/25148486221129124")</f>
        <v>http://dx.doi.org/10.1177/25148486221129124</v>
      </c>
      <c r="BG973" t="s">
        <v>74</v>
      </c>
      <c r="BH973" t="s">
        <v>16236</v>
      </c>
      <c r="BI973">
        <v>20</v>
      </c>
      <c r="BJ973" t="s">
        <v>18457</v>
      </c>
      <c r="BK973" t="s">
        <v>3087</v>
      </c>
      <c r="BL973" t="s">
        <v>18458</v>
      </c>
      <c r="BM973" t="s">
        <v>18459</v>
      </c>
      <c r="BN973" t="s">
        <v>74</v>
      </c>
      <c r="BO973" t="s">
        <v>3561</v>
      </c>
      <c r="BP973" t="s">
        <v>74</v>
      </c>
      <c r="BQ973" t="s">
        <v>74</v>
      </c>
      <c r="BR973" t="s">
        <v>108</v>
      </c>
      <c r="BS973" t="s">
        <v>18460</v>
      </c>
      <c r="BT973" t="str">
        <f>HYPERLINK("https%3A%2F%2Fwww.webofscience.com%2Fwos%2Fwoscc%2Ffull-record%2FWOS:000866194500001","View Full Record in Web of Science")</f>
        <v>View Full Record in Web of Science</v>
      </c>
    </row>
    <row r="974" spans="1:72" x14ac:dyDescent="0.15">
      <c r="A974" t="s">
        <v>72</v>
      </c>
      <c r="B974" t="s">
        <v>18461</v>
      </c>
      <c r="C974" t="s">
        <v>74</v>
      </c>
      <c r="D974" t="s">
        <v>74</v>
      </c>
      <c r="E974" t="s">
        <v>74</v>
      </c>
      <c r="F974" t="s">
        <v>18462</v>
      </c>
      <c r="G974" t="s">
        <v>74</v>
      </c>
      <c r="H974" t="s">
        <v>74</v>
      </c>
      <c r="I974" t="s">
        <v>18463</v>
      </c>
      <c r="J974" t="s">
        <v>7392</v>
      </c>
      <c r="K974" t="s">
        <v>74</v>
      </c>
      <c r="L974" t="s">
        <v>74</v>
      </c>
      <c r="M974" t="s">
        <v>78</v>
      </c>
      <c r="N974" t="s">
        <v>79</v>
      </c>
      <c r="O974" t="s">
        <v>74</v>
      </c>
      <c r="P974" t="s">
        <v>74</v>
      </c>
      <c r="Q974" t="s">
        <v>74</v>
      </c>
      <c r="R974" t="s">
        <v>74</v>
      </c>
      <c r="S974" t="s">
        <v>74</v>
      </c>
      <c r="T974" t="s">
        <v>74</v>
      </c>
      <c r="U974" t="s">
        <v>18464</v>
      </c>
      <c r="V974" t="s">
        <v>18465</v>
      </c>
      <c r="W974" t="s">
        <v>18466</v>
      </c>
      <c r="X974" t="s">
        <v>18467</v>
      </c>
      <c r="Y974" t="s">
        <v>18468</v>
      </c>
      <c r="Z974" t="s">
        <v>18469</v>
      </c>
      <c r="AA974" t="s">
        <v>18470</v>
      </c>
      <c r="AB974" t="s">
        <v>18471</v>
      </c>
      <c r="AC974" t="s">
        <v>18472</v>
      </c>
      <c r="AD974" t="s">
        <v>18473</v>
      </c>
      <c r="AE974" t="s">
        <v>18474</v>
      </c>
      <c r="AF974" t="s">
        <v>74</v>
      </c>
      <c r="AG974">
        <v>88</v>
      </c>
      <c r="AH974">
        <v>12</v>
      </c>
      <c r="AI974">
        <v>13</v>
      </c>
      <c r="AJ974">
        <v>3</v>
      </c>
      <c r="AK974">
        <v>13</v>
      </c>
      <c r="AL974" t="s">
        <v>126</v>
      </c>
      <c r="AM974" t="s">
        <v>127</v>
      </c>
      <c r="AN974" t="s">
        <v>128</v>
      </c>
      <c r="AO974" t="s">
        <v>7401</v>
      </c>
      <c r="AP974" t="s">
        <v>7402</v>
      </c>
      <c r="AQ974" t="s">
        <v>74</v>
      </c>
      <c r="AR974" t="s">
        <v>7392</v>
      </c>
      <c r="AS974" t="s">
        <v>7403</v>
      </c>
      <c r="AT974" t="s">
        <v>18475</v>
      </c>
      <c r="AU974">
        <v>2022</v>
      </c>
      <c r="AV974">
        <v>16</v>
      </c>
      <c r="AW974">
        <v>10</v>
      </c>
      <c r="AX974" t="s">
        <v>74</v>
      </c>
      <c r="AY974" t="s">
        <v>74</v>
      </c>
      <c r="AZ974" t="s">
        <v>74</v>
      </c>
      <c r="BA974" t="s">
        <v>74</v>
      </c>
      <c r="BB974">
        <v>4223</v>
      </c>
      <c r="BC974">
        <v>4250</v>
      </c>
      <c r="BD974" t="s">
        <v>74</v>
      </c>
      <c r="BE974" t="s">
        <v>18476</v>
      </c>
      <c r="BF974" t="str">
        <f>HYPERLINK("http://dx.doi.org/10.5194/tc-16-4223-2022","http://dx.doi.org/10.5194/tc-16-4223-2022")</f>
        <v>http://dx.doi.org/10.5194/tc-16-4223-2022</v>
      </c>
      <c r="BG974" t="s">
        <v>74</v>
      </c>
      <c r="BH974" t="s">
        <v>74</v>
      </c>
      <c r="BI974">
        <v>28</v>
      </c>
      <c r="BJ974" t="s">
        <v>611</v>
      </c>
      <c r="BK974" t="s">
        <v>104</v>
      </c>
      <c r="BL974" t="s">
        <v>612</v>
      </c>
      <c r="BM974" t="s">
        <v>18477</v>
      </c>
      <c r="BN974" t="s">
        <v>74</v>
      </c>
      <c r="BO974" t="s">
        <v>7142</v>
      </c>
      <c r="BP974" t="s">
        <v>74</v>
      </c>
      <c r="BQ974" t="s">
        <v>74</v>
      </c>
      <c r="BR974" t="s">
        <v>108</v>
      </c>
      <c r="BS974" t="s">
        <v>18478</v>
      </c>
      <c r="BT974" t="str">
        <f>HYPERLINK("https%3A%2F%2Fwww.webofscience.com%2Fwos%2Fwoscc%2Ffull-record%2FWOS:000865802500001","View Full Record in Web of Science")</f>
        <v>View Full Record in Web of Science</v>
      </c>
    </row>
    <row r="975" spans="1:72" x14ac:dyDescent="0.15">
      <c r="A975" t="s">
        <v>72</v>
      </c>
      <c r="B975" t="s">
        <v>18479</v>
      </c>
      <c r="C975" t="s">
        <v>74</v>
      </c>
      <c r="D975" t="s">
        <v>74</v>
      </c>
      <c r="E975" t="s">
        <v>74</v>
      </c>
      <c r="F975" t="s">
        <v>18480</v>
      </c>
      <c r="G975" t="s">
        <v>74</v>
      </c>
      <c r="H975" t="s">
        <v>74</v>
      </c>
      <c r="I975" t="s">
        <v>18481</v>
      </c>
      <c r="J975" t="s">
        <v>618</v>
      </c>
      <c r="K975" t="s">
        <v>74</v>
      </c>
      <c r="L975" t="s">
        <v>74</v>
      </c>
      <c r="M975" t="s">
        <v>78</v>
      </c>
      <c r="N975" t="s">
        <v>79</v>
      </c>
      <c r="O975" t="s">
        <v>74</v>
      </c>
      <c r="P975" t="s">
        <v>74</v>
      </c>
      <c r="Q975" t="s">
        <v>74</v>
      </c>
      <c r="R975" t="s">
        <v>74</v>
      </c>
      <c r="S975" t="s">
        <v>74</v>
      </c>
      <c r="T975" t="s">
        <v>18482</v>
      </c>
      <c r="U975" t="s">
        <v>18483</v>
      </c>
      <c r="V975" t="s">
        <v>18484</v>
      </c>
      <c r="W975" t="s">
        <v>18485</v>
      </c>
      <c r="X975" t="s">
        <v>2583</v>
      </c>
      <c r="Y975" t="s">
        <v>18486</v>
      </c>
      <c r="Z975" t="s">
        <v>18487</v>
      </c>
      <c r="AA975" t="s">
        <v>18488</v>
      </c>
      <c r="AB975" t="s">
        <v>18489</v>
      </c>
      <c r="AC975" t="s">
        <v>18490</v>
      </c>
      <c r="AD975" t="s">
        <v>18490</v>
      </c>
      <c r="AE975" t="s">
        <v>18491</v>
      </c>
      <c r="AF975" t="s">
        <v>74</v>
      </c>
      <c r="AG975">
        <v>45</v>
      </c>
      <c r="AH975">
        <v>1</v>
      </c>
      <c r="AI975">
        <v>1</v>
      </c>
      <c r="AJ975">
        <v>1</v>
      </c>
      <c r="AK975">
        <v>5</v>
      </c>
      <c r="AL975" t="s">
        <v>269</v>
      </c>
      <c r="AM975" t="s">
        <v>93</v>
      </c>
      <c r="AN975" t="s">
        <v>397</v>
      </c>
      <c r="AO975" t="s">
        <v>630</v>
      </c>
      <c r="AP975" t="s">
        <v>631</v>
      </c>
      <c r="AQ975" t="s">
        <v>74</v>
      </c>
      <c r="AR975" t="s">
        <v>632</v>
      </c>
      <c r="AS975" t="s">
        <v>633</v>
      </c>
      <c r="AT975" t="s">
        <v>18365</v>
      </c>
      <c r="AU975">
        <v>2022</v>
      </c>
      <c r="AV975">
        <v>45</v>
      </c>
      <c r="AW975">
        <v>10</v>
      </c>
      <c r="AX975" t="s">
        <v>74</v>
      </c>
      <c r="AY975" t="s">
        <v>74</v>
      </c>
      <c r="AZ975" t="s">
        <v>74</v>
      </c>
      <c r="BA975" t="s">
        <v>74</v>
      </c>
      <c r="BB975">
        <v>1553</v>
      </c>
      <c r="BC975">
        <v>1558</v>
      </c>
      <c r="BD975" t="s">
        <v>74</v>
      </c>
      <c r="BE975" t="s">
        <v>18492</v>
      </c>
      <c r="BF975" t="str">
        <f>HYPERLINK("http://dx.doi.org/10.1007/s00300-022-03093-6","http://dx.doi.org/10.1007/s00300-022-03093-6")</f>
        <v>http://dx.doi.org/10.1007/s00300-022-03093-6</v>
      </c>
      <c r="BG975" t="s">
        <v>74</v>
      </c>
      <c r="BH975" t="s">
        <v>16236</v>
      </c>
      <c r="BI975">
        <v>6</v>
      </c>
      <c r="BJ975" t="s">
        <v>305</v>
      </c>
      <c r="BK975" t="s">
        <v>104</v>
      </c>
      <c r="BL975" t="s">
        <v>306</v>
      </c>
      <c r="BM975" t="s">
        <v>18367</v>
      </c>
      <c r="BN975" t="s">
        <v>74</v>
      </c>
      <c r="BO975" t="s">
        <v>74</v>
      </c>
      <c r="BP975" t="s">
        <v>74</v>
      </c>
      <c r="BQ975" t="s">
        <v>74</v>
      </c>
      <c r="BR975" t="s">
        <v>108</v>
      </c>
      <c r="BS975" t="s">
        <v>18493</v>
      </c>
      <c r="BT975" t="str">
        <f>HYPERLINK("https%3A%2F%2Fwww.webofscience.com%2Fwos%2Fwoscc%2Ffull-record%2FWOS:000865892800001","View Full Record in Web of Science")</f>
        <v>View Full Record in Web of Science</v>
      </c>
    </row>
    <row r="976" spans="1:72" x14ac:dyDescent="0.15">
      <c r="A976" t="s">
        <v>72</v>
      </c>
      <c r="B976" t="s">
        <v>18494</v>
      </c>
      <c r="C976" t="s">
        <v>74</v>
      </c>
      <c r="D976" t="s">
        <v>74</v>
      </c>
      <c r="E976" t="s">
        <v>74</v>
      </c>
      <c r="F976" t="s">
        <v>18495</v>
      </c>
      <c r="G976" t="s">
        <v>74</v>
      </c>
      <c r="H976" t="s">
        <v>74</v>
      </c>
      <c r="I976" t="s">
        <v>18496</v>
      </c>
      <c r="J976" t="s">
        <v>7392</v>
      </c>
      <c r="K976" t="s">
        <v>74</v>
      </c>
      <c r="L976" t="s">
        <v>74</v>
      </c>
      <c r="M976" t="s">
        <v>78</v>
      </c>
      <c r="N976" t="s">
        <v>79</v>
      </c>
      <c r="O976" t="s">
        <v>74</v>
      </c>
      <c r="P976" t="s">
        <v>74</v>
      </c>
      <c r="Q976" t="s">
        <v>74</v>
      </c>
      <c r="R976" t="s">
        <v>74</v>
      </c>
      <c r="S976" t="s">
        <v>74</v>
      </c>
      <c r="T976" t="s">
        <v>74</v>
      </c>
      <c r="U976" t="s">
        <v>18497</v>
      </c>
      <c r="V976" t="s">
        <v>18498</v>
      </c>
      <c r="W976" t="s">
        <v>18499</v>
      </c>
      <c r="X976" t="s">
        <v>6272</v>
      </c>
      <c r="Y976" t="s">
        <v>18500</v>
      </c>
      <c r="Z976" t="s">
        <v>18501</v>
      </c>
      <c r="AA976" t="s">
        <v>16690</v>
      </c>
      <c r="AB976" t="s">
        <v>18502</v>
      </c>
      <c r="AC976" t="s">
        <v>18503</v>
      </c>
      <c r="AD976" t="s">
        <v>18504</v>
      </c>
      <c r="AE976" t="s">
        <v>18505</v>
      </c>
      <c r="AF976" t="s">
        <v>74</v>
      </c>
      <c r="AG976">
        <v>54</v>
      </c>
      <c r="AH976">
        <v>9</v>
      </c>
      <c r="AI976">
        <v>9</v>
      </c>
      <c r="AJ976">
        <v>5</v>
      </c>
      <c r="AK976">
        <v>7</v>
      </c>
      <c r="AL976" t="s">
        <v>126</v>
      </c>
      <c r="AM976" t="s">
        <v>127</v>
      </c>
      <c r="AN976" t="s">
        <v>128</v>
      </c>
      <c r="AO976" t="s">
        <v>7401</v>
      </c>
      <c r="AP976" t="s">
        <v>7402</v>
      </c>
      <c r="AQ976" t="s">
        <v>74</v>
      </c>
      <c r="AR976" t="s">
        <v>7392</v>
      </c>
      <c r="AS976" t="s">
        <v>7403</v>
      </c>
      <c r="AT976" t="s">
        <v>18475</v>
      </c>
      <c r="AU976">
        <v>2022</v>
      </c>
      <c r="AV976">
        <v>16</v>
      </c>
      <c r="AW976">
        <v>10</v>
      </c>
      <c r="AX976" t="s">
        <v>74</v>
      </c>
      <c r="AY976" t="s">
        <v>74</v>
      </c>
      <c r="AZ976" t="s">
        <v>74</v>
      </c>
      <c r="BA976" t="s">
        <v>74</v>
      </c>
      <c r="BB976">
        <v>4163</v>
      </c>
      <c r="BC976">
        <v>4184</v>
      </c>
      <c r="BD976" t="s">
        <v>74</v>
      </c>
      <c r="BE976" t="s">
        <v>18506</v>
      </c>
      <c r="BF976" t="str">
        <f>HYPERLINK("http://dx.doi.org/10.5194/tc-16-4163-2022","http://dx.doi.org/10.5194/tc-16-4163-2022")</f>
        <v>http://dx.doi.org/10.5194/tc-16-4163-2022</v>
      </c>
      <c r="BG976" t="s">
        <v>74</v>
      </c>
      <c r="BH976" t="s">
        <v>74</v>
      </c>
      <c r="BI976">
        <v>22</v>
      </c>
      <c r="BJ976" t="s">
        <v>611</v>
      </c>
      <c r="BK976" t="s">
        <v>104</v>
      </c>
      <c r="BL976" t="s">
        <v>612</v>
      </c>
      <c r="BM976" t="s">
        <v>18507</v>
      </c>
      <c r="BN976" t="s">
        <v>74</v>
      </c>
      <c r="BO976" t="s">
        <v>1464</v>
      </c>
      <c r="BP976" t="s">
        <v>74</v>
      </c>
      <c r="BQ976" t="s">
        <v>74</v>
      </c>
      <c r="BR976" t="s">
        <v>108</v>
      </c>
      <c r="BS976" t="s">
        <v>18508</v>
      </c>
      <c r="BT976" t="str">
        <f>HYPERLINK("https%3A%2F%2Fwww.webofscience.com%2Fwos%2Fwoscc%2Ffull-record%2FWOS:000865764700001","View Full Record in Web of Science")</f>
        <v>View Full Record in Web of Science</v>
      </c>
    </row>
    <row r="977" spans="1:72" x14ac:dyDescent="0.15">
      <c r="A977" t="s">
        <v>72</v>
      </c>
      <c r="B977" t="s">
        <v>18509</v>
      </c>
      <c r="C977" t="s">
        <v>74</v>
      </c>
      <c r="D977" t="s">
        <v>74</v>
      </c>
      <c r="E977" t="s">
        <v>74</v>
      </c>
      <c r="F977" t="s">
        <v>18510</v>
      </c>
      <c r="G977" t="s">
        <v>74</v>
      </c>
      <c r="H977" t="s">
        <v>74</v>
      </c>
      <c r="I977" t="s">
        <v>18511</v>
      </c>
      <c r="J977" t="s">
        <v>9100</v>
      </c>
      <c r="K977" t="s">
        <v>74</v>
      </c>
      <c r="L977" t="s">
        <v>74</v>
      </c>
      <c r="M977" t="s">
        <v>78</v>
      </c>
      <c r="N977" t="s">
        <v>79</v>
      </c>
      <c r="O977" t="s">
        <v>74</v>
      </c>
      <c r="P977" t="s">
        <v>74</v>
      </c>
      <c r="Q977" t="s">
        <v>74</v>
      </c>
      <c r="R977" t="s">
        <v>74</v>
      </c>
      <c r="S977" t="s">
        <v>74</v>
      </c>
      <c r="T977" t="s">
        <v>74</v>
      </c>
      <c r="U977" t="s">
        <v>18512</v>
      </c>
      <c r="V977" t="s">
        <v>18513</v>
      </c>
      <c r="W977" t="s">
        <v>18514</v>
      </c>
      <c r="X977" t="s">
        <v>18515</v>
      </c>
      <c r="Y977" t="s">
        <v>18516</v>
      </c>
      <c r="Z977" t="s">
        <v>18517</v>
      </c>
      <c r="AA977" t="s">
        <v>18518</v>
      </c>
      <c r="AB977" t="s">
        <v>18519</v>
      </c>
      <c r="AC977" t="s">
        <v>74</v>
      </c>
      <c r="AD977" t="s">
        <v>74</v>
      </c>
      <c r="AE977" t="s">
        <v>74</v>
      </c>
      <c r="AF977" t="s">
        <v>74</v>
      </c>
      <c r="AG977">
        <v>49</v>
      </c>
      <c r="AH977">
        <v>3</v>
      </c>
      <c r="AI977">
        <v>3</v>
      </c>
      <c r="AJ977">
        <v>1</v>
      </c>
      <c r="AK977">
        <v>15</v>
      </c>
      <c r="AL977" t="s">
        <v>7639</v>
      </c>
      <c r="AM977" t="s">
        <v>7640</v>
      </c>
      <c r="AN977" t="s">
        <v>7641</v>
      </c>
      <c r="AO977" t="s">
        <v>9105</v>
      </c>
      <c r="AP977" t="s">
        <v>9106</v>
      </c>
      <c r="AQ977" t="s">
        <v>74</v>
      </c>
      <c r="AR977" t="s">
        <v>9107</v>
      </c>
      <c r="AS977" t="s">
        <v>9108</v>
      </c>
      <c r="AT977" t="s">
        <v>18520</v>
      </c>
      <c r="AU977">
        <v>2022</v>
      </c>
      <c r="AV977">
        <v>32</v>
      </c>
      <c r="AW977">
        <v>19</v>
      </c>
      <c r="AX977" t="s">
        <v>74</v>
      </c>
      <c r="AY977" t="s">
        <v>74</v>
      </c>
      <c r="AZ977" t="s">
        <v>74</v>
      </c>
      <c r="BA977" t="s">
        <v>74</v>
      </c>
      <c r="BB977">
        <v>4128</v>
      </c>
      <c r="BC977" t="s">
        <v>351</v>
      </c>
      <c r="BD977" t="s">
        <v>74</v>
      </c>
      <c r="BE977" t="s">
        <v>18521</v>
      </c>
      <c r="BF977" t="str">
        <f>HYPERLINK("http://dx.doi.org/10.1016/j.cub.2022.07.067","http://dx.doi.org/10.1016/j.cub.2022.07.067")</f>
        <v>http://dx.doi.org/10.1016/j.cub.2022.07.067</v>
      </c>
      <c r="BG977" t="s">
        <v>74</v>
      </c>
      <c r="BH977" t="s">
        <v>16236</v>
      </c>
      <c r="BI977">
        <v>14</v>
      </c>
      <c r="BJ977" t="s">
        <v>9111</v>
      </c>
      <c r="BK977" t="s">
        <v>104</v>
      </c>
      <c r="BL977" t="s">
        <v>9112</v>
      </c>
      <c r="BM977" t="s">
        <v>18522</v>
      </c>
      <c r="BN977">
        <v>36150387</v>
      </c>
      <c r="BO977" t="s">
        <v>219</v>
      </c>
      <c r="BP977" t="s">
        <v>74</v>
      </c>
      <c r="BQ977" t="s">
        <v>74</v>
      </c>
      <c r="BR977" t="s">
        <v>108</v>
      </c>
      <c r="BS977" t="s">
        <v>18523</v>
      </c>
      <c r="BT977" t="str">
        <f>HYPERLINK("https%3A%2F%2Fwww.webofscience.com%2Fwos%2Fwoscc%2Ffull-record%2FWOS:000898424400017","View Full Record in Web of Science")</f>
        <v>View Full Record in Web of Science</v>
      </c>
    </row>
    <row r="978" spans="1:72" x14ac:dyDescent="0.15">
      <c r="A978" t="s">
        <v>72</v>
      </c>
      <c r="B978" t="s">
        <v>18524</v>
      </c>
      <c r="C978" t="s">
        <v>74</v>
      </c>
      <c r="D978" t="s">
        <v>74</v>
      </c>
      <c r="E978" t="s">
        <v>74</v>
      </c>
      <c r="F978" t="s">
        <v>18525</v>
      </c>
      <c r="G978" t="s">
        <v>74</v>
      </c>
      <c r="H978" t="s">
        <v>74</v>
      </c>
      <c r="I978" t="s">
        <v>18526</v>
      </c>
      <c r="J978" t="s">
        <v>18527</v>
      </c>
      <c r="K978" t="s">
        <v>74</v>
      </c>
      <c r="L978" t="s">
        <v>74</v>
      </c>
      <c r="M978" t="s">
        <v>78</v>
      </c>
      <c r="N978" t="s">
        <v>79</v>
      </c>
      <c r="O978" t="s">
        <v>74</v>
      </c>
      <c r="P978" t="s">
        <v>74</v>
      </c>
      <c r="Q978" t="s">
        <v>74</v>
      </c>
      <c r="R978" t="s">
        <v>74</v>
      </c>
      <c r="S978" t="s">
        <v>74</v>
      </c>
      <c r="T978" t="s">
        <v>18528</v>
      </c>
      <c r="U978" t="s">
        <v>18529</v>
      </c>
      <c r="V978" t="s">
        <v>18530</v>
      </c>
      <c r="W978" t="s">
        <v>18531</v>
      </c>
      <c r="X978" t="s">
        <v>18532</v>
      </c>
      <c r="Y978" t="s">
        <v>18533</v>
      </c>
      <c r="Z978" t="s">
        <v>18534</v>
      </c>
      <c r="AA978" t="s">
        <v>18535</v>
      </c>
      <c r="AB978" t="s">
        <v>18536</v>
      </c>
      <c r="AC978" t="s">
        <v>74</v>
      </c>
      <c r="AD978" t="s">
        <v>74</v>
      </c>
      <c r="AE978" t="s">
        <v>74</v>
      </c>
      <c r="AF978" t="s">
        <v>74</v>
      </c>
      <c r="AG978">
        <v>16</v>
      </c>
      <c r="AH978">
        <v>0</v>
      </c>
      <c r="AI978">
        <v>0</v>
      </c>
      <c r="AJ978">
        <v>1</v>
      </c>
      <c r="AK978">
        <v>4</v>
      </c>
      <c r="AL978" t="s">
        <v>9262</v>
      </c>
      <c r="AM978" t="s">
        <v>9263</v>
      </c>
      <c r="AN978" t="s">
        <v>9264</v>
      </c>
      <c r="AO978" t="s">
        <v>18537</v>
      </c>
      <c r="AP978" t="s">
        <v>18538</v>
      </c>
      <c r="AQ978" t="s">
        <v>74</v>
      </c>
      <c r="AR978" t="s">
        <v>18539</v>
      </c>
      <c r="AS978" t="s">
        <v>18540</v>
      </c>
      <c r="AT978" t="s">
        <v>8525</v>
      </c>
      <c r="AU978">
        <v>2022</v>
      </c>
      <c r="AV978">
        <v>226</v>
      </c>
      <c r="AW978">
        <v>12</v>
      </c>
      <c r="AX978" t="s">
        <v>74</v>
      </c>
      <c r="AY978" t="s">
        <v>74</v>
      </c>
      <c r="AZ978" t="s">
        <v>74</v>
      </c>
      <c r="BA978" t="s">
        <v>74</v>
      </c>
      <c r="BB978">
        <v>2105</v>
      </c>
      <c r="BC978">
        <v>2112</v>
      </c>
      <c r="BD978" t="s">
        <v>74</v>
      </c>
      <c r="BE978" t="s">
        <v>18541</v>
      </c>
      <c r="BF978" t="str">
        <f>HYPERLINK("http://dx.doi.org/10.1093/infdis/jiac412","http://dx.doi.org/10.1093/infdis/jiac412")</f>
        <v>http://dx.doi.org/10.1093/infdis/jiac412</v>
      </c>
      <c r="BG978" t="s">
        <v>74</v>
      </c>
      <c r="BH978" t="s">
        <v>16236</v>
      </c>
      <c r="BI978">
        <v>8</v>
      </c>
      <c r="BJ978" t="s">
        <v>18542</v>
      </c>
      <c r="BK978" t="s">
        <v>104</v>
      </c>
      <c r="BL978" t="s">
        <v>18542</v>
      </c>
      <c r="BM978" t="s">
        <v>18543</v>
      </c>
      <c r="BN978">
        <v>36214778</v>
      </c>
      <c r="BO978" t="s">
        <v>18544</v>
      </c>
      <c r="BP978" t="s">
        <v>74</v>
      </c>
      <c r="BQ978" t="s">
        <v>74</v>
      </c>
      <c r="BR978" t="s">
        <v>108</v>
      </c>
      <c r="BS978" t="s">
        <v>18545</v>
      </c>
      <c r="BT978" t="str">
        <f>HYPERLINK("https%3A%2F%2Fwww.webofscience.com%2Fwos%2Fwoscc%2Ffull-record%2FWOS:000874786900001","View Full Record in Web of Science")</f>
        <v>View Full Record in Web of Science</v>
      </c>
    </row>
    <row r="979" spans="1:72" x14ac:dyDescent="0.15">
      <c r="A979" t="s">
        <v>72</v>
      </c>
      <c r="B979" t="s">
        <v>18546</v>
      </c>
      <c r="C979" t="s">
        <v>74</v>
      </c>
      <c r="D979" t="s">
        <v>74</v>
      </c>
      <c r="E979" t="s">
        <v>74</v>
      </c>
      <c r="F979" t="s">
        <v>18547</v>
      </c>
      <c r="G979" t="s">
        <v>74</v>
      </c>
      <c r="H979" t="s">
        <v>74</v>
      </c>
      <c r="I979" t="s">
        <v>18548</v>
      </c>
      <c r="J979" t="s">
        <v>18549</v>
      </c>
      <c r="K979" t="s">
        <v>74</v>
      </c>
      <c r="L979" t="s">
        <v>74</v>
      </c>
      <c r="M979" t="s">
        <v>78</v>
      </c>
      <c r="N979" t="s">
        <v>256</v>
      </c>
      <c r="O979" t="s">
        <v>74</v>
      </c>
      <c r="P979" t="s">
        <v>74</v>
      </c>
      <c r="Q979" t="s">
        <v>74</v>
      </c>
      <c r="R979" t="s">
        <v>74</v>
      </c>
      <c r="S979" t="s">
        <v>74</v>
      </c>
      <c r="T979" t="s">
        <v>74</v>
      </c>
      <c r="U979" t="s">
        <v>18550</v>
      </c>
      <c r="V979" t="s">
        <v>18551</v>
      </c>
      <c r="W979" t="s">
        <v>18552</v>
      </c>
      <c r="X979" t="s">
        <v>18553</v>
      </c>
      <c r="Y979" t="s">
        <v>18554</v>
      </c>
      <c r="Z979" t="s">
        <v>18555</v>
      </c>
      <c r="AA979" t="s">
        <v>18556</v>
      </c>
      <c r="AB979" t="s">
        <v>18557</v>
      </c>
      <c r="AC979" t="s">
        <v>18558</v>
      </c>
      <c r="AD979" t="s">
        <v>18559</v>
      </c>
      <c r="AE979" t="s">
        <v>18560</v>
      </c>
      <c r="AF979" t="s">
        <v>74</v>
      </c>
      <c r="AG979">
        <v>110</v>
      </c>
      <c r="AH979">
        <v>12</v>
      </c>
      <c r="AI979">
        <v>13</v>
      </c>
      <c r="AJ979">
        <v>10</v>
      </c>
      <c r="AK979">
        <v>36</v>
      </c>
      <c r="AL979" t="s">
        <v>7639</v>
      </c>
      <c r="AM979" t="s">
        <v>7640</v>
      </c>
      <c r="AN979" t="s">
        <v>7641</v>
      </c>
      <c r="AO979" t="s">
        <v>18561</v>
      </c>
      <c r="AP979" t="s">
        <v>18562</v>
      </c>
      <c r="AQ979" t="s">
        <v>74</v>
      </c>
      <c r="AR979" t="s">
        <v>18563</v>
      </c>
      <c r="AS979" t="s">
        <v>18564</v>
      </c>
      <c r="AT979" t="s">
        <v>14975</v>
      </c>
      <c r="AU979">
        <v>2022</v>
      </c>
      <c r="AV979">
        <v>30</v>
      </c>
      <c r="AW979">
        <v>11</v>
      </c>
      <c r="AX979" t="s">
        <v>74</v>
      </c>
      <c r="AY979" t="s">
        <v>74</v>
      </c>
      <c r="AZ979" t="s">
        <v>74</v>
      </c>
      <c r="BA979" t="s">
        <v>74</v>
      </c>
      <c r="BB979">
        <v>1101</v>
      </c>
      <c r="BC979">
        <v>1115</v>
      </c>
      <c r="BD979" t="s">
        <v>74</v>
      </c>
      <c r="BE979" t="s">
        <v>18565</v>
      </c>
      <c r="BF979" t="str">
        <f>HYPERLINK("http://dx.doi.org/10.1016/j.tim.2022.04.002","http://dx.doi.org/10.1016/j.tim.2022.04.002")</f>
        <v>http://dx.doi.org/10.1016/j.tim.2022.04.002</v>
      </c>
      <c r="BG979" t="s">
        <v>74</v>
      </c>
      <c r="BH979" t="s">
        <v>16236</v>
      </c>
      <c r="BI979">
        <v>15</v>
      </c>
      <c r="BJ979" t="s">
        <v>18566</v>
      </c>
      <c r="BK979" t="s">
        <v>104</v>
      </c>
      <c r="BL979" t="s">
        <v>18566</v>
      </c>
      <c r="BM979" t="s">
        <v>18567</v>
      </c>
      <c r="BN979">
        <v>35568658</v>
      </c>
      <c r="BO979" t="s">
        <v>1279</v>
      </c>
      <c r="BP979" t="s">
        <v>74</v>
      </c>
      <c r="BQ979" t="s">
        <v>74</v>
      </c>
      <c r="BR979" t="s">
        <v>108</v>
      </c>
      <c r="BS979" t="s">
        <v>18568</v>
      </c>
      <c r="BT979" t="str">
        <f>HYPERLINK("https%3A%2F%2Fwww.webofscience.com%2Fwos%2Fwoscc%2Ffull-record%2FWOS:000869738200010","View Full Record in Web of Science")</f>
        <v>View Full Record in Web of Science</v>
      </c>
    </row>
    <row r="980" spans="1:72" x14ac:dyDescent="0.15">
      <c r="A980" t="s">
        <v>72</v>
      </c>
      <c r="B980" t="s">
        <v>18569</v>
      </c>
      <c r="C980" t="s">
        <v>74</v>
      </c>
      <c r="D980" t="s">
        <v>74</v>
      </c>
      <c r="E980" t="s">
        <v>74</v>
      </c>
      <c r="F980" t="s">
        <v>18570</v>
      </c>
      <c r="G980" t="s">
        <v>74</v>
      </c>
      <c r="H980" t="s">
        <v>74</v>
      </c>
      <c r="I980" t="s">
        <v>18571</v>
      </c>
      <c r="J980" t="s">
        <v>7392</v>
      </c>
      <c r="K980" t="s">
        <v>74</v>
      </c>
      <c r="L980" t="s">
        <v>74</v>
      </c>
      <c r="M980" t="s">
        <v>78</v>
      </c>
      <c r="N980" t="s">
        <v>79</v>
      </c>
      <c r="O980" t="s">
        <v>74</v>
      </c>
      <c r="P980" t="s">
        <v>74</v>
      </c>
      <c r="Q980" t="s">
        <v>74</v>
      </c>
      <c r="R980" t="s">
        <v>74</v>
      </c>
      <c r="S980" t="s">
        <v>74</v>
      </c>
      <c r="T980" t="s">
        <v>74</v>
      </c>
      <c r="U980" t="s">
        <v>18572</v>
      </c>
      <c r="V980" t="s">
        <v>18573</v>
      </c>
      <c r="W980" t="s">
        <v>18574</v>
      </c>
      <c r="X980" t="s">
        <v>18575</v>
      </c>
      <c r="Y980" t="s">
        <v>18576</v>
      </c>
      <c r="Z980" t="s">
        <v>18577</v>
      </c>
      <c r="AA980" t="s">
        <v>18578</v>
      </c>
      <c r="AB980" t="s">
        <v>1251</v>
      </c>
      <c r="AC980" t="s">
        <v>18579</v>
      </c>
      <c r="AD980" t="s">
        <v>18580</v>
      </c>
      <c r="AE980" t="s">
        <v>18581</v>
      </c>
      <c r="AF980" t="s">
        <v>74</v>
      </c>
      <c r="AG980">
        <v>67</v>
      </c>
      <c r="AH980">
        <v>9</v>
      </c>
      <c r="AI980">
        <v>9</v>
      </c>
      <c r="AJ980">
        <v>3</v>
      </c>
      <c r="AK980">
        <v>10</v>
      </c>
      <c r="AL980" t="s">
        <v>126</v>
      </c>
      <c r="AM980" t="s">
        <v>127</v>
      </c>
      <c r="AN980" t="s">
        <v>128</v>
      </c>
      <c r="AO980" t="s">
        <v>7401</v>
      </c>
      <c r="AP980" t="s">
        <v>7402</v>
      </c>
      <c r="AQ980" t="s">
        <v>74</v>
      </c>
      <c r="AR980" t="s">
        <v>7392</v>
      </c>
      <c r="AS980" t="s">
        <v>7403</v>
      </c>
      <c r="AT980" t="s">
        <v>18520</v>
      </c>
      <c r="AU980">
        <v>2022</v>
      </c>
      <c r="AV980">
        <v>16</v>
      </c>
      <c r="AW980">
        <v>10</v>
      </c>
      <c r="AX980" t="s">
        <v>74</v>
      </c>
      <c r="AY980" t="s">
        <v>74</v>
      </c>
      <c r="AZ980" t="s">
        <v>74</v>
      </c>
      <c r="BA980" t="s">
        <v>74</v>
      </c>
      <c r="BB980">
        <v>4087</v>
      </c>
      <c r="BC980">
        <v>4106</v>
      </c>
      <c r="BD980" t="s">
        <v>74</v>
      </c>
      <c r="BE980" t="s">
        <v>18582</v>
      </c>
      <c r="BF980" t="str">
        <f>HYPERLINK("http://dx.doi.org/10.5194/tc-16-4087-2022","http://dx.doi.org/10.5194/tc-16-4087-2022")</f>
        <v>http://dx.doi.org/10.5194/tc-16-4087-2022</v>
      </c>
      <c r="BG980" t="s">
        <v>74</v>
      </c>
      <c r="BH980" t="s">
        <v>74</v>
      </c>
      <c r="BI980">
        <v>20</v>
      </c>
      <c r="BJ980" t="s">
        <v>611</v>
      </c>
      <c r="BK980" t="s">
        <v>104</v>
      </c>
      <c r="BL980" t="s">
        <v>612</v>
      </c>
      <c r="BM980" t="s">
        <v>18583</v>
      </c>
      <c r="BN980" t="s">
        <v>74</v>
      </c>
      <c r="BO980" t="s">
        <v>737</v>
      </c>
      <c r="BP980" t="s">
        <v>74</v>
      </c>
      <c r="BQ980" t="s">
        <v>74</v>
      </c>
      <c r="BR980" t="s">
        <v>108</v>
      </c>
      <c r="BS980" t="s">
        <v>18584</v>
      </c>
      <c r="BT980" t="str">
        <f>HYPERLINK("https%3A%2F%2Fwww.webofscience.com%2Fwos%2Fwoscc%2Ffull-record%2FWOS:000865490900001","View Full Record in Web of Science")</f>
        <v>View Full Record in Web of Science</v>
      </c>
    </row>
    <row r="981" spans="1:72" x14ac:dyDescent="0.15">
      <c r="A981" t="s">
        <v>72</v>
      </c>
      <c r="B981" t="s">
        <v>18585</v>
      </c>
      <c r="C981" t="s">
        <v>74</v>
      </c>
      <c r="D981" t="s">
        <v>74</v>
      </c>
      <c r="E981" t="s">
        <v>74</v>
      </c>
      <c r="F981" t="s">
        <v>18586</v>
      </c>
      <c r="G981" t="s">
        <v>74</v>
      </c>
      <c r="H981" t="s">
        <v>74</v>
      </c>
      <c r="I981" t="s">
        <v>18587</v>
      </c>
      <c r="J981" t="s">
        <v>7392</v>
      </c>
      <c r="K981" t="s">
        <v>74</v>
      </c>
      <c r="L981" t="s">
        <v>74</v>
      </c>
      <c r="M981" t="s">
        <v>78</v>
      </c>
      <c r="N981" t="s">
        <v>79</v>
      </c>
      <c r="O981" t="s">
        <v>74</v>
      </c>
      <c r="P981" t="s">
        <v>74</v>
      </c>
      <c r="Q981" t="s">
        <v>74</v>
      </c>
      <c r="R981" t="s">
        <v>74</v>
      </c>
      <c r="S981" t="s">
        <v>74</v>
      </c>
      <c r="T981" t="s">
        <v>74</v>
      </c>
      <c r="U981" t="s">
        <v>18588</v>
      </c>
      <c r="V981" t="s">
        <v>18589</v>
      </c>
      <c r="W981" t="s">
        <v>18590</v>
      </c>
      <c r="X981" t="s">
        <v>18591</v>
      </c>
      <c r="Y981" t="s">
        <v>18592</v>
      </c>
      <c r="Z981" t="s">
        <v>18593</v>
      </c>
      <c r="AA981" t="s">
        <v>18594</v>
      </c>
      <c r="AB981" t="s">
        <v>18595</v>
      </c>
      <c r="AC981" t="s">
        <v>18596</v>
      </c>
      <c r="AD981" t="s">
        <v>18597</v>
      </c>
      <c r="AE981" t="s">
        <v>18598</v>
      </c>
      <c r="AF981" t="s">
        <v>74</v>
      </c>
      <c r="AG981">
        <v>83</v>
      </c>
      <c r="AH981">
        <v>5</v>
      </c>
      <c r="AI981">
        <v>5</v>
      </c>
      <c r="AJ981">
        <v>1</v>
      </c>
      <c r="AK981">
        <v>6</v>
      </c>
      <c r="AL981" t="s">
        <v>126</v>
      </c>
      <c r="AM981" t="s">
        <v>127</v>
      </c>
      <c r="AN981" t="s">
        <v>128</v>
      </c>
      <c r="AO981" t="s">
        <v>7401</v>
      </c>
      <c r="AP981" t="s">
        <v>7402</v>
      </c>
      <c r="AQ981" t="s">
        <v>74</v>
      </c>
      <c r="AR981" t="s">
        <v>7392</v>
      </c>
      <c r="AS981" t="s">
        <v>7403</v>
      </c>
      <c r="AT981" t="s">
        <v>18520</v>
      </c>
      <c r="AU981">
        <v>2022</v>
      </c>
      <c r="AV981">
        <v>16</v>
      </c>
      <c r="AW981">
        <v>10</v>
      </c>
      <c r="AX981" t="s">
        <v>74</v>
      </c>
      <c r="AY981" t="s">
        <v>74</v>
      </c>
      <c r="AZ981" t="s">
        <v>74</v>
      </c>
      <c r="BA981" t="s">
        <v>74</v>
      </c>
      <c r="BB981">
        <v>4107</v>
      </c>
      <c r="BC981">
        <v>4139</v>
      </c>
      <c r="BD981" t="s">
        <v>74</v>
      </c>
      <c r="BE981" t="s">
        <v>18599</v>
      </c>
      <c r="BF981" t="str">
        <f>HYPERLINK("http://dx.doi.org/10.5194/tc-16-4107-2022","http://dx.doi.org/10.5194/tc-16-4107-2022")</f>
        <v>http://dx.doi.org/10.5194/tc-16-4107-2022</v>
      </c>
      <c r="BG981" t="s">
        <v>74</v>
      </c>
      <c r="BH981" t="s">
        <v>74</v>
      </c>
      <c r="BI981">
        <v>33</v>
      </c>
      <c r="BJ981" t="s">
        <v>611</v>
      </c>
      <c r="BK981" t="s">
        <v>104</v>
      </c>
      <c r="BL981" t="s">
        <v>612</v>
      </c>
      <c r="BM981" t="s">
        <v>18600</v>
      </c>
      <c r="BN981" t="s">
        <v>74</v>
      </c>
      <c r="BO981" t="s">
        <v>17251</v>
      </c>
      <c r="BP981" t="s">
        <v>74</v>
      </c>
      <c r="BQ981" t="s">
        <v>74</v>
      </c>
      <c r="BR981" t="s">
        <v>108</v>
      </c>
      <c r="BS981" t="s">
        <v>18601</v>
      </c>
      <c r="BT981" t="str">
        <f>HYPERLINK("https%3A%2F%2Fwww.webofscience.com%2Fwos%2Fwoscc%2Ffull-record%2FWOS:000865491400001","View Full Record in Web of Science")</f>
        <v>View Full Record in Web of Science</v>
      </c>
    </row>
    <row r="982" spans="1:72" x14ac:dyDescent="0.15">
      <c r="A982" t="s">
        <v>72</v>
      </c>
      <c r="B982" t="s">
        <v>18602</v>
      </c>
      <c r="C982" t="s">
        <v>74</v>
      </c>
      <c r="D982" t="s">
        <v>74</v>
      </c>
      <c r="E982" t="s">
        <v>74</v>
      </c>
      <c r="F982" t="s">
        <v>18603</v>
      </c>
      <c r="G982" t="s">
        <v>74</v>
      </c>
      <c r="H982" t="s">
        <v>74</v>
      </c>
      <c r="I982" t="s">
        <v>18604</v>
      </c>
      <c r="J982" t="s">
        <v>7162</v>
      </c>
      <c r="K982" t="s">
        <v>74</v>
      </c>
      <c r="L982" t="s">
        <v>74</v>
      </c>
      <c r="M982" t="s">
        <v>78</v>
      </c>
      <c r="N982" t="s">
        <v>79</v>
      </c>
      <c r="O982" t="s">
        <v>74</v>
      </c>
      <c r="P982" t="s">
        <v>74</v>
      </c>
      <c r="Q982" t="s">
        <v>74</v>
      </c>
      <c r="R982" t="s">
        <v>74</v>
      </c>
      <c r="S982" t="s">
        <v>74</v>
      </c>
      <c r="T982" t="s">
        <v>74</v>
      </c>
      <c r="U982" t="s">
        <v>18605</v>
      </c>
      <c r="V982" t="s">
        <v>18606</v>
      </c>
      <c r="W982" t="s">
        <v>18607</v>
      </c>
      <c r="X982" t="s">
        <v>18608</v>
      </c>
      <c r="Y982" t="s">
        <v>18609</v>
      </c>
      <c r="Z982" t="s">
        <v>18610</v>
      </c>
      <c r="AA982" t="s">
        <v>18611</v>
      </c>
      <c r="AB982" t="s">
        <v>18612</v>
      </c>
      <c r="AC982" t="s">
        <v>18613</v>
      </c>
      <c r="AD982" t="s">
        <v>18614</v>
      </c>
      <c r="AE982" t="s">
        <v>18615</v>
      </c>
      <c r="AF982" t="s">
        <v>74</v>
      </c>
      <c r="AG982">
        <v>91</v>
      </c>
      <c r="AH982">
        <v>4</v>
      </c>
      <c r="AI982">
        <v>4</v>
      </c>
      <c r="AJ982">
        <v>6</v>
      </c>
      <c r="AK982">
        <v>22</v>
      </c>
      <c r="AL982" t="s">
        <v>297</v>
      </c>
      <c r="AM982" t="s">
        <v>298</v>
      </c>
      <c r="AN982" t="s">
        <v>299</v>
      </c>
      <c r="AO982" t="s">
        <v>7174</v>
      </c>
      <c r="AP982" t="s">
        <v>7175</v>
      </c>
      <c r="AQ982" t="s">
        <v>74</v>
      </c>
      <c r="AR982" t="s">
        <v>7176</v>
      </c>
      <c r="AS982" t="s">
        <v>7177</v>
      </c>
      <c r="AT982" t="s">
        <v>9001</v>
      </c>
      <c r="AU982">
        <v>2022</v>
      </c>
      <c r="AV982">
        <v>24</v>
      </c>
      <c r="AW982">
        <v>12</v>
      </c>
      <c r="AX982" t="s">
        <v>74</v>
      </c>
      <c r="AY982" t="s">
        <v>74</v>
      </c>
      <c r="AZ982" t="s">
        <v>74</v>
      </c>
      <c r="BA982" t="s">
        <v>74</v>
      </c>
      <c r="BB982">
        <v>6493</v>
      </c>
      <c r="BC982">
        <v>6509</v>
      </c>
      <c r="BD982" t="s">
        <v>74</v>
      </c>
      <c r="BE982" t="s">
        <v>18616</v>
      </c>
      <c r="BF982" t="str">
        <f>HYPERLINK("http://dx.doi.org/10.1111/1462-2920.16225","http://dx.doi.org/10.1111/1462-2920.16225")</f>
        <v>http://dx.doi.org/10.1111/1462-2920.16225</v>
      </c>
      <c r="BG982" t="s">
        <v>74</v>
      </c>
      <c r="BH982" t="s">
        <v>16236</v>
      </c>
      <c r="BI982">
        <v>17</v>
      </c>
      <c r="BJ982" t="s">
        <v>1699</v>
      </c>
      <c r="BK982" t="s">
        <v>104</v>
      </c>
      <c r="BL982" t="s">
        <v>1699</v>
      </c>
      <c r="BM982" t="s">
        <v>18617</v>
      </c>
      <c r="BN982">
        <v>36156347</v>
      </c>
      <c r="BO982" t="s">
        <v>248</v>
      </c>
      <c r="BP982" t="s">
        <v>74</v>
      </c>
      <c r="BQ982" t="s">
        <v>74</v>
      </c>
      <c r="BR982" t="s">
        <v>108</v>
      </c>
      <c r="BS982" t="s">
        <v>18618</v>
      </c>
      <c r="BT982" t="str">
        <f>HYPERLINK("https%3A%2F%2Fwww.webofscience.com%2Fwos%2Fwoscc%2Ffull-record%2FWOS:000865546700001","View Full Record in Web of Science")</f>
        <v>View Full Record in Web of Science</v>
      </c>
    </row>
    <row r="983" spans="1:72" x14ac:dyDescent="0.15">
      <c r="A983" t="s">
        <v>72</v>
      </c>
      <c r="B983" t="s">
        <v>18619</v>
      </c>
      <c r="C983" t="s">
        <v>74</v>
      </c>
      <c r="D983" t="s">
        <v>74</v>
      </c>
      <c r="E983" t="s">
        <v>74</v>
      </c>
      <c r="F983" t="s">
        <v>18620</v>
      </c>
      <c r="G983" t="s">
        <v>74</v>
      </c>
      <c r="H983" t="s">
        <v>74</v>
      </c>
      <c r="I983" t="s">
        <v>18621</v>
      </c>
      <c r="J983" t="s">
        <v>14324</v>
      </c>
      <c r="K983" t="s">
        <v>74</v>
      </c>
      <c r="L983" t="s">
        <v>74</v>
      </c>
      <c r="M983" t="s">
        <v>78</v>
      </c>
      <c r="N983" t="s">
        <v>79</v>
      </c>
      <c r="O983" t="s">
        <v>74</v>
      </c>
      <c r="P983" t="s">
        <v>74</v>
      </c>
      <c r="Q983" t="s">
        <v>74</v>
      </c>
      <c r="R983" t="s">
        <v>74</v>
      </c>
      <c r="S983" t="s">
        <v>74</v>
      </c>
      <c r="T983" t="s">
        <v>18622</v>
      </c>
      <c r="U983" t="s">
        <v>18623</v>
      </c>
      <c r="V983" t="s">
        <v>18624</v>
      </c>
      <c r="W983" t="s">
        <v>18625</v>
      </c>
      <c r="X983" t="s">
        <v>6606</v>
      </c>
      <c r="Y983" t="s">
        <v>18626</v>
      </c>
      <c r="Z983" t="s">
        <v>18627</v>
      </c>
      <c r="AA983" t="s">
        <v>74</v>
      </c>
      <c r="AB983" t="s">
        <v>74</v>
      </c>
      <c r="AC983" t="s">
        <v>18628</v>
      </c>
      <c r="AD983" t="s">
        <v>18629</v>
      </c>
      <c r="AE983" t="s">
        <v>18630</v>
      </c>
      <c r="AF983" t="s">
        <v>74</v>
      </c>
      <c r="AG983">
        <v>101</v>
      </c>
      <c r="AH983">
        <v>5</v>
      </c>
      <c r="AI983">
        <v>6</v>
      </c>
      <c r="AJ983">
        <v>5</v>
      </c>
      <c r="AK983">
        <v>16</v>
      </c>
      <c r="AL983" t="s">
        <v>297</v>
      </c>
      <c r="AM983" t="s">
        <v>298</v>
      </c>
      <c r="AN983" t="s">
        <v>299</v>
      </c>
      <c r="AO983" t="s">
        <v>14336</v>
      </c>
      <c r="AP983" t="s">
        <v>14337</v>
      </c>
      <c r="AQ983" t="s">
        <v>74</v>
      </c>
      <c r="AR983" t="s">
        <v>14338</v>
      </c>
      <c r="AS983" t="s">
        <v>14339</v>
      </c>
      <c r="AT983" t="s">
        <v>9001</v>
      </c>
      <c r="AU983">
        <v>2022</v>
      </c>
      <c r="AV983">
        <v>28</v>
      </c>
      <c r="AW983">
        <v>24</v>
      </c>
      <c r="AX983" t="s">
        <v>74</v>
      </c>
      <c r="AY983" t="s">
        <v>74</v>
      </c>
      <c r="AZ983" t="s">
        <v>74</v>
      </c>
      <c r="BA983" t="s">
        <v>74</v>
      </c>
      <c r="BB983">
        <v>7234</v>
      </c>
      <c r="BC983">
        <v>7249</v>
      </c>
      <c r="BD983" t="s">
        <v>74</v>
      </c>
      <c r="BE983" t="s">
        <v>18631</v>
      </c>
      <c r="BF983" t="str">
        <f>HYPERLINK("http://dx.doi.org/10.1111/gcb.16437","http://dx.doi.org/10.1111/gcb.16437")</f>
        <v>http://dx.doi.org/10.1111/gcb.16437</v>
      </c>
      <c r="BG983" t="s">
        <v>74</v>
      </c>
      <c r="BH983" t="s">
        <v>16236</v>
      </c>
      <c r="BI983">
        <v>16</v>
      </c>
      <c r="BJ983" t="s">
        <v>8549</v>
      </c>
      <c r="BK983" t="s">
        <v>104</v>
      </c>
      <c r="BL983" t="s">
        <v>306</v>
      </c>
      <c r="BM983" t="s">
        <v>18632</v>
      </c>
      <c r="BN983">
        <v>36214124</v>
      </c>
      <c r="BO983" t="s">
        <v>74</v>
      </c>
      <c r="BP983" t="s">
        <v>74</v>
      </c>
      <c r="BQ983" t="s">
        <v>74</v>
      </c>
      <c r="BR983" t="s">
        <v>108</v>
      </c>
      <c r="BS983" t="s">
        <v>18633</v>
      </c>
      <c r="BT983" t="str">
        <f>HYPERLINK("https%3A%2F%2Fwww.webofscience.com%2Fwos%2Fwoscc%2Ffull-record%2FWOS:000865422500001","View Full Record in Web of Science")</f>
        <v>View Full Record in Web of Science</v>
      </c>
    </row>
    <row r="984" spans="1:72" x14ac:dyDescent="0.15">
      <c r="A984" t="s">
        <v>72</v>
      </c>
      <c r="B984" t="s">
        <v>18634</v>
      </c>
      <c r="C984" t="s">
        <v>74</v>
      </c>
      <c r="D984" t="s">
        <v>74</v>
      </c>
      <c r="E984" t="s">
        <v>74</v>
      </c>
      <c r="F984" t="s">
        <v>18635</v>
      </c>
      <c r="G984" t="s">
        <v>74</v>
      </c>
      <c r="H984" t="s">
        <v>74</v>
      </c>
      <c r="I984" t="s">
        <v>18636</v>
      </c>
      <c r="J984" t="s">
        <v>18637</v>
      </c>
      <c r="K984" t="s">
        <v>74</v>
      </c>
      <c r="L984" t="s">
        <v>74</v>
      </c>
      <c r="M984" t="s">
        <v>78</v>
      </c>
      <c r="N984" t="s">
        <v>79</v>
      </c>
      <c r="O984" t="s">
        <v>74</v>
      </c>
      <c r="P984" t="s">
        <v>74</v>
      </c>
      <c r="Q984" t="s">
        <v>74</v>
      </c>
      <c r="R984" t="s">
        <v>74</v>
      </c>
      <c r="S984" t="s">
        <v>74</v>
      </c>
      <c r="T984" t="s">
        <v>18638</v>
      </c>
      <c r="U984" t="s">
        <v>18639</v>
      </c>
      <c r="V984" t="s">
        <v>18640</v>
      </c>
      <c r="W984" t="s">
        <v>18641</v>
      </c>
      <c r="X984" t="s">
        <v>18642</v>
      </c>
      <c r="Y984" t="s">
        <v>18643</v>
      </c>
      <c r="Z984" t="s">
        <v>18644</v>
      </c>
      <c r="AA984" t="s">
        <v>18645</v>
      </c>
      <c r="AB984" t="s">
        <v>18646</v>
      </c>
      <c r="AC984" t="s">
        <v>18647</v>
      </c>
      <c r="AD984" t="s">
        <v>2611</v>
      </c>
      <c r="AE984" t="s">
        <v>18648</v>
      </c>
      <c r="AF984" t="s">
        <v>74</v>
      </c>
      <c r="AG984">
        <v>50</v>
      </c>
      <c r="AH984">
        <v>0</v>
      </c>
      <c r="AI984">
        <v>0</v>
      </c>
      <c r="AJ984">
        <v>4</v>
      </c>
      <c r="AK984">
        <v>15</v>
      </c>
      <c r="AL984" t="s">
        <v>1010</v>
      </c>
      <c r="AM984" t="s">
        <v>1011</v>
      </c>
      <c r="AN984" t="s">
        <v>1012</v>
      </c>
      <c r="AO984" t="s">
        <v>74</v>
      </c>
      <c r="AP984" t="s">
        <v>18649</v>
      </c>
      <c r="AQ984" t="s">
        <v>74</v>
      </c>
      <c r="AR984" t="s">
        <v>18650</v>
      </c>
      <c r="AS984" t="s">
        <v>18651</v>
      </c>
      <c r="AT984" t="s">
        <v>74</v>
      </c>
      <c r="AU984">
        <v>2022</v>
      </c>
      <c r="AV984">
        <v>72</v>
      </c>
      <c r="AW984">
        <v>3</v>
      </c>
      <c r="AX984" t="s">
        <v>74</v>
      </c>
      <c r="AY984" t="s">
        <v>74</v>
      </c>
      <c r="AZ984" t="s">
        <v>74</v>
      </c>
      <c r="BA984" t="s">
        <v>74</v>
      </c>
      <c r="BB984">
        <v>165</v>
      </c>
      <c r="BC984">
        <v>178</v>
      </c>
      <c r="BD984" t="s">
        <v>74</v>
      </c>
      <c r="BE984" t="s">
        <v>18652</v>
      </c>
      <c r="BF984" t="str">
        <f>HYPERLINK("http://dx.doi.org/10.1071/ES22008","http://dx.doi.org/10.1071/ES22008")</f>
        <v>http://dx.doi.org/10.1071/ES22008</v>
      </c>
      <c r="BG984" t="s">
        <v>74</v>
      </c>
      <c r="BH984" t="s">
        <v>16236</v>
      </c>
      <c r="BI984">
        <v>14</v>
      </c>
      <c r="BJ984" t="s">
        <v>8116</v>
      </c>
      <c r="BK984" t="s">
        <v>104</v>
      </c>
      <c r="BL984" t="s">
        <v>8116</v>
      </c>
      <c r="BM984" t="s">
        <v>18653</v>
      </c>
      <c r="BN984" t="s">
        <v>74</v>
      </c>
      <c r="BO984" t="s">
        <v>165</v>
      </c>
      <c r="BP984" t="s">
        <v>74</v>
      </c>
      <c r="BQ984" t="s">
        <v>74</v>
      </c>
      <c r="BR984" t="s">
        <v>108</v>
      </c>
      <c r="BS984" t="s">
        <v>18654</v>
      </c>
      <c r="BT984" t="str">
        <f>HYPERLINK("https%3A%2F%2Fwww.webofscience.com%2Fwos%2Fwoscc%2Ffull-record%2FWOS:000865415400001","View Full Record in Web of Science")</f>
        <v>View Full Record in Web of Science</v>
      </c>
    </row>
    <row r="985" spans="1:72" x14ac:dyDescent="0.15">
      <c r="A985" t="s">
        <v>72</v>
      </c>
      <c r="B985" t="s">
        <v>18655</v>
      </c>
      <c r="C985" t="s">
        <v>74</v>
      </c>
      <c r="D985" t="s">
        <v>74</v>
      </c>
      <c r="E985" t="s">
        <v>74</v>
      </c>
      <c r="F985" t="s">
        <v>18656</v>
      </c>
      <c r="G985" t="s">
        <v>74</v>
      </c>
      <c r="H985" t="s">
        <v>74</v>
      </c>
      <c r="I985" t="s">
        <v>18657</v>
      </c>
      <c r="J985" t="s">
        <v>14520</v>
      </c>
      <c r="K985" t="s">
        <v>74</v>
      </c>
      <c r="L985" t="s">
        <v>74</v>
      </c>
      <c r="M985" t="s">
        <v>78</v>
      </c>
      <c r="N985" t="s">
        <v>79</v>
      </c>
      <c r="O985" t="s">
        <v>74</v>
      </c>
      <c r="P985" t="s">
        <v>74</v>
      </c>
      <c r="Q985" t="s">
        <v>74</v>
      </c>
      <c r="R985" t="s">
        <v>74</v>
      </c>
      <c r="S985" t="s">
        <v>74</v>
      </c>
      <c r="T985" t="s">
        <v>18658</v>
      </c>
      <c r="U985" t="s">
        <v>18659</v>
      </c>
      <c r="V985" t="s">
        <v>18660</v>
      </c>
      <c r="W985" t="s">
        <v>18661</v>
      </c>
      <c r="X985" t="s">
        <v>18662</v>
      </c>
      <c r="Y985" t="s">
        <v>18663</v>
      </c>
      <c r="Z985" t="s">
        <v>18664</v>
      </c>
      <c r="AA985" t="s">
        <v>18665</v>
      </c>
      <c r="AB985" t="s">
        <v>74</v>
      </c>
      <c r="AC985" t="s">
        <v>18666</v>
      </c>
      <c r="AD985" t="s">
        <v>18667</v>
      </c>
      <c r="AE985" t="s">
        <v>18668</v>
      </c>
      <c r="AF985" t="s">
        <v>74</v>
      </c>
      <c r="AG985">
        <v>134</v>
      </c>
      <c r="AH985">
        <v>0</v>
      </c>
      <c r="AI985">
        <v>0</v>
      </c>
      <c r="AJ985">
        <v>2</v>
      </c>
      <c r="AK985">
        <v>8</v>
      </c>
      <c r="AL985" t="s">
        <v>603</v>
      </c>
      <c r="AM985" t="s">
        <v>208</v>
      </c>
      <c r="AN985" t="s">
        <v>604</v>
      </c>
      <c r="AO985" t="s">
        <v>14530</v>
      </c>
      <c r="AP985" t="s">
        <v>14531</v>
      </c>
      <c r="AQ985" t="s">
        <v>74</v>
      </c>
      <c r="AR985" t="s">
        <v>14532</v>
      </c>
      <c r="AS985" t="s">
        <v>14533</v>
      </c>
      <c r="AT985" t="s">
        <v>9001</v>
      </c>
      <c r="AU985">
        <v>2022</v>
      </c>
      <c r="AV985">
        <v>206</v>
      </c>
      <c r="AW985" t="s">
        <v>74</v>
      </c>
      <c r="AX985" t="s">
        <v>74</v>
      </c>
      <c r="AY985" t="s">
        <v>74</v>
      </c>
      <c r="AZ985" t="s">
        <v>74</v>
      </c>
      <c r="BA985" t="s">
        <v>74</v>
      </c>
      <c r="BB985" t="s">
        <v>74</v>
      </c>
      <c r="BC985" t="s">
        <v>74</v>
      </c>
      <c r="BD985">
        <v>105184</v>
      </c>
      <c r="BE985" t="s">
        <v>18669</v>
      </c>
      <c r="BF985" t="str">
        <f>HYPERLINK("http://dx.doi.org/10.1016/j.dsr2.2022.105184","http://dx.doi.org/10.1016/j.dsr2.2022.105184")</f>
        <v>http://dx.doi.org/10.1016/j.dsr2.2022.105184</v>
      </c>
      <c r="BG985" t="s">
        <v>74</v>
      </c>
      <c r="BH985" t="s">
        <v>16236</v>
      </c>
      <c r="BI985">
        <v>16</v>
      </c>
      <c r="BJ985" t="s">
        <v>403</v>
      </c>
      <c r="BK985" t="s">
        <v>104</v>
      </c>
      <c r="BL985" t="s">
        <v>403</v>
      </c>
      <c r="BM985" t="s">
        <v>18670</v>
      </c>
      <c r="BN985" t="s">
        <v>74</v>
      </c>
      <c r="BO985" t="s">
        <v>219</v>
      </c>
      <c r="BP985" t="s">
        <v>74</v>
      </c>
      <c r="BQ985" t="s">
        <v>74</v>
      </c>
      <c r="BR985" t="s">
        <v>108</v>
      </c>
      <c r="BS985" t="s">
        <v>18671</v>
      </c>
      <c r="BT985" t="str">
        <f>HYPERLINK("https%3A%2F%2Fwww.webofscience.com%2Fwos%2Fwoscc%2Ffull-record%2FWOS:000873930100004","View Full Record in Web of Science")</f>
        <v>View Full Record in Web of Science</v>
      </c>
    </row>
    <row r="986" spans="1:72" x14ac:dyDescent="0.15">
      <c r="A986" t="s">
        <v>72</v>
      </c>
      <c r="B986" t="s">
        <v>18672</v>
      </c>
      <c r="C986" t="s">
        <v>74</v>
      </c>
      <c r="D986" t="s">
        <v>74</v>
      </c>
      <c r="E986" t="s">
        <v>74</v>
      </c>
      <c r="F986" t="s">
        <v>18673</v>
      </c>
      <c r="G986" t="s">
        <v>74</v>
      </c>
      <c r="H986" t="s">
        <v>74</v>
      </c>
      <c r="I986" t="s">
        <v>18674</v>
      </c>
      <c r="J986" t="s">
        <v>14520</v>
      </c>
      <c r="K986" t="s">
        <v>74</v>
      </c>
      <c r="L986" t="s">
        <v>74</v>
      </c>
      <c r="M986" t="s">
        <v>78</v>
      </c>
      <c r="N986" t="s">
        <v>79</v>
      </c>
      <c r="O986" t="s">
        <v>74</v>
      </c>
      <c r="P986" t="s">
        <v>74</v>
      </c>
      <c r="Q986" t="s">
        <v>74</v>
      </c>
      <c r="R986" t="s">
        <v>74</v>
      </c>
      <c r="S986" t="s">
        <v>74</v>
      </c>
      <c r="T986" t="s">
        <v>18675</v>
      </c>
      <c r="U986" t="s">
        <v>18676</v>
      </c>
      <c r="V986" t="s">
        <v>18677</v>
      </c>
      <c r="W986" t="s">
        <v>18678</v>
      </c>
      <c r="X986" t="s">
        <v>17096</v>
      </c>
      <c r="Y986" t="s">
        <v>18679</v>
      </c>
      <c r="Z986" t="s">
        <v>18680</v>
      </c>
      <c r="AA986" t="s">
        <v>18396</v>
      </c>
      <c r="AB986" t="s">
        <v>18681</v>
      </c>
      <c r="AC986" t="s">
        <v>18682</v>
      </c>
      <c r="AD986" t="s">
        <v>18683</v>
      </c>
      <c r="AE986" t="s">
        <v>18684</v>
      </c>
      <c r="AF986" t="s">
        <v>74</v>
      </c>
      <c r="AG986">
        <v>48</v>
      </c>
      <c r="AH986">
        <v>2</v>
      </c>
      <c r="AI986">
        <v>3</v>
      </c>
      <c r="AJ986">
        <v>1</v>
      </c>
      <c r="AK986">
        <v>5</v>
      </c>
      <c r="AL986" t="s">
        <v>603</v>
      </c>
      <c r="AM986" t="s">
        <v>208</v>
      </c>
      <c r="AN986" t="s">
        <v>604</v>
      </c>
      <c r="AO986" t="s">
        <v>14530</v>
      </c>
      <c r="AP986" t="s">
        <v>14531</v>
      </c>
      <c r="AQ986" t="s">
        <v>74</v>
      </c>
      <c r="AR986" t="s">
        <v>14532</v>
      </c>
      <c r="AS986" t="s">
        <v>14533</v>
      </c>
      <c r="AT986" t="s">
        <v>14975</v>
      </c>
      <c r="AU986">
        <v>2022</v>
      </c>
      <c r="AV986">
        <v>205</v>
      </c>
      <c r="AW986" t="s">
        <v>74</v>
      </c>
      <c r="AX986" t="s">
        <v>74</v>
      </c>
      <c r="AY986" t="s">
        <v>74</v>
      </c>
      <c r="AZ986" t="s">
        <v>74</v>
      </c>
      <c r="BA986" t="s">
        <v>74</v>
      </c>
      <c r="BB986" t="s">
        <v>74</v>
      </c>
      <c r="BC986" t="s">
        <v>74</v>
      </c>
      <c r="BD986">
        <v>105183</v>
      </c>
      <c r="BE986" t="s">
        <v>18685</v>
      </c>
      <c r="BF986" t="str">
        <f>HYPERLINK("http://dx.doi.org/10.1016/j.dsr2.2022.105183","http://dx.doi.org/10.1016/j.dsr2.2022.105183")</f>
        <v>http://dx.doi.org/10.1016/j.dsr2.2022.105183</v>
      </c>
      <c r="BG986" t="s">
        <v>74</v>
      </c>
      <c r="BH986" t="s">
        <v>16236</v>
      </c>
      <c r="BI986">
        <v>9</v>
      </c>
      <c r="BJ986" t="s">
        <v>403</v>
      </c>
      <c r="BK986" t="s">
        <v>104</v>
      </c>
      <c r="BL986" t="s">
        <v>403</v>
      </c>
      <c r="BM986" t="s">
        <v>18686</v>
      </c>
      <c r="BN986" t="s">
        <v>74</v>
      </c>
      <c r="BO986" t="s">
        <v>4248</v>
      </c>
      <c r="BP986" t="s">
        <v>74</v>
      </c>
      <c r="BQ986" t="s">
        <v>74</v>
      </c>
      <c r="BR986" t="s">
        <v>108</v>
      </c>
      <c r="BS986" t="s">
        <v>18687</v>
      </c>
      <c r="BT986" t="str">
        <f>HYPERLINK("https%3A%2F%2Fwww.webofscience.com%2Fwos%2Fwoscc%2Ffull-record%2FWOS:000873921700002","View Full Record in Web of Science")</f>
        <v>View Full Record in Web of Science</v>
      </c>
    </row>
    <row r="987" spans="1:72" x14ac:dyDescent="0.15">
      <c r="A987" t="s">
        <v>72</v>
      </c>
      <c r="B987" t="s">
        <v>18688</v>
      </c>
      <c r="C987" t="s">
        <v>74</v>
      </c>
      <c r="D987" t="s">
        <v>74</v>
      </c>
      <c r="E987" t="s">
        <v>74</v>
      </c>
      <c r="F987" t="s">
        <v>18689</v>
      </c>
      <c r="G987" t="s">
        <v>74</v>
      </c>
      <c r="H987" t="s">
        <v>74</v>
      </c>
      <c r="I987" t="s">
        <v>18690</v>
      </c>
      <c r="J987" t="s">
        <v>618</v>
      </c>
      <c r="K987" t="s">
        <v>74</v>
      </c>
      <c r="L987" t="s">
        <v>74</v>
      </c>
      <c r="M987" t="s">
        <v>78</v>
      </c>
      <c r="N987" t="s">
        <v>79</v>
      </c>
      <c r="O987" t="s">
        <v>74</v>
      </c>
      <c r="P987" t="s">
        <v>74</v>
      </c>
      <c r="Q987" t="s">
        <v>74</v>
      </c>
      <c r="R987" t="s">
        <v>74</v>
      </c>
      <c r="S987" t="s">
        <v>74</v>
      </c>
      <c r="T987" t="s">
        <v>18691</v>
      </c>
      <c r="U987" t="s">
        <v>18692</v>
      </c>
      <c r="V987" t="s">
        <v>18693</v>
      </c>
      <c r="W987" t="s">
        <v>18694</v>
      </c>
      <c r="X987" t="s">
        <v>18695</v>
      </c>
      <c r="Y987" t="s">
        <v>18696</v>
      </c>
      <c r="Z987" t="s">
        <v>18697</v>
      </c>
      <c r="AA987" t="s">
        <v>18698</v>
      </c>
      <c r="AB987" t="s">
        <v>74</v>
      </c>
      <c r="AC987" t="s">
        <v>18699</v>
      </c>
      <c r="AD987" t="s">
        <v>18700</v>
      </c>
      <c r="AE987" t="s">
        <v>18701</v>
      </c>
      <c r="AF987" t="s">
        <v>74</v>
      </c>
      <c r="AG987">
        <v>59</v>
      </c>
      <c r="AH987">
        <v>1</v>
      </c>
      <c r="AI987">
        <v>1</v>
      </c>
      <c r="AJ987">
        <v>0</v>
      </c>
      <c r="AK987">
        <v>2</v>
      </c>
      <c r="AL987" t="s">
        <v>269</v>
      </c>
      <c r="AM987" t="s">
        <v>93</v>
      </c>
      <c r="AN987" t="s">
        <v>397</v>
      </c>
      <c r="AO987" t="s">
        <v>630</v>
      </c>
      <c r="AP987" t="s">
        <v>631</v>
      </c>
      <c r="AQ987" t="s">
        <v>74</v>
      </c>
      <c r="AR987" t="s">
        <v>632</v>
      </c>
      <c r="AS987" t="s">
        <v>633</v>
      </c>
      <c r="AT987" t="s">
        <v>18365</v>
      </c>
      <c r="AU987">
        <v>2022</v>
      </c>
      <c r="AV987">
        <v>45</v>
      </c>
      <c r="AW987">
        <v>10</v>
      </c>
      <c r="AX987" t="s">
        <v>74</v>
      </c>
      <c r="AY987" t="s">
        <v>74</v>
      </c>
      <c r="AZ987" t="s">
        <v>74</v>
      </c>
      <c r="BA987" t="s">
        <v>74</v>
      </c>
      <c r="BB987">
        <v>1541</v>
      </c>
      <c r="BC987">
        <v>1552</v>
      </c>
      <c r="BD987" t="s">
        <v>74</v>
      </c>
      <c r="BE987" t="s">
        <v>18702</v>
      </c>
      <c r="BF987" t="str">
        <f>HYPERLINK("http://dx.doi.org/10.1007/s00300-022-03083-8","http://dx.doi.org/10.1007/s00300-022-03083-8")</f>
        <v>http://dx.doi.org/10.1007/s00300-022-03083-8</v>
      </c>
      <c r="BG987" t="s">
        <v>74</v>
      </c>
      <c r="BH987" t="s">
        <v>16236</v>
      </c>
      <c r="BI987">
        <v>12</v>
      </c>
      <c r="BJ987" t="s">
        <v>305</v>
      </c>
      <c r="BK987" t="s">
        <v>104</v>
      </c>
      <c r="BL987" t="s">
        <v>306</v>
      </c>
      <c r="BM987" t="s">
        <v>18367</v>
      </c>
      <c r="BN987">
        <v>36310661</v>
      </c>
      <c r="BO987" t="s">
        <v>18703</v>
      </c>
      <c r="BP987" t="s">
        <v>74</v>
      </c>
      <c r="BQ987" t="s">
        <v>74</v>
      </c>
      <c r="BR987" t="s">
        <v>108</v>
      </c>
      <c r="BS987" t="s">
        <v>18704</v>
      </c>
      <c r="BT987" t="str">
        <f>HYPERLINK("https%3A%2F%2Fwww.webofscience.com%2Fwos%2Fwoscc%2Ffull-record%2FWOS:000865374300001","View Full Record in Web of Science")</f>
        <v>View Full Record in Web of Science</v>
      </c>
    </row>
    <row r="988" spans="1:72" x14ac:dyDescent="0.15">
      <c r="A988" t="s">
        <v>72</v>
      </c>
      <c r="B988" t="s">
        <v>18705</v>
      </c>
      <c r="C988" t="s">
        <v>74</v>
      </c>
      <c r="D988" t="s">
        <v>74</v>
      </c>
      <c r="E988" t="s">
        <v>74</v>
      </c>
      <c r="F988" t="s">
        <v>18706</v>
      </c>
      <c r="G988" t="s">
        <v>74</v>
      </c>
      <c r="H988" t="s">
        <v>74</v>
      </c>
      <c r="I988" t="s">
        <v>18707</v>
      </c>
      <c r="J988" t="s">
        <v>12899</v>
      </c>
      <c r="K988" t="s">
        <v>74</v>
      </c>
      <c r="L988" t="s">
        <v>74</v>
      </c>
      <c r="M988" t="s">
        <v>78</v>
      </c>
      <c r="N988" t="s">
        <v>79</v>
      </c>
      <c r="O988" t="s">
        <v>74</v>
      </c>
      <c r="P988" t="s">
        <v>74</v>
      </c>
      <c r="Q988" t="s">
        <v>74</v>
      </c>
      <c r="R988" t="s">
        <v>74</v>
      </c>
      <c r="S988" t="s">
        <v>74</v>
      </c>
      <c r="T988" t="s">
        <v>18708</v>
      </c>
      <c r="U988" t="s">
        <v>18709</v>
      </c>
      <c r="V988" t="s">
        <v>18710</v>
      </c>
      <c r="W988" t="s">
        <v>18711</v>
      </c>
      <c r="X988" t="s">
        <v>18712</v>
      </c>
      <c r="Y988" t="s">
        <v>18713</v>
      </c>
      <c r="Z988" t="s">
        <v>18714</v>
      </c>
      <c r="AA988" t="s">
        <v>18715</v>
      </c>
      <c r="AB988" t="s">
        <v>18716</v>
      </c>
      <c r="AC988" t="s">
        <v>18717</v>
      </c>
      <c r="AD988" t="s">
        <v>18717</v>
      </c>
      <c r="AE988" t="s">
        <v>18718</v>
      </c>
      <c r="AF988" t="s">
        <v>74</v>
      </c>
      <c r="AG988">
        <v>67</v>
      </c>
      <c r="AH988">
        <v>20</v>
      </c>
      <c r="AI988">
        <v>20</v>
      </c>
      <c r="AJ988">
        <v>7</v>
      </c>
      <c r="AK988">
        <v>35</v>
      </c>
      <c r="AL988" t="s">
        <v>237</v>
      </c>
      <c r="AM988" t="s">
        <v>238</v>
      </c>
      <c r="AN988" t="s">
        <v>239</v>
      </c>
      <c r="AO988" t="s">
        <v>12912</v>
      </c>
      <c r="AP988" t="s">
        <v>12913</v>
      </c>
      <c r="AQ988" t="s">
        <v>74</v>
      </c>
      <c r="AR988" t="s">
        <v>12914</v>
      </c>
      <c r="AS988" t="s">
        <v>12915</v>
      </c>
      <c r="AT988" t="s">
        <v>12004</v>
      </c>
      <c r="AU988">
        <v>2023</v>
      </c>
      <c r="AV988">
        <v>442</v>
      </c>
      <c r="AW988" t="s">
        <v>74</v>
      </c>
      <c r="AX988" t="s">
        <v>74</v>
      </c>
      <c r="AY988" t="s">
        <v>74</v>
      </c>
      <c r="AZ988" t="s">
        <v>74</v>
      </c>
      <c r="BA988" t="s">
        <v>74</v>
      </c>
      <c r="BB988" t="s">
        <v>74</v>
      </c>
      <c r="BC988" t="s">
        <v>74</v>
      </c>
      <c r="BD988">
        <v>130117</v>
      </c>
      <c r="BE988" t="s">
        <v>18719</v>
      </c>
      <c r="BF988" t="str">
        <f>HYPERLINK("http://dx.doi.org/10.1016/j.jhazmat.2022.130117","http://dx.doi.org/10.1016/j.jhazmat.2022.130117")</f>
        <v>http://dx.doi.org/10.1016/j.jhazmat.2022.130117</v>
      </c>
      <c r="BG988" t="s">
        <v>74</v>
      </c>
      <c r="BH988" t="s">
        <v>16236</v>
      </c>
      <c r="BI988">
        <v>9</v>
      </c>
      <c r="BJ988" t="s">
        <v>7364</v>
      </c>
      <c r="BK988" t="s">
        <v>104</v>
      </c>
      <c r="BL988" t="s">
        <v>5758</v>
      </c>
      <c r="BM988" t="s">
        <v>18720</v>
      </c>
      <c r="BN988">
        <v>36303350</v>
      </c>
      <c r="BO988" t="s">
        <v>107</v>
      </c>
      <c r="BP988" t="s">
        <v>74</v>
      </c>
      <c r="BQ988" t="s">
        <v>74</v>
      </c>
      <c r="BR988" t="s">
        <v>108</v>
      </c>
      <c r="BS988" t="s">
        <v>18721</v>
      </c>
      <c r="BT988" t="str">
        <f>HYPERLINK("https%3A%2F%2Fwww.webofscience.com%2Fwos%2Fwoscc%2Ffull-record%2FWOS:000921428400003","View Full Record in Web of Science")</f>
        <v>View Full Record in Web of Science</v>
      </c>
    </row>
    <row r="989" spans="1:72" x14ac:dyDescent="0.15">
      <c r="A989" t="s">
        <v>72</v>
      </c>
      <c r="B989" t="s">
        <v>18722</v>
      </c>
      <c r="C989" t="s">
        <v>74</v>
      </c>
      <c r="D989" t="s">
        <v>74</v>
      </c>
      <c r="E989" t="s">
        <v>74</v>
      </c>
      <c r="F989" t="s">
        <v>18723</v>
      </c>
      <c r="G989" t="s">
        <v>74</v>
      </c>
      <c r="H989" t="s">
        <v>74</v>
      </c>
      <c r="I989" t="s">
        <v>18724</v>
      </c>
      <c r="J989" t="s">
        <v>18725</v>
      </c>
      <c r="K989" t="s">
        <v>74</v>
      </c>
      <c r="L989" t="s">
        <v>74</v>
      </c>
      <c r="M989" t="s">
        <v>78</v>
      </c>
      <c r="N989" t="s">
        <v>79</v>
      </c>
      <c r="O989" t="s">
        <v>74</v>
      </c>
      <c r="P989" t="s">
        <v>74</v>
      </c>
      <c r="Q989" t="s">
        <v>74</v>
      </c>
      <c r="R989" t="s">
        <v>74</v>
      </c>
      <c r="S989" t="s">
        <v>74</v>
      </c>
      <c r="T989" t="s">
        <v>18726</v>
      </c>
      <c r="U989" t="s">
        <v>18727</v>
      </c>
      <c r="V989" t="s">
        <v>18728</v>
      </c>
      <c r="W989" t="s">
        <v>18729</v>
      </c>
      <c r="X989" t="s">
        <v>18730</v>
      </c>
      <c r="Y989" t="s">
        <v>18731</v>
      </c>
      <c r="Z989" t="s">
        <v>18732</v>
      </c>
      <c r="AA989" t="s">
        <v>18733</v>
      </c>
      <c r="AB989" t="s">
        <v>74</v>
      </c>
      <c r="AC989" t="s">
        <v>18734</v>
      </c>
      <c r="AD989" t="s">
        <v>7941</v>
      </c>
      <c r="AE989" t="s">
        <v>18735</v>
      </c>
      <c r="AF989" t="s">
        <v>74</v>
      </c>
      <c r="AG989">
        <v>84</v>
      </c>
      <c r="AH989">
        <v>2</v>
      </c>
      <c r="AI989">
        <v>2</v>
      </c>
      <c r="AJ989">
        <v>2</v>
      </c>
      <c r="AK989">
        <v>28</v>
      </c>
      <c r="AL989" t="s">
        <v>603</v>
      </c>
      <c r="AM989" t="s">
        <v>208</v>
      </c>
      <c r="AN989" t="s">
        <v>604</v>
      </c>
      <c r="AO989" t="s">
        <v>18736</v>
      </c>
      <c r="AP989" t="s">
        <v>18737</v>
      </c>
      <c r="AQ989" t="s">
        <v>74</v>
      </c>
      <c r="AR989" t="s">
        <v>18738</v>
      </c>
      <c r="AS989" t="s">
        <v>18739</v>
      </c>
      <c r="AT989" t="s">
        <v>9001</v>
      </c>
      <c r="AU989">
        <v>2022</v>
      </c>
      <c r="AV989">
        <v>240</v>
      </c>
      <c r="AW989" t="s">
        <v>74</v>
      </c>
      <c r="AX989" t="s">
        <v>74</v>
      </c>
      <c r="AY989" t="s">
        <v>74</v>
      </c>
      <c r="AZ989" t="s">
        <v>74</v>
      </c>
      <c r="BA989" t="s">
        <v>74</v>
      </c>
      <c r="BB989" t="s">
        <v>74</v>
      </c>
      <c r="BC989" t="s">
        <v>74</v>
      </c>
      <c r="BD989">
        <v>105435</v>
      </c>
      <c r="BE989" t="s">
        <v>18740</v>
      </c>
      <c r="BF989" t="str">
        <f>HYPERLINK("http://dx.doi.org/10.1016/j.jseaes.2022.105435","http://dx.doi.org/10.1016/j.jseaes.2022.105435")</f>
        <v>http://dx.doi.org/10.1016/j.jseaes.2022.105435</v>
      </c>
      <c r="BG989" t="s">
        <v>74</v>
      </c>
      <c r="BH989" t="s">
        <v>16236</v>
      </c>
      <c r="BI989">
        <v>10</v>
      </c>
      <c r="BJ989" t="s">
        <v>455</v>
      </c>
      <c r="BK989" t="s">
        <v>104</v>
      </c>
      <c r="BL989" t="s">
        <v>456</v>
      </c>
      <c r="BM989" t="s">
        <v>18741</v>
      </c>
      <c r="BN989" t="s">
        <v>74</v>
      </c>
      <c r="BO989" t="s">
        <v>74</v>
      </c>
      <c r="BP989" t="s">
        <v>74</v>
      </c>
      <c r="BQ989" t="s">
        <v>74</v>
      </c>
      <c r="BR989" t="s">
        <v>108</v>
      </c>
      <c r="BS989" t="s">
        <v>18742</v>
      </c>
      <c r="BT989" t="str">
        <f>HYPERLINK("https%3A%2F%2Fwww.webofscience.com%2Fwos%2Fwoscc%2Ffull-record%2FWOS:000867629400002","View Full Record in Web of Science")</f>
        <v>View Full Record in Web of Science</v>
      </c>
    </row>
    <row r="990" spans="1:72" x14ac:dyDescent="0.15">
      <c r="A990" t="s">
        <v>72</v>
      </c>
      <c r="B990" t="s">
        <v>18743</v>
      </c>
      <c r="C990" t="s">
        <v>74</v>
      </c>
      <c r="D990" t="s">
        <v>74</v>
      </c>
      <c r="E990" t="s">
        <v>74</v>
      </c>
      <c r="F990" t="s">
        <v>18744</v>
      </c>
      <c r="G990" t="s">
        <v>74</v>
      </c>
      <c r="H990" t="s">
        <v>74</v>
      </c>
      <c r="I990" t="s">
        <v>18745</v>
      </c>
      <c r="J990" t="s">
        <v>7102</v>
      </c>
      <c r="K990" t="s">
        <v>74</v>
      </c>
      <c r="L990" t="s">
        <v>74</v>
      </c>
      <c r="M990" t="s">
        <v>78</v>
      </c>
      <c r="N990" t="s">
        <v>79</v>
      </c>
      <c r="O990" t="s">
        <v>74</v>
      </c>
      <c r="P990" t="s">
        <v>74</v>
      </c>
      <c r="Q990" t="s">
        <v>74</v>
      </c>
      <c r="R990" t="s">
        <v>74</v>
      </c>
      <c r="S990" t="s">
        <v>74</v>
      </c>
      <c r="T990" t="s">
        <v>18746</v>
      </c>
      <c r="U990" t="s">
        <v>18747</v>
      </c>
      <c r="V990" t="s">
        <v>18748</v>
      </c>
      <c r="W990" t="s">
        <v>18749</v>
      </c>
      <c r="X990" t="s">
        <v>18750</v>
      </c>
      <c r="Y990" t="s">
        <v>18751</v>
      </c>
      <c r="Z990" t="s">
        <v>18752</v>
      </c>
      <c r="AA990" t="s">
        <v>18753</v>
      </c>
      <c r="AB990" t="s">
        <v>18754</v>
      </c>
      <c r="AC990" t="s">
        <v>18755</v>
      </c>
      <c r="AD990" t="s">
        <v>18756</v>
      </c>
      <c r="AE990" t="s">
        <v>18757</v>
      </c>
      <c r="AF990" t="s">
        <v>74</v>
      </c>
      <c r="AG990">
        <v>59</v>
      </c>
      <c r="AH990">
        <v>2</v>
      </c>
      <c r="AI990">
        <v>2</v>
      </c>
      <c r="AJ990">
        <v>1</v>
      </c>
      <c r="AK990">
        <v>7</v>
      </c>
      <c r="AL990" t="s">
        <v>448</v>
      </c>
      <c r="AM990" t="s">
        <v>449</v>
      </c>
      <c r="AN990" t="s">
        <v>450</v>
      </c>
      <c r="AO990" t="s">
        <v>74</v>
      </c>
      <c r="AP990" t="s">
        <v>7115</v>
      </c>
      <c r="AQ990" t="s">
        <v>74</v>
      </c>
      <c r="AR990" t="s">
        <v>7116</v>
      </c>
      <c r="AS990" t="s">
        <v>7117</v>
      </c>
      <c r="AT990" t="s">
        <v>18758</v>
      </c>
      <c r="AU990">
        <v>2022</v>
      </c>
      <c r="AV990">
        <v>9</v>
      </c>
      <c r="AW990" t="s">
        <v>74</v>
      </c>
      <c r="AX990" t="s">
        <v>74</v>
      </c>
      <c r="AY990" t="s">
        <v>74</v>
      </c>
      <c r="AZ990" t="s">
        <v>74</v>
      </c>
      <c r="BA990" t="s">
        <v>74</v>
      </c>
      <c r="BB990" t="s">
        <v>74</v>
      </c>
      <c r="BC990" t="s">
        <v>74</v>
      </c>
      <c r="BD990">
        <v>903964</v>
      </c>
      <c r="BE990" t="s">
        <v>18759</v>
      </c>
      <c r="BF990" t="str">
        <f>HYPERLINK("http://dx.doi.org/10.3389/fmars.2022.903964","http://dx.doi.org/10.3389/fmars.2022.903964")</f>
        <v>http://dx.doi.org/10.3389/fmars.2022.903964</v>
      </c>
      <c r="BG990" t="s">
        <v>74</v>
      </c>
      <c r="BH990" t="s">
        <v>74</v>
      </c>
      <c r="BI990">
        <v>13</v>
      </c>
      <c r="BJ990" t="s">
        <v>6728</v>
      </c>
      <c r="BK990" t="s">
        <v>104</v>
      </c>
      <c r="BL990" t="s">
        <v>6729</v>
      </c>
      <c r="BM990" t="s">
        <v>18760</v>
      </c>
      <c r="BN990" t="s">
        <v>74</v>
      </c>
      <c r="BO990" t="s">
        <v>165</v>
      </c>
      <c r="BP990" t="s">
        <v>74</v>
      </c>
      <c r="BQ990" t="s">
        <v>74</v>
      </c>
      <c r="BR990" t="s">
        <v>108</v>
      </c>
      <c r="BS990" t="s">
        <v>18761</v>
      </c>
      <c r="BT990" t="str">
        <f>HYPERLINK("https%3A%2F%2Fwww.webofscience.com%2Fwos%2Fwoscc%2Ffull-record%2FWOS:000874678400001","View Full Record in Web of Science")</f>
        <v>View Full Record in Web of Science</v>
      </c>
    </row>
    <row r="991" spans="1:72" x14ac:dyDescent="0.15">
      <c r="A991" t="s">
        <v>72</v>
      </c>
      <c r="B991" t="s">
        <v>18762</v>
      </c>
      <c r="C991" t="s">
        <v>74</v>
      </c>
      <c r="D991" t="s">
        <v>74</v>
      </c>
      <c r="E991" t="s">
        <v>74</v>
      </c>
      <c r="F991" t="s">
        <v>18763</v>
      </c>
      <c r="G991" t="s">
        <v>74</v>
      </c>
      <c r="H991" t="s">
        <v>74</v>
      </c>
      <c r="I991" t="s">
        <v>18764</v>
      </c>
      <c r="J991" t="s">
        <v>18765</v>
      </c>
      <c r="K991" t="s">
        <v>74</v>
      </c>
      <c r="L991" t="s">
        <v>74</v>
      </c>
      <c r="M991" t="s">
        <v>78</v>
      </c>
      <c r="N991" t="s">
        <v>79</v>
      </c>
      <c r="O991" t="s">
        <v>74</v>
      </c>
      <c r="P991" t="s">
        <v>74</v>
      </c>
      <c r="Q991" t="s">
        <v>74</v>
      </c>
      <c r="R991" t="s">
        <v>74</v>
      </c>
      <c r="S991" t="s">
        <v>74</v>
      </c>
      <c r="T991" t="s">
        <v>18766</v>
      </c>
      <c r="U991" t="s">
        <v>18767</v>
      </c>
      <c r="V991" t="s">
        <v>18768</v>
      </c>
      <c r="W991" t="s">
        <v>18769</v>
      </c>
      <c r="X991" t="s">
        <v>18770</v>
      </c>
      <c r="Y991" t="s">
        <v>18771</v>
      </c>
      <c r="Z991" t="s">
        <v>18772</v>
      </c>
      <c r="AA991" t="s">
        <v>18773</v>
      </c>
      <c r="AB991" t="s">
        <v>18774</v>
      </c>
      <c r="AC991" t="s">
        <v>18775</v>
      </c>
      <c r="AD991" t="s">
        <v>18776</v>
      </c>
      <c r="AE991" t="s">
        <v>18777</v>
      </c>
      <c r="AF991" t="s">
        <v>74</v>
      </c>
      <c r="AG991">
        <v>76</v>
      </c>
      <c r="AH991">
        <v>3</v>
      </c>
      <c r="AI991">
        <v>3</v>
      </c>
      <c r="AJ991">
        <v>7</v>
      </c>
      <c r="AK991">
        <v>20</v>
      </c>
      <c r="AL991" t="s">
        <v>603</v>
      </c>
      <c r="AM991" t="s">
        <v>208</v>
      </c>
      <c r="AN991" t="s">
        <v>604</v>
      </c>
      <c r="AO991" t="s">
        <v>18778</v>
      </c>
      <c r="AP991" t="s">
        <v>18779</v>
      </c>
      <c r="AQ991" t="s">
        <v>74</v>
      </c>
      <c r="AR991" t="s">
        <v>18780</v>
      </c>
      <c r="AS991" t="s">
        <v>18781</v>
      </c>
      <c r="AT991" t="s">
        <v>9001</v>
      </c>
      <c r="AU991">
        <v>2022</v>
      </c>
      <c r="AV991">
        <v>110</v>
      </c>
      <c r="AW991" t="s">
        <v>74</v>
      </c>
      <c r="AX991" t="s">
        <v>74</v>
      </c>
      <c r="AY991" t="s">
        <v>74</v>
      </c>
      <c r="AZ991" t="s">
        <v>74</v>
      </c>
      <c r="BA991" t="s">
        <v>74</v>
      </c>
      <c r="BB991" t="s">
        <v>74</v>
      </c>
      <c r="BC991" t="s">
        <v>74</v>
      </c>
      <c r="BD991">
        <v>103355</v>
      </c>
      <c r="BE991" t="s">
        <v>18782</v>
      </c>
      <c r="BF991" t="str">
        <f>HYPERLINK("http://dx.doi.org/10.1016/j.jtherbio.2022.103355","http://dx.doi.org/10.1016/j.jtherbio.2022.103355")</f>
        <v>http://dx.doi.org/10.1016/j.jtherbio.2022.103355</v>
      </c>
      <c r="BG991" t="s">
        <v>74</v>
      </c>
      <c r="BH991" t="s">
        <v>16236</v>
      </c>
      <c r="BI991">
        <v>8</v>
      </c>
      <c r="BJ991" t="s">
        <v>5068</v>
      </c>
      <c r="BK991" t="s">
        <v>104</v>
      </c>
      <c r="BL991" t="s">
        <v>5069</v>
      </c>
      <c r="BM991" t="s">
        <v>18783</v>
      </c>
      <c r="BN991">
        <v>36462882</v>
      </c>
      <c r="BO991" t="s">
        <v>74</v>
      </c>
      <c r="BP991" t="s">
        <v>74</v>
      </c>
      <c r="BQ991" t="s">
        <v>74</v>
      </c>
      <c r="BR991" t="s">
        <v>108</v>
      </c>
      <c r="BS991" t="s">
        <v>18784</v>
      </c>
      <c r="BT991" t="str">
        <f>HYPERLINK("https%3A%2F%2Fwww.webofscience.com%2Fwos%2Fwoscc%2Ffull-record%2FWOS:000874809600008","View Full Record in Web of Science")</f>
        <v>View Full Record in Web of Science</v>
      </c>
    </row>
    <row r="992" spans="1:72" x14ac:dyDescent="0.15">
      <c r="A992" t="s">
        <v>72</v>
      </c>
      <c r="B992" t="s">
        <v>18785</v>
      </c>
      <c r="C992" t="s">
        <v>74</v>
      </c>
      <c r="D992" t="s">
        <v>74</v>
      </c>
      <c r="E992" t="s">
        <v>74</v>
      </c>
      <c r="F992" t="s">
        <v>18786</v>
      </c>
      <c r="G992" t="s">
        <v>74</v>
      </c>
      <c r="H992" t="s">
        <v>74</v>
      </c>
      <c r="I992" t="s">
        <v>18787</v>
      </c>
      <c r="J992" t="s">
        <v>12550</v>
      </c>
      <c r="K992" t="s">
        <v>74</v>
      </c>
      <c r="L992" t="s">
        <v>74</v>
      </c>
      <c r="M992" t="s">
        <v>78</v>
      </c>
      <c r="N992" t="s">
        <v>79</v>
      </c>
      <c r="O992" t="s">
        <v>74</v>
      </c>
      <c r="P992" t="s">
        <v>74</v>
      </c>
      <c r="Q992" t="s">
        <v>74</v>
      </c>
      <c r="R992" t="s">
        <v>74</v>
      </c>
      <c r="S992" t="s">
        <v>74</v>
      </c>
      <c r="T992" t="s">
        <v>18788</v>
      </c>
      <c r="U992" t="s">
        <v>18789</v>
      </c>
      <c r="V992" t="s">
        <v>18790</v>
      </c>
      <c r="W992" t="s">
        <v>18791</v>
      </c>
      <c r="X992" t="s">
        <v>18792</v>
      </c>
      <c r="Y992" t="s">
        <v>18793</v>
      </c>
      <c r="Z992" t="s">
        <v>18794</v>
      </c>
      <c r="AA992" t="s">
        <v>18795</v>
      </c>
      <c r="AB992" t="s">
        <v>18796</v>
      </c>
      <c r="AC992" t="s">
        <v>18797</v>
      </c>
      <c r="AD992" t="s">
        <v>18798</v>
      </c>
      <c r="AE992" t="s">
        <v>18799</v>
      </c>
      <c r="AF992" t="s">
        <v>74</v>
      </c>
      <c r="AG992">
        <v>58</v>
      </c>
      <c r="AH992">
        <v>0</v>
      </c>
      <c r="AI992">
        <v>0</v>
      </c>
      <c r="AJ992">
        <v>17</v>
      </c>
      <c r="AK992">
        <v>47</v>
      </c>
      <c r="AL992" t="s">
        <v>603</v>
      </c>
      <c r="AM992" t="s">
        <v>208</v>
      </c>
      <c r="AN992" t="s">
        <v>604</v>
      </c>
      <c r="AO992" t="s">
        <v>12563</v>
      </c>
      <c r="AP992" t="s">
        <v>12564</v>
      </c>
      <c r="AQ992" t="s">
        <v>74</v>
      </c>
      <c r="AR992" t="s">
        <v>12565</v>
      </c>
      <c r="AS992" t="s">
        <v>12566</v>
      </c>
      <c r="AT992" t="s">
        <v>2592</v>
      </c>
      <c r="AU992">
        <v>2023</v>
      </c>
      <c r="AV992">
        <v>292</v>
      </c>
      <c r="AW992" t="s">
        <v>74</v>
      </c>
      <c r="AX992" t="s">
        <v>74</v>
      </c>
      <c r="AY992" t="s">
        <v>74</v>
      </c>
      <c r="AZ992" t="s">
        <v>74</v>
      </c>
      <c r="BA992" t="s">
        <v>74</v>
      </c>
      <c r="BB992" t="s">
        <v>74</v>
      </c>
      <c r="BC992" t="s">
        <v>74</v>
      </c>
      <c r="BD992">
        <v>119414</v>
      </c>
      <c r="BE992" t="s">
        <v>18800</v>
      </c>
      <c r="BF992" t="str">
        <f>HYPERLINK("http://dx.doi.org/10.1016/j.atmosenv.2022.119414","http://dx.doi.org/10.1016/j.atmosenv.2022.119414")</f>
        <v>http://dx.doi.org/10.1016/j.atmosenv.2022.119414</v>
      </c>
      <c r="BG992" t="s">
        <v>74</v>
      </c>
      <c r="BH992" t="s">
        <v>16236</v>
      </c>
      <c r="BI992">
        <v>7</v>
      </c>
      <c r="BJ992" t="s">
        <v>5429</v>
      </c>
      <c r="BK992" t="s">
        <v>104</v>
      </c>
      <c r="BL992" t="s">
        <v>355</v>
      </c>
      <c r="BM992" t="s">
        <v>18801</v>
      </c>
      <c r="BN992" t="s">
        <v>74</v>
      </c>
      <c r="BO992" t="s">
        <v>660</v>
      </c>
      <c r="BP992" t="s">
        <v>74</v>
      </c>
      <c r="BQ992" t="s">
        <v>74</v>
      </c>
      <c r="BR992" t="s">
        <v>108</v>
      </c>
      <c r="BS992" t="s">
        <v>18802</v>
      </c>
      <c r="BT992" t="str">
        <f>HYPERLINK("https%3A%2F%2Fwww.webofscience.com%2Fwos%2Fwoscc%2Ffull-record%2FWOS:000868625500001","View Full Record in Web of Science")</f>
        <v>View Full Record in Web of Science</v>
      </c>
    </row>
    <row r="993" spans="1:72" x14ac:dyDescent="0.15">
      <c r="A993" t="s">
        <v>72</v>
      </c>
      <c r="B993" t="s">
        <v>18803</v>
      </c>
      <c r="C993" t="s">
        <v>74</v>
      </c>
      <c r="D993" t="s">
        <v>74</v>
      </c>
      <c r="E993" t="s">
        <v>74</v>
      </c>
      <c r="F993" t="s">
        <v>18804</v>
      </c>
      <c r="G993" t="s">
        <v>74</v>
      </c>
      <c r="H993" t="s">
        <v>74</v>
      </c>
      <c r="I993" t="s">
        <v>18805</v>
      </c>
      <c r="J993" t="s">
        <v>18806</v>
      </c>
      <c r="K993" t="s">
        <v>74</v>
      </c>
      <c r="L993" t="s">
        <v>74</v>
      </c>
      <c r="M993" t="s">
        <v>78</v>
      </c>
      <c r="N993" t="s">
        <v>79</v>
      </c>
      <c r="O993" t="s">
        <v>74</v>
      </c>
      <c r="P993" t="s">
        <v>74</v>
      </c>
      <c r="Q993" t="s">
        <v>74</v>
      </c>
      <c r="R993" t="s">
        <v>74</v>
      </c>
      <c r="S993" t="s">
        <v>74</v>
      </c>
      <c r="T993" t="s">
        <v>74</v>
      </c>
      <c r="U993" t="s">
        <v>18807</v>
      </c>
      <c r="V993" t="s">
        <v>18808</v>
      </c>
      <c r="W993" t="s">
        <v>18809</v>
      </c>
      <c r="X993" t="s">
        <v>18810</v>
      </c>
      <c r="Y993" t="s">
        <v>18811</v>
      </c>
      <c r="Z993" t="s">
        <v>18812</v>
      </c>
      <c r="AA993" t="s">
        <v>18813</v>
      </c>
      <c r="AB993" t="s">
        <v>18814</v>
      </c>
      <c r="AC993" t="s">
        <v>18815</v>
      </c>
      <c r="AD993" t="s">
        <v>74</v>
      </c>
      <c r="AE993" t="s">
        <v>18816</v>
      </c>
      <c r="AF993" t="s">
        <v>74</v>
      </c>
      <c r="AG993">
        <v>97</v>
      </c>
      <c r="AH993">
        <v>2</v>
      </c>
      <c r="AI993">
        <v>3</v>
      </c>
      <c r="AJ993">
        <v>15</v>
      </c>
      <c r="AK993">
        <v>57</v>
      </c>
      <c r="AL993" t="s">
        <v>374</v>
      </c>
      <c r="AM993" t="s">
        <v>375</v>
      </c>
      <c r="AN993" t="s">
        <v>376</v>
      </c>
      <c r="AO993" t="s">
        <v>18817</v>
      </c>
      <c r="AP993" t="s">
        <v>18818</v>
      </c>
      <c r="AQ993" t="s">
        <v>74</v>
      </c>
      <c r="AR993" t="s">
        <v>18806</v>
      </c>
      <c r="AS993" t="s">
        <v>18819</v>
      </c>
      <c r="AT993" t="s">
        <v>9001</v>
      </c>
      <c r="AU993">
        <v>2022</v>
      </c>
      <c r="AV993">
        <v>129</v>
      </c>
      <c r="AW993">
        <v>6</v>
      </c>
      <c r="AX993" t="s">
        <v>74</v>
      </c>
      <c r="AY993" t="s">
        <v>74</v>
      </c>
      <c r="AZ993" t="s">
        <v>74</v>
      </c>
      <c r="BA993" t="s">
        <v>74</v>
      </c>
      <c r="BB993">
        <v>317</v>
      </c>
      <c r="BC993">
        <v>326</v>
      </c>
      <c r="BD993" t="s">
        <v>74</v>
      </c>
      <c r="BE993" t="s">
        <v>18820</v>
      </c>
      <c r="BF993" t="str">
        <f>HYPERLINK("http://dx.doi.org/10.1038/s41437-022-00564-8","http://dx.doi.org/10.1038/s41437-022-00564-8")</f>
        <v>http://dx.doi.org/10.1038/s41437-022-00564-8</v>
      </c>
      <c r="BG993" t="s">
        <v>74</v>
      </c>
      <c r="BH993" t="s">
        <v>16236</v>
      </c>
      <c r="BI993">
        <v>10</v>
      </c>
      <c r="BJ993" t="s">
        <v>7647</v>
      </c>
      <c r="BK993" t="s">
        <v>104</v>
      </c>
      <c r="BL993" t="s">
        <v>7648</v>
      </c>
      <c r="BM993" t="s">
        <v>18821</v>
      </c>
      <c r="BN993">
        <v>36207436</v>
      </c>
      <c r="BO993" t="s">
        <v>6731</v>
      </c>
      <c r="BP993" t="s">
        <v>74</v>
      </c>
      <c r="BQ993" t="s">
        <v>74</v>
      </c>
      <c r="BR993" t="s">
        <v>108</v>
      </c>
      <c r="BS993" t="s">
        <v>18822</v>
      </c>
      <c r="BT993" t="str">
        <f>HYPERLINK("https%3A%2F%2Fwww.webofscience.com%2Fwos%2Fwoscc%2Ffull-record%2FWOS:000864979200001","View Full Record in Web of Science")</f>
        <v>View Full Record in Web of Science</v>
      </c>
    </row>
    <row r="994" spans="1:72" x14ac:dyDescent="0.15">
      <c r="A994" t="s">
        <v>72</v>
      </c>
      <c r="B994" t="s">
        <v>18823</v>
      </c>
      <c r="C994" t="s">
        <v>74</v>
      </c>
      <c r="D994" t="s">
        <v>74</v>
      </c>
      <c r="E994" t="s">
        <v>74</v>
      </c>
      <c r="F994" t="s">
        <v>18824</v>
      </c>
      <c r="G994" t="s">
        <v>74</v>
      </c>
      <c r="H994" t="s">
        <v>74</v>
      </c>
      <c r="I994" t="s">
        <v>18825</v>
      </c>
      <c r="J994" t="s">
        <v>7392</v>
      </c>
      <c r="K994" t="s">
        <v>74</v>
      </c>
      <c r="L994" t="s">
        <v>74</v>
      </c>
      <c r="M994" t="s">
        <v>78</v>
      </c>
      <c r="N994" t="s">
        <v>79</v>
      </c>
      <c r="O994" t="s">
        <v>74</v>
      </c>
      <c r="P994" t="s">
        <v>74</v>
      </c>
      <c r="Q994" t="s">
        <v>74</v>
      </c>
      <c r="R994" t="s">
        <v>74</v>
      </c>
      <c r="S994" t="s">
        <v>74</v>
      </c>
      <c r="T994" t="s">
        <v>74</v>
      </c>
      <c r="U994" t="s">
        <v>18826</v>
      </c>
      <c r="V994" t="s">
        <v>18827</v>
      </c>
      <c r="W994" t="s">
        <v>18828</v>
      </c>
      <c r="X994" t="s">
        <v>18829</v>
      </c>
      <c r="Y994" t="s">
        <v>18830</v>
      </c>
      <c r="Z994" t="s">
        <v>18831</v>
      </c>
      <c r="AA994" t="s">
        <v>18832</v>
      </c>
      <c r="AB994" t="s">
        <v>18833</v>
      </c>
      <c r="AC994" t="s">
        <v>18834</v>
      </c>
      <c r="AD994" t="s">
        <v>18835</v>
      </c>
      <c r="AE994" t="s">
        <v>18836</v>
      </c>
      <c r="AF994" t="s">
        <v>74</v>
      </c>
      <c r="AG994">
        <v>112</v>
      </c>
      <c r="AH994">
        <v>16</v>
      </c>
      <c r="AI994">
        <v>16</v>
      </c>
      <c r="AJ994">
        <v>4</v>
      </c>
      <c r="AK994">
        <v>22</v>
      </c>
      <c r="AL994" t="s">
        <v>126</v>
      </c>
      <c r="AM994" t="s">
        <v>127</v>
      </c>
      <c r="AN994" t="s">
        <v>128</v>
      </c>
      <c r="AO994" t="s">
        <v>7401</v>
      </c>
      <c r="AP994" t="s">
        <v>7402</v>
      </c>
      <c r="AQ994" t="s">
        <v>74</v>
      </c>
      <c r="AR994" t="s">
        <v>7392</v>
      </c>
      <c r="AS994" t="s">
        <v>7403</v>
      </c>
      <c r="AT994" t="s">
        <v>18758</v>
      </c>
      <c r="AU994">
        <v>2022</v>
      </c>
      <c r="AV994">
        <v>16</v>
      </c>
      <c r="AW994">
        <v>10</v>
      </c>
      <c r="AX994" t="s">
        <v>74</v>
      </c>
      <c r="AY994" t="s">
        <v>74</v>
      </c>
      <c r="AZ994" t="s">
        <v>74</v>
      </c>
      <c r="BA994" t="s">
        <v>74</v>
      </c>
      <c r="BB994">
        <v>4053</v>
      </c>
      <c r="BC994">
        <v>4086</v>
      </c>
      <c r="BD994" t="s">
        <v>74</v>
      </c>
      <c r="BE994" t="s">
        <v>18837</v>
      </c>
      <c r="BF994" t="str">
        <f>HYPERLINK("http://dx.doi.org/10.5194/tc-16-4053-2022","http://dx.doi.org/10.5194/tc-16-4053-2022")</f>
        <v>http://dx.doi.org/10.5194/tc-16-4053-2022</v>
      </c>
      <c r="BG994" t="s">
        <v>74</v>
      </c>
      <c r="BH994" t="s">
        <v>74</v>
      </c>
      <c r="BI994">
        <v>34</v>
      </c>
      <c r="BJ994" t="s">
        <v>611</v>
      </c>
      <c r="BK994" t="s">
        <v>104</v>
      </c>
      <c r="BL994" t="s">
        <v>612</v>
      </c>
      <c r="BM994" t="s">
        <v>18838</v>
      </c>
      <c r="BN994" t="s">
        <v>74</v>
      </c>
      <c r="BO994" t="s">
        <v>4658</v>
      </c>
      <c r="BP994" t="s">
        <v>74</v>
      </c>
      <c r="BQ994" t="s">
        <v>74</v>
      </c>
      <c r="BR994" t="s">
        <v>108</v>
      </c>
      <c r="BS994" t="s">
        <v>18839</v>
      </c>
      <c r="BT994" t="str">
        <f>HYPERLINK("https%3A%2F%2Fwww.webofscience.com%2Fwos%2Fwoscc%2Ffull-record%2FWOS:000864669100001","View Full Record in Web of Science")</f>
        <v>View Full Record in Web of Science</v>
      </c>
    </row>
    <row r="995" spans="1:72" x14ac:dyDescent="0.15">
      <c r="A995" t="s">
        <v>72</v>
      </c>
      <c r="B995" t="s">
        <v>18840</v>
      </c>
      <c r="C995" t="s">
        <v>74</v>
      </c>
      <c r="D995" t="s">
        <v>74</v>
      </c>
      <c r="E995" t="s">
        <v>74</v>
      </c>
      <c r="F995" t="s">
        <v>18841</v>
      </c>
      <c r="G995" t="s">
        <v>74</v>
      </c>
      <c r="H995" t="s">
        <v>74</v>
      </c>
      <c r="I995" t="s">
        <v>18842</v>
      </c>
      <c r="J995" t="s">
        <v>7102</v>
      </c>
      <c r="K995" t="s">
        <v>74</v>
      </c>
      <c r="L995" t="s">
        <v>74</v>
      </c>
      <c r="M995" t="s">
        <v>78</v>
      </c>
      <c r="N995" t="s">
        <v>79</v>
      </c>
      <c r="O995" t="s">
        <v>74</v>
      </c>
      <c r="P995" t="s">
        <v>74</v>
      </c>
      <c r="Q995" t="s">
        <v>74</v>
      </c>
      <c r="R995" t="s">
        <v>74</v>
      </c>
      <c r="S995" t="s">
        <v>74</v>
      </c>
      <c r="T995" t="s">
        <v>18843</v>
      </c>
      <c r="U995" t="s">
        <v>18844</v>
      </c>
      <c r="V995" t="s">
        <v>18845</v>
      </c>
      <c r="W995" t="s">
        <v>18846</v>
      </c>
      <c r="X995" t="s">
        <v>18847</v>
      </c>
      <c r="Y995" t="s">
        <v>18848</v>
      </c>
      <c r="Z995" t="s">
        <v>18849</v>
      </c>
      <c r="AA995" t="s">
        <v>74</v>
      </c>
      <c r="AB995" t="s">
        <v>74</v>
      </c>
      <c r="AC995" t="s">
        <v>18850</v>
      </c>
      <c r="AD995" t="s">
        <v>18851</v>
      </c>
      <c r="AE995" t="s">
        <v>18852</v>
      </c>
      <c r="AF995" t="s">
        <v>74</v>
      </c>
      <c r="AG995">
        <v>49</v>
      </c>
      <c r="AH995">
        <v>2</v>
      </c>
      <c r="AI995">
        <v>2</v>
      </c>
      <c r="AJ995">
        <v>0</v>
      </c>
      <c r="AK995">
        <v>5</v>
      </c>
      <c r="AL995" t="s">
        <v>448</v>
      </c>
      <c r="AM995" t="s">
        <v>449</v>
      </c>
      <c r="AN995" t="s">
        <v>450</v>
      </c>
      <c r="AO995" t="s">
        <v>74</v>
      </c>
      <c r="AP995" t="s">
        <v>7115</v>
      </c>
      <c r="AQ995" t="s">
        <v>74</v>
      </c>
      <c r="AR995" t="s">
        <v>7116</v>
      </c>
      <c r="AS995" t="s">
        <v>7117</v>
      </c>
      <c r="AT995" t="s">
        <v>18853</v>
      </c>
      <c r="AU995">
        <v>2022</v>
      </c>
      <c r="AV995">
        <v>9</v>
      </c>
      <c r="AW995" t="s">
        <v>74</v>
      </c>
      <c r="AX995" t="s">
        <v>74</v>
      </c>
      <c r="AY995" t="s">
        <v>74</v>
      </c>
      <c r="AZ995" t="s">
        <v>74</v>
      </c>
      <c r="BA995" t="s">
        <v>74</v>
      </c>
      <c r="BB995" t="s">
        <v>74</v>
      </c>
      <c r="BC995" t="s">
        <v>74</v>
      </c>
      <c r="BD995">
        <v>968848</v>
      </c>
      <c r="BE995" t="s">
        <v>18854</v>
      </c>
      <c r="BF995" t="str">
        <f>HYPERLINK("http://dx.doi.org/10.3389/fmars.2022.968848","http://dx.doi.org/10.3389/fmars.2022.968848")</f>
        <v>http://dx.doi.org/10.3389/fmars.2022.968848</v>
      </c>
      <c r="BG995" t="s">
        <v>74</v>
      </c>
      <c r="BH995" t="s">
        <v>74</v>
      </c>
      <c r="BI995">
        <v>17</v>
      </c>
      <c r="BJ995" t="s">
        <v>6728</v>
      </c>
      <c r="BK995" t="s">
        <v>104</v>
      </c>
      <c r="BL995" t="s">
        <v>6729</v>
      </c>
      <c r="BM995" t="s">
        <v>18855</v>
      </c>
      <c r="BN995" t="s">
        <v>74</v>
      </c>
      <c r="BO995" t="s">
        <v>165</v>
      </c>
      <c r="BP995" t="s">
        <v>74</v>
      </c>
      <c r="BQ995" t="s">
        <v>74</v>
      </c>
      <c r="BR995" t="s">
        <v>108</v>
      </c>
      <c r="BS995" t="s">
        <v>18856</v>
      </c>
      <c r="BT995" t="str">
        <f>HYPERLINK("https%3A%2F%2Fwww.webofscience.com%2Fwos%2Fwoscc%2Ffull-record%2FWOS:000874565700001","View Full Record in Web of Science")</f>
        <v>View Full Record in Web of Science</v>
      </c>
    </row>
    <row r="996" spans="1:72" x14ac:dyDescent="0.15">
      <c r="A996" t="s">
        <v>72</v>
      </c>
      <c r="B996" t="s">
        <v>18857</v>
      </c>
      <c r="C996" t="s">
        <v>74</v>
      </c>
      <c r="D996" t="s">
        <v>74</v>
      </c>
      <c r="E996" t="s">
        <v>74</v>
      </c>
      <c r="F996" t="s">
        <v>18858</v>
      </c>
      <c r="G996" t="s">
        <v>74</v>
      </c>
      <c r="H996" t="s">
        <v>74</v>
      </c>
      <c r="I996" t="s">
        <v>18859</v>
      </c>
      <c r="J996" t="s">
        <v>9138</v>
      </c>
      <c r="K996" t="s">
        <v>74</v>
      </c>
      <c r="L996" t="s">
        <v>74</v>
      </c>
      <c r="M996" t="s">
        <v>78</v>
      </c>
      <c r="N996" t="s">
        <v>79</v>
      </c>
      <c r="O996" t="s">
        <v>74</v>
      </c>
      <c r="P996" t="s">
        <v>74</v>
      </c>
      <c r="Q996" t="s">
        <v>74</v>
      </c>
      <c r="R996" t="s">
        <v>74</v>
      </c>
      <c r="S996" t="s">
        <v>74</v>
      </c>
      <c r="T996" t="s">
        <v>18860</v>
      </c>
      <c r="U996" t="s">
        <v>18861</v>
      </c>
      <c r="V996" t="s">
        <v>18862</v>
      </c>
      <c r="W996" t="s">
        <v>18863</v>
      </c>
      <c r="X996" t="s">
        <v>18864</v>
      </c>
      <c r="Y996" t="s">
        <v>18865</v>
      </c>
      <c r="Z996" t="s">
        <v>18866</v>
      </c>
      <c r="AA996" t="s">
        <v>18867</v>
      </c>
      <c r="AB996" t="s">
        <v>18868</v>
      </c>
      <c r="AC996" t="s">
        <v>74</v>
      </c>
      <c r="AD996" t="s">
        <v>74</v>
      </c>
      <c r="AE996" t="s">
        <v>74</v>
      </c>
      <c r="AF996" t="s">
        <v>74</v>
      </c>
      <c r="AG996">
        <v>53</v>
      </c>
      <c r="AH996">
        <v>0</v>
      </c>
      <c r="AI996">
        <v>0</v>
      </c>
      <c r="AJ996">
        <v>43</v>
      </c>
      <c r="AK996">
        <v>102</v>
      </c>
      <c r="AL996" t="s">
        <v>448</v>
      </c>
      <c r="AM996" t="s">
        <v>449</v>
      </c>
      <c r="AN996" t="s">
        <v>450</v>
      </c>
      <c r="AO996" t="s">
        <v>74</v>
      </c>
      <c r="AP996" t="s">
        <v>9145</v>
      </c>
      <c r="AQ996" t="s">
        <v>74</v>
      </c>
      <c r="AR996" t="s">
        <v>9146</v>
      </c>
      <c r="AS996" t="s">
        <v>9147</v>
      </c>
      <c r="AT996" t="s">
        <v>18853</v>
      </c>
      <c r="AU996">
        <v>2022</v>
      </c>
      <c r="AV996">
        <v>13</v>
      </c>
      <c r="AW996" t="s">
        <v>74</v>
      </c>
      <c r="AX996" t="s">
        <v>74</v>
      </c>
      <c r="AY996" t="s">
        <v>74</v>
      </c>
      <c r="AZ996" t="s">
        <v>74</v>
      </c>
      <c r="BA996" t="s">
        <v>74</v>
      </c>
      <c r="BB996" t="s">
        <v>74</v>
      </c>
      <c r="BC996" t="s">
        <v>74</v>
      </c>
      <c r="BD996">
        <v>927129</v>
      </c>
      <c r="BE996" t="s">
        <v>18869</v>
      </c>
      <c r="BF996" t="str">
        <f>HYPERLINK("http://dx.doi.org/10.3389/fmicb.2022.927129","http://dx.doi.org/10.3389/fmicb.2022.927129")</f>
        <v>http://dx.doi.org/10.3389/fmicb.2022.927129</v>
      </c>
      <c r="BG996" t="s">
        <v>74</v>
      </c>
      <c r="BH996" t="s">
        <v>74</v>
      </c>
      <c r="BI996">
        <v>16</v>
      </c>
      <c r="BJ996" t="s">
        <v>1699</v>
      </c>
      <c r="BK996" t="s">
        <v>104</v>
      </c>
      <c r="BL996" t="s">
        <v>1699</v>
      </c>
      <c r="BM996" t="s">
        <v>18870</v>
      </c>
      <c r="BN996">
        <v>36274733</v>
      </c>
      <c r="BO996" t="s">
        <v>192</v>
      </c>
      <c r="BP996" t="s">
        <v>74</v>
      </c>
      <c r="BQ996" t="s">
        <v>74</v>
      </c>
      <c r="BR996" t="s">
        <v>108</v>
      </c>
      <c r="BS996" t="s">
        <v>18871</v>
      </c>
      <c r="BT996" t="str">
        <f>HYPERLINK("https%3A%2F%2Fwww.webofscience.com%2Fwos%2Fwoscc%2Ffull-record%2FWOS:000873745000001","View Full Record in Web of Science")</f>
        <v>View Full Record in Web of Science</v>
      </c>
    </row>
    <row r="997" spans="1:72" x14ac:dyDescent="0.15">
      <c r="A997" t="s">
        <v>72</v>
      </c>
      <c r="B997" t="s">
        <v>18872</v>
      </c>
      <c r="C997" t="s">
        <v>74</v>
      </c>
      <c r="D997" t="s">
        <v>74</v>
      </c>
      <c r="E997" t="s">
        <v>74</v>
      </c>
      <c r="F997" t="s">
        <v>18873</v>
      </c>
      <c r="G997" t="s">
        <v>74</v>
      </c>
      <c r="H997" t="s">
        <v>74</v>
      </c>
      <c r="I997" t="s">
        <v>18874</v>
      </c>
      <c r="J997" t="s">
        <v>8444</v>
      </c>
      <c r="K997" t="s">
        <v>74</v>
      </c>
      <c r="L997" t="s">
        <v>74</v>
      </c>
      <c r="M997" t="s">
        <v>78</v>
      </c>
      <c r="N997" t="s">
        <v>79</v>
      </c>
      <c r="O997" t="s">
        <v>74</v>
      </c>
      <c r="P997" t="s">
        <v>74</v>
      </c>
      <c r="Q997" t="s">
        <v>74</v>
      </c>
      <c r="R997" t="s">
        <v>74</v>
      </c>
      <c r="S997" t="s">
        <v>74</v>
      </c>
      <c r="T997" t="s">
        <v>74</v>
      </c>
      <c r="U997" t="s">
        <v>18875</v>
      </c>
      <c r="V997" t="s">
        <v>18876</v>
      </c>
      <c r="W997" t="s">
        <v>18877</v>
      </c>
      <c r="X997" t="s">
        <v>18878</v>
      </c>
      <c r="Y997" t="s">
        <v>18879</v>
      </c>
      <c r="Z997" t="s">
        <v>18880</v>
      </c>
      <c r="AA997" t="s">
        <v>18881</v>
      </c>
      <c r="AB997" t="s">
        <v>18882</v>
      </c>
      <c r="AC997" t="s">
        <v>18883</v>
      </c>
      <c r="AD997" t="s">
        <v>14568</v>
      </c>
      <c r="AE997" t="s">
        <v>18884</v>
      </c>
      <c r="AF997" t="s">
        <v>74</v>
      </c>
      <c r="AG997">
        <v>51</v>
      </c>
      <c r="AH997">
        <v>0</v>
      </c>
      <c r="AI997">
        <v>0</v>
      </c>
      <c r="AJ997">
        <v>1</v>
      </c>
      <c r="AK997">
        <v>4</v>
      </c>
      <c r="AL997" t="s">
        <v>126</v>
      </c>
      <c r="AM997" t="s">
        <v>127</v>
      </c>
      <c r="AN997" t="s">
        <v>128</v>
      </c>
      <c r="AO997" t="s">
        <v>8456</v>
      </c>
      <c r="AP997" t="s">
        <v>8457</v>
      </c>
      <c r="AQ997" t="s">
        <v>74</v>
      </c>
      <c r="AR997" t="s">
        <v>8458</v>
      </c>
      <c r="AS997" t="s">
        <v>8459</v>
      </c>
      <c r="AT997" t="s">
        <v>18853</v>
      </c>
      <c r="AU997">
        <v>2022</v>
      </c>
      <c r="AV997">
        <v>22</v>
      </c>
      <c r="AW997">
        <v>19</v>
      </c>
      <c r="AX997" t="s">
        <v>74</v>
      </c>
      <c r="AY997" t="s">
        <v>74</v>
      </c>
      <c r="AZ997" t="s">
        <v>74</v>
      </c>
      <c r="BA997" t="s">
        <v>74</v>
      </c>
      <c r="BB997">
        <v>12857</v>
      </c>
      <c r="BC997">
        <v>12872</v>
      </c>
      <c r="BD997" t="s">
        <v>74</v>
      </c>
      <c r="BE997" t="s">
        <v>18885</v>
      </c>
      <c r="BF997" t="str">
        <f>HYPERLINK("http://dx.doi.org/10.5194/acp-22-12857-2022","http://dx.doi.org/10.5194/acp-22-12857-2022")</f>
        <v>http://dx.doi.org/10.5194/acp-22-12857-2022</v>
      </c>
      <c r="BG997" t="s">
        <v>74</v>
      </c>
      <c r="BH997" t="s">
        <v>74</v>
      </c>
      <c r="BI997">
        <v>16</v>
      </c>
      <c r="BJ997" t="s">
        <v>5429</v>
      </c>
      <c r="BK997" t="s">
        <v>104</v>
      </c>
      <c r="BL997" t="s">
        <v>355</v>
      </c>
      <c r="BM997" t="s">
        <v>18886</v>
      </c>
      <c r="BN997" t="s">
        <v>74</v>
      </c>
      <c r="BO997" t="s">
        <v>737</v>
      </c>
      <c r="BP997" t="s">
        <v>74</v>
      </c>
      <c r="BQ997" t="s">
        <v>74</v>
      </c>
      <c r="BR997" t="s">
        <v>108</v>
      </c>
      <c r="BS997" t="s">
        <v>18887</v>
      </c>
      <c r="BT997" t="str">
        <f>HYPERLINK("https%3A%2F%2Fwww.webofscience.com%2Fwos%2Fwoscc%2Ffull-record%2FWOS:000864201300001","View Full Record in Web of Science")</f>
        <v>View Full Record in Web of Science</v>
      </c>
    </row>
    <row r="998" spans="1:72" x14ac:dyDescent="0.15">
      <c r="A998" t="s">
        <v>72</v>
      </c>
      <c r="B998" t="s">
        <v>18888</v>
      </c>
      <c r="C998" t="s">
        <v>74</v>
      </c>
      <c r="D998" t="s">
        <v>74</v>
      </c>
      <c r="E998" t="s">
        <v>74</v>
      </c>
      <c r="F998" t="s">
        <v>18889</v>
      </c>
      <c r="G998" t="s">
        <v>74</v>
      </c>
      <c r="H998" t="s">
        <v>74</v>
      </c>
      <c r="I998" t="s">
        <v>18890</v>
      </c>
      <c r="J998" t="s">
        <v>7392</v>
      </c>
      <c r="K998" t="s">
        <v>74</v>
      </c>
      <c r="L998" t="s">
        <v>74</v>
      </c>
      <c r="M998" t="s">
        <v>78</v>
      </c>
      <c r="N998" t="s">
        <v>79</v>
      </c>
      <c r="O998" t="s">
        <v>74</v>
      </c>
      <c r="P998" t="s">
        <v>74</v>
      </c>
      <c r="Q998" t="s">
        <v>74</v>
      </c>
      <c r="R998" t="s">
        <v>74</v>
      </c>
      <c r="S998" t="s">
        <v>74</v>
      </c>
      <c r="T998" t="s">
        <v>74</v>
      </c>
      <c r="U998" t="s">
        <v>18891</v>
      </c>
      <c r="V998" t="s">
        <v>18892</v>
      </c>
      <c r="W998" t="s">
        <v>18893</v>
      </c>
      <c r="X998" t="s">
        <v>860</v>
      </c>
      <c r="Y998" t="s">
        <v>18894</v>
      </c>
      <c r="Z998" t="s">
        <v>18895</v>
      </c>
      <c r="AA998" t="s">
        <v>74</v>
      </c>
      <c r="AB998" t="s">
        <v>18896</v>
      </c>
      <c r="AC998" t="s">
        <v>18897</v>
      </c>
      <c r="AD998" t="s">
        <v>18898</v>
      </c>
      <c r="AE998" t="s">
        <v>18899</v>
      </c>
      <c r="AF998" t="s">
        <v>74</v>
      </c>
      <c r="AG998">
        <v>94</v>
      </c>
      <c r="AH998">
        <v>6</v>
      </c>
      <c r="AI998">
        <v>6</v>
      </c>
      <c r="AJ998">
        <v>3</v>
      </c>
      <c r="AK998">
        <v>12</v>
      </c>
      <c r="AL998" t="s">
        <v>126</v>
      </c>
      <c r="AM998" t="s">
        <v>127</v>
      </c>
      <c r="AN998" t="s">
        <v>128</v>
      </c>
      <c r="AO998" t="s">
        <v>7401</v>
      </c>
      <c r="AP998" t="s">
        <v>7402</v>
      </c>
      <c r="AQ998" t="s">
        <v>74</v>
      </c>
      <c r="AR998" t="s">
        <v>7392</v>
      </c>
      <c r="AS998" t="s">
        <v>7403</v>
      </c>
      <c r="AT998" t="s">
        <v>18853</v>
      </c>
      <c r="AU998">
        <v>2022</v>
      </c>
      <c r="AV998">
        <v>16</v>
      </c>
      <c r="AW998">
        <v>10</v>
      </c>
      <c r="AX998" t="s">
        <v>74</v>
      </c>
      <c r="AY998" t="s">
        <v>74</v>
      </c>
      <c r="AZ998" t="s">
        <v>74</v>
      </c>
      <c r="BA998" t="s">
        <v>74</v>
      </c>
      <c r="BB998">
        <v>3907</v>
      </c>
      <c r="BC998">
        <v>3932</v>
      </c>
      <c r="BD998" t="s">
        <v>74</v>
      </c>
      <c r="BE998" t="s">
        <v>18900</v>
      </c>
      <c r="BF998" t="str">
        <f>HYPERLINK("http://dx.doi.org/10.5194/tc-16-3907-2022","http://dx.doi.org/10.5194/tc-16-3907-2022")</f>
        <v>http://dx.doi.org/10.5194/tc-16-3907-2022</v>
      </c>
      <c r="BG998" t="s">
        <v>74</v>
      </c>
      <c r="BH998" t="s">
        <v>74</v>
      </c>
      <c r="BI998">
        <v>26</v>
      </c>
      <c r="BJ998" t="s">
        <v>611</v>
      </c>
      <c r="BK998" t="s">
        <v>104</v>
      </c>
      <c r="BL998" t="s">
        <v>612</v>
      </c>
      <c r="BM998" t="s">
        <v>18901</v>
      </c>
      <c r="BN998" t="s">
        <v>74</v>
      </c>
      <c r="BO998" t="s">
        <v>737</v>
      </c>
      <c r="BP998" t="s">
        <v>74</v>
      </c>
      <c r="BQ998" t="s">
        <v>74</v>
      </c>
      <c r="BR998" t="s">
        <v>108</v>
      </c>
      <c r="BS998" t="s">
        <v>18902</v>
      </c>
      <c r="BT998" t="str">
        <f>HYPERLINK("https%3A%2F%2Fwww.webofscience.com%2Fwos%2Fwoscc%2Ffull-record%2FWOS:000864202100001","View Full Record in Web of Science")</f>
        <v>View Full Record in Web of Science</v>
      </c>
    </row>
    <row r="999" spans="1:72" x14ac:dyDescent="0.15">
      <c r="A999" t="s">
        <v>72</v>
      </c>
      <c r="B999" t="s">
        <v>18903</v>
      </c>
      <c r="C999" t="s">
        <v>74</v>
      </c>
      <c r="D999" t="s">
        <v>74</v>
      </c>
      <c r="E999" t="s">
        <v>74</v>
      </c>
      <c r="F999" t="s">
        <v>18904</v>
      </c>
      <c r="G999" t="s">
        <v>74</v>
      </c>
      <c r="H999" t="s">
        <v>74</v>
      </c>
      <c r="I999" t="s">
        <v>18905</v>
      </c>
      <c r="J999" t="s">
        <v>7392</v>
      </c>
      <c r="K999" t="s">
        <v>74</v>
      </c>
      <c r="L999" t="s">
        <v>74</v>
      </c>
      <c r="M999" t="s">
        <v>78</v>
      </c>
      <c r="N999" t="s">
        <v>79</v>
      </c>
      <c r="O999" t="s">
        <v>74</v>
      </c>
      <c r="P999" t="s">
        <v>74</v>
      </c>
      <c r="Q999" t="s">
        <v>74</v>
      </c>
      <c r="R999" t="s">
        <v>74</v>
      </c>
      <c r="S999" t="s">
        <v>74</v>
      </c>
      <c r="T999" t="s">
        <v>74</v>
      </c>
      <c r="U999" t="s">
        <v>18906</v>
      </c>
      <c r="V999" t="s">
        <v>18907</v>
      </c>
      <c r="W999" t="s">
        <v>18908</v>
      </c>
      <c r="X999" t="s">
        <v>18909</v>
      </c>
      <c r="Y999" t="s">
        <v>18910</v>
      </c>
      <c r="Z999" t="s">
        <v>16689</v>
      </c>
      <c r="AA999" t="s">
        <v>18911</v>
      </c>
      <c r="AB999" t="s">
        <v>18912</v>
      </c>
      <c r="AC999" t="s">
        <v>18913</v>
      </c>
      <c r="AD999" t="s">
        <v>18913</v>
      </c>
      <c r="AE999" t="s">
        <v>18914</v>
      </c>
      <c r="AF999" t="s">
        <v>74</v>
      </c>
      <c r="AG999">
        <v>168</v>
      </c>
      <c r="AH999">
        <v>16</v>
      </c>
      <c r="AI999">
        <v>18</v>
      </c>
      <c r="AJ999">
        <v>1</v>
      </c>
      <c r="AK999">
        <v>18</v>
      </c>
      <c r="AL999" t="s">
        <v>126</v>
      </c>
      <c r="AM999" t="s">
        <v>127</v>
      </c>
      <c r="AN999" t="s">
        <v>128</v>
      </c>
      <c r="AO999" t="s">
        <v>7401</v>
      </c>
      <c r="AP999" t="s">
        <v>7402</v>
      </c>
      <c r="AQ999" t="s">
        <v>74</v>
      </c>
      <c r="AR999" t="s">
        <v>7392</v>
      </c>
      <c r="AS999" t="s">
        <v>7403</v>
      </c>
      <c r="AT999" t="s">
        <v>18853</v>
      </c>
      <c r="AU999">
        <v>2022</v>
      </c>
      <c r="AV999">
        <v>16</v>
      </c>
      <c r="AW999">
        <v>10</v>
      </c>
      <c r="AX999" t="s">
        <v>74</v>
      </c>
      <c r="AY999" t="s">
        <v>74</v>
      </c>
      <c r="AZ999" t="s">
        <v>74</v>
      </c>
      <c r="BA999" t="s">
        <v>74</v>
      </c>
      <c r="BB999">
        <v>3971</v>
      </c>
      <c r="BC999">
        <v>4011</v>
      </c>
      <c r="BD999" t="s">
        <v>74</v>
      </c>
      <c r="BE999" t="s">
        <v>18915</v>
      </c>
      <c r="BF999" t="str">
        <f>HYPERLINK("http://dx.doi.org/10.5194/tc-16-3971-2022","http://dx.doi.org/10.5194/tc-16-3971-2022")</f>
        <v>http://dx.doi.org/10.5194/tc-16-3971-2022</v>
      </c>
      <c r="BG999" t="s">
        <v>74</v>
      </c>
      <c r="BH999" t="s">
        <v>74</v>
      </c>
      <c r="BI999">
        <v>41</v>
      </c>
      <c r="BJ999" t="s">
        <v>611</v>
      </c>
      <c r="BK999" t="s">
        <v>104</v>
      </c>
      <c r="BL999" t="s">
        <v>612</v>
      </c>
      <c r="BM999" t="s">
        <v>18916</v>
      </c>
      <c r="BN999" t="s">
        <v>74</v>
      </c>
      <c r="BO999" t="s">
        <v>737</v>
      </c>
      <c r="BP999" t="s">
        <v>74</v>
      </c>
      <c r="BQ999" t="s">
        <v>74</v>
      </c>
      <c r="BR999" t="s">
        <v>108</v>
      </c>
      <c r="BS999" t="s">
        <v>18917</v>
      </c>
      <c r="BT999" t="str">
        <f>HYPERLINK("https%3A%2F%2Fwww.webofscience.com%2Fwos%2Fwoscc%2Ffull-record%2FWOS:000864161400001","View Full Record in Web of Science")</f>
        <v>View Full Record in Web of Science</v>
      </c>
    </row>
    <row r="1000" spans="1:72" x14ac:dyDescent="0.15">
      <c r="A1000" t="s">
        <v>72</v>
      </c>
      <c r="B1000" t="s">
        <v>18918</v>
      </c>
      <c r="C1000" t="s">
        <v>74</v>
      </c>
      <c r="D1000" t="s">
        <v>74</v>
      </c>
      <c r="E1000" t="s">
        <v>74</v>
      </c>
      <c r="F1000" t="s">
        <v>18919</v>
      </c>
      <c r="G1000" t="s">
        <v>74</v>
      </c>
      <c r="H1000" t="s">
        <v>74</v>
      </c>
      <c r="I1000" t="s">
        <v>18920</v>
      </c>
      <c r="J1000" t="s">
        <v>9824</v>
      </c>
      <c r="K1000" t="s">
        <v>74</v>
      </c>
      <c r="L1000" t="s">
        <v>74</v>
      </c>
      <c r="M1000" t="s">
        <v>78</v>
      </c>
      <c r="N1000" t="s">
        <v>79</v>
      </c>
      <c r="O1000" t="s">
        <v>74</v>
      </c>
      <c r="P1000" t="s">
        <v>74</v>
      </c>
      <c r="Q1000" t="s">
        <v>74</v>
      </c>
      <c r="R1000" t="s">
        <v>74</v>
      </c>
      <c r="S1000" t="s">
        <v>74</v>
      </c>
      <c r="T1000" t="s">
        <v>74</v>
      </c>
      <c r="U1000" t="s">
        <v>18921</v>
      </c>
      <c r="V1000" t="s">
        <v>18922</v>
      </c>
      <c r="W1000" t="s">
        <v>18923</v>
      </c>
      <c r="X1000" t="s">
        <v>18924</v>
      </c>
      <c r="Y1000" t="s">
        <v>18925</v>
      </c>
      <c r="Z1000" t="s">
        <v>18926</v>
      </c>
      <c r="AA1000" t="s">
        <v>18927</v>
      </c>
      <c r="AB1000" t="s">
        <v>18928</v>
      </c>
      <c r="AC1000" t="s">
        <v>18929</v>
      </c>
      <c r="AD1000" t="s">
        <v>18930</v>
      </c>
      <c r="AE1000" t="s">
        <v>18931</v>
      </c>
      <c r="AF1000" t="s">
        <v>74</v>
      </c>
      <c r="AG1000">
        <v>51</v>
      </c>
      <c r="AH1000">
        <v>8</v>
      </c>
      <c r="AI1000">
        <v>9</v>
      </c>
      <c r="AJ1000">
        <v>6</v>
      </c>
      <c r="AK1000">
        <v>27</v>
      </c>
      <c r="AL1000" t="s">
        <v>182</v>
      </c>
      <c r="AM1000" t="s">
        <v>183</v>
      </c>
      <c r="AN1000" t="s">
        <v>184</v>
      </c>
      <c r="AO1000" t="s">
        <v>9836</v>
      </c>
      <c r="AP1000" t="s">
        <v>9837</v>
      </c>
      <c r="AQ1000" t="s">
        <v>74</v>
      </c>
      <c r="AR1000" t="s">
        <v>9824</v>
      </c>
      <c r="AS1000" t="s">
        <v>9838</v>
      </c>
      <c r="AT1000" t="s">
        <v>13196</v>
      </c>
      <c r="AU1000">
        <v>2022</v>
      </c>
      <c r="AV1000">
        <v>611</v>
      </c>
      <c r="AW1000">
        <v>7936</v>
      </c>
      <c r="AX1000" t="s">
        <v>74</v>
      </c>
      <c r="AY1000" t="s">
        <v>74</v>
      </c>
      <c r="AZ1000" t="s">
        <v>74</v>
      </c>
      <c r="BA1000" t="s">
        <v>74</v>
      </c>
      <c r="BB1000">
        <v>501</v>
      </c>
      <c r="BC1000" t="s">
        <v>351</v>
      </c>
      <c r="BD1000" t="s">
        <v>74</v>
      </c>
      <c r="BE1000" t="s">
        <v>18932</v>
      </c>
      <c r="BF1000" t="str">
        <f>HYPERLINK("http://dx.doi.org/10.1038/s41586-022-05265-0","http://dx.doi.org/10.1038/s41586-022-05265-0")</f>
        <v>http://dx.doi.org/10.1038/s41586-022-05265-0</v>
      </c>
      <c r="BG1000" t="s">
        <v>74</v>
      </c>
      <c r="BH1000" t="s">
        <v>16236</v>
      </c>
      <c r="BI1000">
        <v>13</v>
      </c>
      <c r="BJ1000" t="s">
        <v>189</v>
      </c>
      <c r="BK1000" t="s">
        <v>104</v>
      </c>
      <c r="BL1000" t="s">
        <v>190</v>
      </c>
      <c r="BM1000" t="s">
        <v>18933</v>
      </c>
      <c r="BN1000">
        <v>36203033</v>
      </c>
      <c r="BO1000" t="s">
        <v>74</v>
      </c>
      <c r="BP1000" t="s">
        <v>74</v>
      </c>
      <c r="BQ1000" t="s">
        <v>74</v>
      </c>
      <c r="BR1000" t="s">
        <v>108</v>
      </c>
      <c r="BS1000" t="s">
        <v>18934</v>
      </c>
      <c r="BT1000" t="str">
        <f>HYPERLINK("https%3A%2F%2Fwww.webofscience.com%2Fwos%2Fwoscc%2Ffull-record%2FWOS:000864574900001","View Full Record in Web of Science")</f>
        <v>View Full Record in Web of Science</v>
      </c>
    </row>
    <row r="1001" spans="1:72" x14ac:dyDescent="0.15">
      <c r="A1001" t="s">
        <v>72</v>
      </c>
      <c r="B1001" t="s">
        <v>18935</v>
      </c>
      <c r="C1001" t="s">
        <v>74</v>
      </c>
      <c r="D1001" t="s">
        <v>74</v>
      </c>
      <c r="E1001" t="s">
        <v>74</v>
      </c>
      <c r="F1001" t="s">
        <v>18936</v>
      </c>
      <c r="G1001" t="s">
        <v>74</v>
      </c>
      <c r="H1001" t="s">
        <v>74</v>
      </c>
      <c r="I1001" t="s">
        <v>18937</v>
      </c>
      <c r="J1001" t="s">
        <v>7102</v>
      </c>
      <c r="K1001" t="s">
        <v>74</v>
      </c>
      <c r="L1001" t="s">
        <v>74</v>
      </c>
      <c r="M1001" t="s">
        <v>78</v>
      </c>
      <c r="N1001" t="s">
        <v>79</v>
      </c>
      <c r="O1001" t="s">
        <v>74</v>
      </c>
      <c r="P1001" t="s">
        <v>74</v>
      </c>
      <c r="Q1001" t="s">
        <v>74</v>
      </c>
      <c r="R1001" t="s">
        <v>74</v>
      </c>
      <c r="S1001" t="s">
        <v>74</v>
      </c>
      <c r="T1001" t="s">
        <v>18938</v>
      </c>
      <c r="U1001" t="s">
        <v>18939</v>
      </c>
      <c r="V1001" t="s">
        <v>18940</v>
      </c>
      <c r="W1001" t="s">
        <v>18941</v>
      </c>
      <c r="X1001" t="s">
        <v>18942</v>
      </c>
      <c r="Y1001" t="s">
        <v>18943</v>
      </c>
      <c r="Z1001" t="s">
        <v>18944</v>
      </c>
      <c r="AA1001" t="s">
        <v>18945</v>
      </c>
      <c r="AB1001" t="s">
        <v>74</v>
      </c>
      <c r="AC1001" t="s">
        <v>18946</v>
      </c>
      <c r="AD1001" t="s">
        <v>18947</v>
      </c>
      <c r="AE1001" t="s">
        <v>18948</v>
      </c>
      <c r="AF1001" t="s">
        <v>74</v>
      </c>
      <c r="AG1001">
        <v>40</v>
      </c>
      <c r="AH1001">
        <v>1</v>
      </c>
      <c r="AI1001">
        <v>1</v>
      </c>
      <c r="AJ1001">
        <v>1</v>
      </c>
      <c r="AK1001">
        <v>5</v>
      </c>
      <c r="AL1001" t="s">
        <v>448</v>
      </c>
      <c r="AM1001" t="s">
        <v>449</v>
      </c>
      <c r="AN1001" t="s">
        <v>450</v>
      </c>
      <c r="AO1001" t="s">
        <v>74</v>
      </c>
      <c r="AP1001" t="s">
        <v>7115</v>
      </c>
      <c r="AQ1001" t="s">
        <v>74</v>
      </c>
      <c r="AR1001" t="s">
        <v>7116</v>
      </c>
      <c r="AS1001" t="s">
        <v>7117</v>
      </c>
      <c r="AT1001" t="s">
        <v>18949</v>
      </c>
      <c r="AU1001">
        <v>2022</v>
      </c>
      <c r="AV1001">
        <v>9</v>
      </c>
      <c r="AW1001" t="s">
        <v>74</v>
      </c>
      <c r="AX1001" t="s">
        <v>74</v>
      </c>
      <c r="AY1001" t="s">
        <v>74</v>
      </c>
      <c r="AZ1001" t="s">
        <v>74</v>
      </c>
      <c r="BA1001" t="s">
        <v>74</v>
      </c>
      <c r="BB1001" t="s">
        <v>74</v>
      </c>
      <c r="BC1001" t="s">
        <v>74</v>
      </c>
      <c r="BD1001">
        <v>957796</v>
      </c>
      <c r="BE1001" t="s">
        <v>18950</v>
      </c>
      <c r="BF1001" t="str">
        <f>HYPERLINK("http://dx.doi.org/10.3389/fmars.2022.957796","http://dx.doi.org/10.3389/fmars.2022.957796")</f>
        <v>http://dx.doi.org/10.3389/fmars.2022.957796</v>
      </c>
      <c r="BG1001" t="s">
        <v>74</v>
      </c>
      <c r="BH1001" t="s">
        <v>74</v>
      </c>
      <c r="BI1001">
        <v>12</v>
      </c>
      <c r="BJ1001" t="s">
        <v>6728</v>
      </c>
      <c r="BK1001" t="s">
        <v>104</v>
      </c>
      <c r="BL1001" t="s">
        <v>6729</v>
      </c>
      <c r="BM1001" t="s">
        <v>18951</v>
      </c>
      <c r="BN1001" t="s">
        <v>74</v>
      </c>
      <c r="BO1001" t="s">
        <v>165</v>
      </c>
      <c r="BP1001" t="s">
        <v>74</v>
      </c>
      <c r="BQ1001" t="s">
        <v>74</v>
      </c>
      <c r="BR1001" t="s">
        <v>108</v>
      </c>
      <c r="BS1001" t="s">
        <v>18952</v>
      </c>
      <c r="BT1001" t="str">
        <f>HYPERLINK("https%3A%2F%2Fwww.webofscience.com%2Fwos%2Fwoscc%2Ffull-record%2FWOS:000871320900001","View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2024-07-28T15:23:31Z</dcterms:created>
  <dcterms:modified xsi:type="dcterms:W3CDTF">2024-07-28T15:23:32Z</dcterms:modified>
</cp:coreProperties>
</file>